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wmf" ContentType="image/x-wmf"/>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externalLinks/externalLink6.xml" ContentType="application/vnd.openxmlformats-officedocument.spreadsheetml.externalLink+xml"/>
  <Override PartName="/xl/externalLinks/externalLink7.xml" ContentType="application/vnd.openxmlformats-officedocument.spreadsheetml.externalLink+xml"/>
  <Override PartName="/xl/externalLinks/externalLink8.xml" ContentType="application/vnd.openxmlformats-officedocument.spreadsheetml.externalLink+xml"/>
  <Override PartName="/xl/externalLinks/externalLink9.xml" ContentType="application/vnd.openxmlformats-officedocument.spreadsheetml.externalLink+xml"/>
  <Override PartName="/xl/externalLinks/externalLink10.xml" ContentType="application/vnd.openxmlformats-officedocument.spreadsheetml.externalLink+xml"/>
  <Override PartName="/xl/externalLinks/externalLink11.xml" ContentType="application/vnd.openxmlformats-officedocument.spreadsheetml.externalLink+xml"/>
  <Override PartName="/xl/externalLinks/externalLink12.xml" ContentType="application/vnd.openxmlformats-officedocument.spreadsheetml.externalLink+xml"/>
  <Override PartName="/xl/externalLinks/externalLink13.xml" ContentType="application/vnd.openxmlformats-officedocument.spreadsheetml.externalLink+xml"/>
  <Override PartName="/xl/externalLinks/externalLink14.xml" ContentType="application/vnd.openxmlformats-officedocument.spreadsheetml.externalLink+xml"/>
  <Override PartName="/xl/externalLinks/externalLink15.xml" ContentType="application/vnd.openxmlformats-officedocument.spreadsheetml.externalLink+xml"/>
  <Override PartName="/xl/externalLinks/externalLink16.xml" ContentType="application/vnd.openxmlformats-officedocument.spreadsheetml.externalLink+xml"/>
  <Override PartName="/xl/externalLinks/externalLink17.xml" ContentType="application/vnd.openxmlformats-officedocument.spreadsheetml.externalLink+xml"/>
  <Override PartName="/xl/externalLinks/externalLink18.xml" ContentType="application/vnd.openxmlformats-officedocument.spreadsheetml.externalLink+xml"/>
  <Override PartName="/xl/externalLinks/externalLink19.xml" ContentType="application/vnd.openxmlformats-officedocument.spreadsheetml.externalLink+xml"/>
  <Override PartName="/xl/externalLinks/externalLink20.xml" ContentType="application/vnd.openxmlformats-officedocument.spreadsheetml.externalLink+xml"/>
  <Override PartName="/xl/externalLinks/externalLink21.xml" ContentType="application/vnd.openxmlformats-officedocument.spreadsheetml.externalLink+xml"/>
  <Override PartName="/xl/externalLinks/externalLink22.xml" ContentType="application/vnd.openxmlformats-officedocument.spreadsheetml.externalLink+xml"/>
  <Override PartName="/xl/externalLinks/externalLink23.xml" ContentType="application/vnd.openxmlformats-officedocument.spreadsheetml.externalLink+xml"/>
  <Override PartName="/xl/externalLinks/externalLink24.xml" ContentType="application/vnd.openxmlformats-officedocument.spreadsheetml.externalLink+xml"/>
  <Override PartName="/xl/externalLinks/externalLink25.xml" ContentType="application/vnd.openxmlformats-officedocument.spreadsheetml.externalLink+xml"/>
  <Override PartName="/xl/externalLinks/externalLink26.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9127"/>
  <workbookPr codeName="ThisWorkbook" defaultThemeVersion="124226"/>
  <mc:AlternateContent xmlns:mc="http://schemas.openxmlformats.org/markup-compatibility/2006">
    <mc:Choice Requires="x15">
      <x15ac:absPath xmlns:x15ac="http://schemas.microsoft.com/office/spreadsheetml/2010/11/ac" url="D:\desktop\estimates\ALL MANDAL ESTIAMTES\KANIGIRI\"/>
    </mc:Choice>
  </mc:AlternateContent>
  <xr:revisionPtr revIDLastSave="0" documentId="13_ncr:1_{583CE60A-49EE-4C54-835B-2E8C7F02483E}" xr6:coauthVersionLast="47" xr6:coauthVersionMax="47" xr10:uidLastSave="{00000000-0000-0000-0000-000000000000}"/>
  <bookViews>
    <workbookView xWindow="-120" yWindow="-120" windowWidth="20730" windowHeight="11160" tabRatio="753" firstSheet="1" activeTab="6" xr2:uid="{00000000-000D-0000-FFFF-FFFF00000000}"/>
  </bookViews>
  <sheets>
    <sheet name="0000000000000" sheetId="27" state="veryHidden" r:id="rId1"/>
    <sheet name="COVER" sheetId="131" r:id="rId2"/>
    <sheet name="SPE" sheetId="141" r:id="rId3"/>
    <sheet name="ESTIMATE" sheetId="132" r:id="rId4"/>
    <sheet name="Seigneorage" sheetId="109" r:id="rId5"/>
    <sheet name="lead 25-26" sheetId="158" r:id="rId6"/>
    <sheet name="DATA 2025-26" sheetId="107" r:id="rId7"/>
    <sheet name="sani data 2024-25" sheetId="133" state="hidden" r:id="rId8"/>
    <sheet name="Ele Data 2025-26" sheetId="134" r:id="rId9"/>
    <sheet name="doors 2025-26" sheetId="190" r:id="rId10"/>
    <sheet name="MINI SSR 2025-26" sheetId="200" state="hidden" r:id="rId11"/>
    <sheet name="convey 25-26" sheetId="202" state="hidden" r:id="rId12"/>
    <sheet name="CS" sheetId="140" state="hidden" r:id="rId13"/>
    <sheet name="CR" sheetId="203" state="hidden" r:id="rId14"/>
    <sheet name="check slip" sheetId="211" state="hidden" r:id="rId15"/>
    <sheet name="C-1 " sheetId="204" state="hidden" r:id="rId16"/>
    <sheet name="CC f" sheetId="205" state="hidden" r:id="rId17"/>
    <sheet name="ccbc " sheetId="206" state="hidden" r:id="rId18"/>
    <sheet name="CERT" sheetId="207" state="hidden" r:id="rId19"/>
    <sheet name="Seigneorage (2)" sheetId="210" state="hidden" r:id="rId20"/>
    <sheet name="RE-DE" sheetId="209" state="hidden" r:id="rId21"/>
  </sheets>
  <externalReferences>
    <externalReference r:id="rId22"/>
    <externalReference r:id="rId23"/>
    <externalReference r:id="rId24"/>
    <externalReference r:id="rId25"/>
    <externalReference r:id="rId26"/>
    <externalReference r:id="rId27"/>
    <externalReference r:id="rId28"/>
    <externalReference r:id="rId29"/>
    <externalReference r:id="rId30"/>
    <externalReference r:id="rId31"/>
    <externalReference r:id="rId32"/>
    <externalReference r:id="rId33"/>
    <externalReference r:id="rId34"/>
    <externalReference r:id="rId35"/>
    <externalReference r:id="rId36"/>
    <externalReference r:id="rId37"/>
    <externalReference r:id="rId38"/>
    <externalReference r:id="rId39"/>
    <externalReference r:id="rId40"/>
    <externalReference r:id="rId41"/>
    <externalReference r:id="rId42"/>
    <externalReference r:id="rId43"/>
    <externalReference r:id="rId44"/>
    <externalReference r:id="rId45"/>
    <externalReference r:id="rId46"/>
    <externalReference r:id="rId47"/>
  </externalReferences>
  <definedNames>
    <definedName name="__bla1">[1]leads!$H$7</definedName>
    <definedName name="__can430">40.73</definedName>
    <definedName name="__can435">43.3</definedName>
    <definedName name="__cur1">[2]r!$F$30</definedName>
    <definedName name="__l1">[3]leads!$A$3:$E$108</definedName>
    <definedName name="__l12" localSheetId="14">#REF!</definedName>
    <definedName name="__l12">#REF!</definedName>
    <definedName name="__l2">[2]r!$F$29</definedName>
    <definedName name="__l3" localSheetId="14">#REF!</definedName>
    <definedName name="__l3">#REF!</definedName>
    <definedName name="__l4">[4]Sheet1!$W$2:$Y$103</definedName>
    <definedName name="__l5" localSheetId="14">#REF!</definedName>
    <definedName name="__l5">#REF!</definedName>
    <definedName name="__l6">[2]r!$F$4</definedName>
    <definedName name="__l7">[5]r!$F$4</definedName>
    <definedName name="__l8">[2]r!$F$2</definedName>
    <definedName name="__l9">[2]r!$F$3</definedName>
    <definedName name="__mm1">[6]r!$F$4</definedName>
    <definedName name="__mm11">[2]r!$F$4</definedName>
    <definedName name="__mm111">[5]r!$F$4</definedName>
    <definedName name="__pc2" localSheetId="14">#REF!</definedName>
    <definedName name="__pc2">#REF!</definedName>
    <definedName name="__pv2" localSheetId="14">#REF!</definedName>
    <definedName name="__pv2">#REF!</definedName>
    <definedName name="__rr3">[7]v!$A$2:$E$51</definedName>
    <definedName name="__rrr1">[7]r!$B$1:$I$145</definedName>
    <definedName name="__ss12">[8]rdamdata!$J$8</definedName>
    <definedName name="__ss20">[8]rdamdata!$J$7</definedName>
    <definedName name="__ss40">[8]rdamdata!$J$6</definedName>
    <definedName name="__var1" localSheetId="14">#REF!</definedName>
    <definedName name="__var1">#REF!</definedName>
    <definedName name="__var4" localSheetId="14">#REF!</definedName>
    <definedName name="__var4">#REF!</definedName>
    <definedName name="_3" localSheetId="15" hidden="1">'[9]final abstract'!#REF!</definedName>
    <definedName name="_3" localSheetId="14" hidden="1">'[9]final abstract'!#REF!</definedName>
    <definedName name="_3" localSheetId="13" hidden="1">'[9]final abstract'!#REF!</definedName>
    <definedName name="_3" localSheetId="12" hidden="1">'[9]final abstract'!#REF!</definedName>
    <definedName name="_3" localSheetId="9" hidden="1">'[9]final abstract'!#REF!</definedName>
    <definedName name="_3" localSheetId="3" hidden="1">'[9]final abstract'!#REF!</definedName>
    <definedName name="_3" localSheetId="19" hidden="1">'[9]final abstract'!#REF!</definedName>
    <definedName name="_3" localSheetId="2" hidden="1">'[9]final abstract'!#REF!</definedName>
    <definedName name="_3" hidden="1">'[9]final abstract'!#REF!</definedName>
    <definedName name="_bla1">[1]leads!$H$7</definedName>
    <definedName name="_can430">40.73</definedName>
    <definedName name="_can435">43.3</definedName>
    <definedName name="_cur1">[2]r!$F$30</definedName>
    <definedName name="_Fill" localSheetId="14" hidden="1">'[9]final abstract'!#REF!</definedName>
    <definedName name="_Fill" localSheetId="13" hidden="1">'[9]final abstract'!#REF!</definedName>
    <definedName name="_Fill" localSheetId="12" hidden="1">'[9]final abstract'!#REF!</definedName>
    <definedName name="_Fill" localSheetId="9" hidden="1">'[9]final abstract'!#REF!</definedName>
    <definedName name="_Fill" localSheetId="3" hidden="1">'[9]final abstract'!#REF!</definedName>
    <definedName name="_Fill" localSheetId="19" hidden="1">'[9]final abstract'!#REF!</definedName>
    <definedName name="_Fill" localSheetId="2" hidden="1">'[9]final abstract'!#REF!</definedName>
    <definedName name="_Fill" hidden="1">'[9]final abstract'!#REF!</definedName>
    <definedName name="_xlnm._FilterDatabase" localSheetId="6" hidden="1">'DATA 2025-26'!$A$5:$G$990</definedName>
    <definedName name="_xlnm._FilterDatabase" localSheetId="9" hidden="1">'doors 2025-26'!$A$5:$H$261</definedName>
    <definedName name="_xlnm._FilterDatabase" localSheetId="8" hidden="1">'Ele Data 2025-26'!$A$3:$I$312</definedName>
    <definedName name="_xlnm._FilterDatabase" localSheetId="3" hidden="1">ESTIMATE!$A$6:$M$1658</definedName>
    <definedName name="_xlnm._FilterDatabase" localSheetId="7" hidden="1">'sani data 2024-25'!$A$3:$G$152</definedName>
    <definedName name="_xlnm._FilterDatabase" localSheetId="4" hidden="1">Seigneorage!$A$3:$U$44</definedName>
    <definedName name="_xlnm._FilterDatabase" localSheetId="19" hidden="1">'Seigneorage (2)'!$A$3:$U$44</definedName>
    <definedName name="_l1">[3]leads!$A$3:$E$108</definedName>
    <definedName name="_l12" localSheetId="14">#REF!</definedName>
    <definedName name="_l12">#REF!</definedName>
    <definedName name="_l2">[2]r!$F$29</definedName>
    <definedName name="_l3" localSheetId="14">#REF!</definedName>
    <definedName name="_l3">#REF!</definedName>
    <definedName name="_l4">[4]Sheet1!$W$2:$Y$103</definedName>
    <definedName name="_l5" localSheetId="14">#REF!</definedName>
    <definedName name="_l5">#REF!</definedName>
    <definedName name="_l6">[2]r!$F$4</definedName>
    <definedName name="_l7">[5]r!$F$4</definedName>
    <definedName name="_l8">[2]r!$F$2</definedName>
    <definedName name="_l9">[2]r!$F$3</definedName>
    <definedName name="_mm1">[6]r!$F$4</definedName>
    <definedName name="_mm11">[2]r!$F$4</definedName>
    <definedName name="_mm111">[5]r!$F$4</definedName>
    <definedName name="_pc2" localSheetId="14">#REF!</definedName>
    <definedName name="_pc2">#REF!</definedName>
    <definedName name="_pv2" localSheetId="14">#REF!</definedName>
    <definedName name="_pv2">#REF!</definedName>
    <definedName name="_rr3">[7]v!$A$2:$E$51</definedName>
    <definedName name="_rrr1">[7]r!$B$1:$I$145</definedName>
    <definedName name="_ss12">[8]rdamdata!$J$8</definedName>
    <definedName name="_ss20">[8]rdamdata!$J$7</definedName>
    <definedName name="_ss40">[8]rdamdata!$J$6</definedName>
    <definedName name="_var1" localSheetId="14">#REF!</definedName>
    <definedName name="_var1">#REF!</definedName>
    <definedName name="_var4" localSheetId="14">#REF!</definedName>
    <definedName name="_var4">#REF!</definedName>
    <definedName name="a" localSheetId="14">#REF!</definedName>
    <definedName name="a">#REF!</definedName>
    <definedName name="aa" localSheetId="14" hidden="1">'[9]final abstract'!#REF!</definedName>
    <definedName name="aa" localSheetId="1" hidden="1">'[9]final abstract'!#REF!</definedName>
    <definedName name="aa" localSheetId="13" hidden="1">'[9]final abstract'!#REF!</definedName>
    <definedName name="aa" localSheetId="12" hidden="1">'[9]final abstract'!#REF!</definedName>
    <definedName name="aa" localSheetId="9" hidden="1">'[9]final abstract'!#REF!</definedName>
    <definedName name="aa" localSheetId="3" hidden="1">'[9]final abstract'!#REF!</definedName>
    <definedName name="aa" localSheetId="19" hidden="1">'[9]final abstract'!#REF!</definedName>
    <definedName name="aa" localSheetId="2" hidden="1">'[9]final abstract'!#REF!</definedName>
    <definedName name="aa" hidden="1">'[9]final abstract'!#REF!</definedName>
    <definedName name="academic" localSheetId="14" hidden="1">'[9]final abstract'!#REF!</definedName>
    <definedName name="academic" localSheetId="13" hidden="1">'[9]final abstract'!#REF!</definedName>
    <definedName name="academic" localSheetId="12" hidden="1">'[9]final abstract'!#REF!</definedName>
    <definedName name="academic" localSheetId="9" hidden="1">'[9]final abstract'!#REF!</definedName>
    <definedName name="academic" localSheetId="3" hidden="1">'[9]final abstract'!#REF!</definedName>
    <definedName name="academic" localSheetId="19" hidden="1">'[9]final abstract'!#REF!</definedName>
    <definedName name="academic" localSheetId="2" hidden="1">'[9]final abstract'!#REF!</definedName>
    <definedName name="academic" hidden="1">'[9]final abstract'!#REF!</definedName>
    <definedName name="anscount" hidden="1">1</definedName>
    <definedName name="ASDF" localSheetId="14" hidden="1">{"'ridftotal'!$A$4:$S$27"}</definedName>
    <definedName name="ASDF" hidden="1">{"'ridftotal'!$A$4:$S$27"}</definedName>
    <definedName name="asf">#REF!</definedName>
    <definedName name="ASFDA" localSheetId="14" hidden="1">{"'ridftotal'!$A$4:$S$27"}</definedName>
    <definedName name="ASFDA" localSheetId="13" hidden="1">{"'ridftotal'!$A$4:$S$27"}</definedName>
    <definedName name="ASFDA" localSheetId="12" hidden="1">{"'ridftotal'!$A$4:$S$27"}</definedName>
    <definedName name="ASFDA" localSheetId="3" hidden="1">{"'ridftotal'!$A$4:$S$27"}</definedName>
    <definedName name="ASFDA" localSheetId="2" hidden="1">{"'ridftotal'!$A$4:$S$27"}</definedName>
    <definedName name="ASFDA" hidden="1">{"'ridftotal'!$A$4:$S$27"}</definedName>
    <definedName name="blast1">[10]r!$F$29</definedName>
    <definedName name="blast2">[10]r!$F$29</definedName>
    <definedName name="CC_1_6_10__using_40MM_OTG_Meteal_including_cost_and_conveyance_of_all_materials_and_labour_charge._etc.__Complete" localSheetId="14">#REF!</definedName>
    <definedName name="CC_1_6_10__using_40MM_OTG_Meteal_including_cost_and_conveyance_of_all_materials_and_labour_charge._etc.__Complete">#REF!</definedName>
    <definedName name="cd" localSheetId="14">#REF!</definedName>
    <definedName name="cd">#REF!</definedName>
    <definedName name="crsrate">'[8]lead-st'!$L$12</definedName>
    <definedName name="crss">[8]rdamdata!$J$10</definedName>
    <definedName name="crush">[10]r!$F$30</definedName>
    <definedName name="crust" localSheetId="14">[11]Data.F8.BTR!#REF!</definedName>
    <definedName name="crust">[11]Data.F8.BTR!#REF!</definedName>
    <definedName name="CWSUMP">'[12]DATA-BASE'!$I$6:$T$22</definedName>
    <definedName name="D" localSheetId="14">#REF!</definedName>
    <definedName name="d">#REF!</definedName>
    <definedName name="D.t" localSheetId="14">[13]data!#REF!</definedName>
    <definedName name="D.t">[13]data!#REF!</definedName>
    <definedName name="data" localSheetId="14">[14]Data!#REF!</definedName>
    <definedName name="data">[14]Data!#REF!</definedName>
    <definedName name="data1" localSheetId="14" hidden="1">#REF!</definedName>
    <definedName name="data1" localSheetId="13" hidden="1">#REF!</definedName>
    <definedName name="data1" localSheetId="12" hidden="1">#REF!</definedName>
    <definedName name="data1" localSheetId="9" hidden="1">#REF!</definedName>
    <definedName name="data1" localSheetId="3" hidden="1">#REF!</definedName>
    <definedName name="data1" localSheetId="19" hidden="1">#REF!</definedName>
    <definedName name="data1" localSheetId="2" hidden="1">#REF!</definedName>
    <definedName name="data1" hidden="1">#REF!</definedName>
    <definedName name="data2" localSheetId="14" hidden="1">#REF!</definedName>
    <definedName name="data2" localSheetId="13" hidden="1">#REF!</definedName>
    <definedName name="data2" localSheetId="12" hidden="1">#REF!</definedName>
    <definedName name="data2" localSheetId="9" hidden="1">#REF!</definedName>
    <definedName name="data2" localSheetId="3" hidden="1">#REF!</definedName>
    <definedName name="data2" localSheetId="19" hidden="1">#REF!</definedName>
    <definedName name="data2" localSheetId="2" hidden="1">#REF!</definedName>
    <definedName name="data2" hidden="1">#REF!</definedName>
    <definedName name="data3" localSheetId="14" hidden="1">#REF!</definedName>
    <definedName name="data3" localSheetId="13" hidden="1">#REF!</definedName>
    <definedName name="data3" localSheetId="12" hidden="1">#REF!</definedName>
    <definedName name="data3" localSheetId="9" hidden="1">#REF!</definedName>
    <definedName name="data3" localSheetId="3" hidden="1">#REF!</definedName>
    <definedName name="data3" localSheetId="19" hidden="1">#REF!</definedName>
    <definedName name="data3" localSheetId="2" hidden="1">#REF!</definedName>
    <definedName name="data3" hidden="1">#REF!</definedName>
    <definedName name="data4" localSheetId="14">#REF!</definedName>
    <definedName name="data4">#REF!</definedName>
    <definedName name="DATA6" localSheetId="14">#REF!</definedName>
    <definedName name="DATA6">#REF!</definedName>
    <definedName name="DD" localSheetId="14">#REF!</definedName>
    <definedName name="DD">#REF!</definedName>
    <definedName name="ddd" localSheetId="14" hidden="1">'[9]final abstract'!#REF!</definedName>
    <definedName name="ddd" localSheetId="13" hidden="1">'[9]final abstract'!#REF!</definedName>
    <definedName name="ddd" localSheetId="12" hidden="1">'[9]final abstract'!#REF!</definedName>
    <definedName name="ddd" localSheetId="9" hidden="1">'[9]final abstract'!#REF!</definedName>
    <definedName name="ddd" localSheetId="3" hidden="1">'[9]final abstract'!#REF!</definedName>
    <definedName name="ddd" localSheetId="19" hidden="1">'[9]final abstract'!#REF!</definedName>
    <definedName name="ddd" localSheetId="2" hidden="1">'[9]final abstract'!#REF!</definedName>
    <definedName name="ddd" hidden="1">'[9]final abstract'!#REF!</definedName>
    <definedName name="dfas" localSheetId="14" hidden="1">'[9]final abstract'!#REF!</definedName>
    <definedName name="dfas" localSheetId="13" hidden="1">'[9]final abstract'!#REF!</definedName>
    <definedName name="dfas" localSheetId="12" hidden="1">'[9]final abstract'!#REF!</definedName>
    <definedName name="dfas" localSheetId="9" hidden="1">'[9]final abstract'!#REF!</definedName>
    <definedName name="dfas" localSheetId="19" hidden="1">'[9]final abstract'!#REF!</definedName>
    <definedName name="dfas" localSheetId="2" hidden="1">'[9]final abstract'!#REF!</definedName>
    <definedName name="dfas" hidden="1">'[9]final abstract'!#REF!</definedName>
    <definedName name="Discount" localSheetId="14" hidden="1">#REF!</definedName>
    <definedName name="Discount" localSheetId="13" hidden="1">#REF!</definedName>
    <definedName name="Discount" localSheetId="12" hidden="1">#REF!</definedName>
    <definedName name="Discount" localSheetId="9" hidden="1">#REF!</definedName>
    <definedName name="Discount" localSheetId="3" hidden="1">#REF!</definedName>
    <definedName name="Discount" localSheetId="19" hidden="1">#REF!</definedName>
    <definedName name="Discount" localSheetId="2" hidden="1">#REF!</definedName>
    <definedName name="Discount" hidden="1">#REF!</definedName>
    <definedName name="display_area_2" localSheetId="14" hidden="1">#REF!</definedName>
    <definedName name="display_area_2" localSheetId="13" hidden="1">#REF!</definedName>
    <definedName name="display_area_2" localSheetId="12" hidden="1">#REF!</definedName>
    <definedName name="display_area_2" localSheetId="9" hidden="1">#REF!</definedName>
    <definedName name="display_area_2" localSheetId="3" hidden="1">#REF!</definedName>
    <definedName name="display_area_2" localSheetId="19" hidden="1">#REF!</definedName>
    <definedName name="display_area_2" localSheetId="2" hidden="1">#REF!</definedName>
    <definedName name="display_area_2" hidden="1">#REF!</definedName>
    <definedName name="dsf">[3]leads!$A$3:$E$108</definedName>
    <definedName name="dt" localSheetId="14">#REF!</definedName>
    <definedName name="dt">#REF!</definedName>
    <definedName name="e" localSheetId="14">#REF!</definedName>
    <definedName name="e">#REF!</definedName>
    <definedName name="ec">[15]m!$M$3</definedName>
    <definedName name="f" localSheetId="14">#REF!</definedName>
    <definedName name="f">#REF!</definedName>
    <definedName name="FCode" localSheetId="14" hidden="1">#REF!</definedName>
    <definedName name="FCode" localSheetId="13" hidden="1">#REF!</definedName>
    <definedName name="FCode" localSheetId="12" hidden="1">#REF!</definedName>
    <definedName name="FCode" localSheetId="9" hidden="1">#REF!</definedName>
    <definedName name="FCode" localSheetId="3" hidden="1">#REF!</definedName>
    <definedName name="FCode" localSheetId="19" hidden="1">#REF!</definedName>
    <definedName name="FCode" localSheetId="2" hidden="1">#REF!</definedName>
    <definedName name="FCode" hidden="1">#REF!</definedName>
    <definedName name="fd" localSheetId="14">#REF!</definedName>
    <definedName name="fd">#REF!</definedName>
    <definedName name="FGD" localSheetId="14" hidden="1">{"'ridftotal'!$A$4:$S$27"}</definedName>
    <definedName name="FGD" localSheetId="13" hidden="1">{"'ridftotal'!$A$4:$S$27"}</definedName>
    <definedName name="FGD" localSheetId="12" hidden="1">{"'ridftotal'!$A$4:$S$27"}</definedName>
    <definedName name="FGD" localSheetId="3" hidden="1">{"'ridftotal'!$A$4:$S$27"}</definedName>
    <definedName name="FGD" localSheetId="2" hidden="1">{"'ridftotal'!$A$4:$S$27"}</definedName>
    <definedName name="FGD" hidden="1">{"'ridftotal'!$A$4:$S$27"}</definedName>
    <definedName name="FGHH" localSheetId="14" hidden="1">{"'ridftotal'!$A$4:$S$27"}</definedName>
    <definedName name="FGHH" localSheetId="13" hidden="1">{"'ridftotal'!$A$4:$S$27"}</definedName>
    <definedName name="FGHH" localSheetId="12" hidden="1">{"'ridftotal'!$A$4:$S$27"}</definedName>
    <definedName name="FGHH" localSheetId="3" hidden="1">{"'ridftotal'!$A$4:$S$27"}</definedName>
    <definedName name="FGHH" localSheetId="2" hidden="1">{"'ridftotal'!$A$4:$S$27"}</definedName>
    <definedName name="FGHH" hidden="1">{"'ridftotal'!$A$4:$S$27"}</definedName>
    <definedName name="finished" localSheetId="14">#REF!</definedName>
    <definedName name="finished">#REF!</definedName>
    <definedName name="fsafasf">#REF!</definedName>
    <definedName name="g">#REF!</definedName>
    <definedName name="GHJK" localSheetId="14" hidden="1">{"'ridftotal'!$A$4:$S$27"}</definedName>
    <definedName name="GHJK" localSheetId="13" hidden="1">{"'ridftotal'!$A$4:$S$27"}</definedName>
    <definedName name="GHJK" localSheetId="12" hidden="1">{"'ridftotal'!$A$4:$S$27"}</definedName>
    <definedName name="GHJK" localSheetId="3" hidden="1">{"'ridftotal'!$A$4:$S$27"}</definedName>
    <definedName name="GHJK" localSheetId="2" hidden="1">{"'ridftotal'!$A$4:$S$27"}</definedName>
    <definedName name="GHJK" hidden="1">{"'ridftotal'!$A$4:$S$27"}</definedName>
    <definedName name="GHJKJK" localSheetId="14" hidden="1">{"'ridftotal'!$A$4:$S$27"}</definedName>
    <definedName name="GHJKJK" localSheetId="13" hidden="1">{"'ridftotal'!$A$4:$S$27"}</definedName>
    <definedName name="GHJKJK" localSheetId="12" hidden="1">{"'ridftotal'!$A$4:$S$27"}</definedName>
    <definedName name="GHJKJK" localSheetId="3" hidden="1">{"'ridftotal'!$A$4:$S$27"}</definedName>
    <definedName name="GHJKJK" localSheetId="2" hidden="1">{"'ridftotal'!$A$4:$S$27"}</definedName>
    <definedName name="GHJKJK" hidden="1">{"'ridftotal'!$A$4:$S$27"}</definedName>
    <definedName name="GN" localSheetId="14" hidden="1">{"'ridftotal'!$A$4:$S$27"}</definedName>
    <definedName name="GN" hidden="1">{"'ridftotal'!$A$4:$S$27"}</definedName>
    <definedName name="Header_Row" localSheetId="14">ROW(#REF!)</definedName>
    <definedName name="Header_Row" localSheetId="13">ROW(#REF!)</definedName>
    <definedName name="Header_Row" localSheetId="9">ROW(#REF!)</definedName>
    <definedName name="Header_Row" localSheetId="19">ROW(#REF!)</definedName>
    <definedName name="Header_Row">ROW(#REF!)</definedName>
    <definedName name="HiddenRows" localSheetId="14" hidden="1">#REF!</definedName>
    <definedName name="HiddenRows" localSheetId="13" hidden="1">#REF!</definedName>
    <definedName name="HiddenRows" localSheetId="12" hidden="1">#REF!</definedName>
    <definedName name="HiddenRows" localSheetId="9" hidden="1">#REF!</definedName>
    <definedName name="HiddenRows" localSheetId="3" hidden="1">#REF!</definedName>
    <definedName name="HiddenRows" localSheetId="19" hidden="1">#REF!</definedName>
    <definedName name="HiddenRows" localSheetId="2" hidden="1">#REF!</definedName>
    <definedName name="HiddenRows" hidden="1">#REF!</definedName>
    <definedName name="HJ" localSheetId="14" hidden="1">{"'ridftotal'!$A$4:$S$27"}</definedName>
    <definedName name="HJ" localSheetId="13" hidden="1">{"'ridftotal'!$A$4:$S$27"}</definedName>
    <definedName name="HJ" localSheetId="12" hidden="1">{"'ridftotal'!$A$4:$S$27"}</definedName>
    <definedName name="HJ" localSheetId="3" hidden="1">{"'ridftotal'!$A$4:$S$27"}</definedName>
    <definedName name="HJ" localSheetId="2" hidden="1">{"'ridftotal'!$A$4:$S$27"}</definedName>
    <definedName name="HJ" hidden="1">{"'ridftotal'!$A$4:$S$27"}</definedName>
    <definedName name="HTML_CodePage" hidden="1">1252</definedName>
    <definedName name="HTML_Control" localSheetId="14" hidden="1">{"'ridftotal'!$A$4:$S$27"}</definedName>
    <definedName name="HTML_Control" localSheetId="13" hidden="1">{"'ridftotal'!$A$4:$S$27"}</definedName>
    <definedName name="HTML_Control" localSheetId="12" hidden="1">{"'ridftotal'!$A$4:$S$27"}</definedName>
    <definedName name="HTML_Control" localSheetId="3" hidden="1">{"'ridftotal'!$A$4:$S$27"}</definedName>
    <definedName name="HTML_Control" localSheetId="2" hidden="1">{"'ridftotal'!$A$4:$S$27"}</definedName>
    <definedName name="HTML_Control" hidden="1">{"'ridftotal'!$A$4:$S$27"}</definedName>
    <definedName name="HTML_Description" hidden="1">""</definedName>
    <definedName name="HTML_Email" hidden="1">""</definedName>
    <definedName name="HTML_Header" hidden="1">"ridftotal"</definedName>
    <definedName name="HTML_LastUpdate" hidden="1">"3/31/00"</definedName>
    <definedName name="HTML_LineAfter" hidden="1">FALSE</definedName>
    <definedName name="HTML_LineBefore" hidden="1">FALSE</definedName>
    <definedName name="HTML_Name" hidden="1">"PVKUTUMBA RAO"</definedName>
    <definedName name="HTML_OBDlg2" hidden="1">TRUE</definedName>
    <definedName name="HTML_OBDlg4" hidden="1">TRUE</definedName>
    <definedName name="HTML_OS" hidden="1">0</definedName>
    <definedName name="HTML_PathFile" hidden="1">"C:\MNMGEN\ridf5\MyHTML.htm"</definedName>
    <definedName name="HTML_Title" hidden="1">"absjanfeb2k"</definedName>
    <definedName name="IK" localSheetId="14" hidden="1">{"'ridftotal'!$A$4:$S$27"}</definedName>
    <definedName name="IK" localSheetId="13" hidden="1">{"'ridftotal'!$A$4:$S$27"}</definedName>
    <definedName name="IK" localSheetId="12" hidden="1">{"'ridftotal'!$A$4:$S$27"}</definedName>
    <definedName name="IK" localSheetId="3" hidden="1">{"'ridftotal'!$A$4:$S$27"}</definedName>
    <definedName name="IK" localSheetId="2" hidden="1">{"'ridftotal'!$A$4:$S$27"}</definedName>
    <definedName name="IK" hidden="1">{"'ridftotal'!$A$4:$S$27"}</definedName>
    <definedName name="Index" localSheetId="14" hidden="1">{"'ridftotal'!$A$4:$S$27"}</definedName>
    <definedName name="Index" localSheetId="13" hidden="1">{"'ridftotal'!$A$4:$S$27"}</definedName>
    <definedName name="Index" localSheetId="12" hidden="1">{"'ridftotal'!$A$4:$S$27"}</definedName>
    <definedName name="Index" localSheetId="3" hidden="1">{"'ridftotal'!$A$4:$S$27"}</definedName>
    <definedName name="Index" localSheetId="2" hidden="1">{"'ridftotal'!$A$4:$S$27"}</definedName>
    <definedName name="Index" hidden="1">{"'ridftotal'!$A$4:$S$27"}</definedName>
    <definedName name="io" localSheetId="14">DATE(YEAR([0]!Loan_Start),MONTH([0]!Loan_Start)+Payment_Number,DAY([0]!Loan_Start))</definedName>
    <definedName name="io" localSheetId="13">DATE(YEAR([0]!Loan_Start),MONTH([0]!Loan_Start)+Payment_Number,DAY([0]!Loan_Start))</definedName>
    <definedName name="io" localSheetId="9">DATE(YEAR([0]!Loan_Start),MONTH([0]!Loan_Start)+Payment_Number,DAY([0]!Loan_Start))</definedName>
    <definedName name="io" localSheetId="19">DATE(YEAR([0]!Loan_Start),MONTH([0]!Loan_Start)+Payment_Number,DAY([0]!Loan_Start))</definedName>
    <definedName name="io">DATE(YEAR([0]!Loan_Start),MONTH([0]!Loan_Start)+Payment_Number,DAY([0]!Loan_Start))</definedName>
    <definedName name="jk" localSheetId="14" hidden="1">{"'ridftotal'!$A$4:$S$27"}</definedName>
    <definedName name="jk" localSheetId="13" hidden="1">{"'ridftotal'!$A$4:$S$27"}</definedName>
    <definedName name="jk" localSheetId="12" hidden="1">{"'ridftotal'!$A$4:$S$27"}</definedName>
    <definedName name="jk" localSheetId="3" hidden="1">{"'ridftotal'!$A$4:$S$27"}</definedName>
    <definedName name="jk" localSheetId="2" hidden="1">{"'ridftotal'!$A$4:$S$27"}</definedName>
    <definedName name="jk" hidden="1">{"'ridftotal'!$A$4:$S$27"}</definedName>
    <definedName name="KADA" localSheetId="14" hidden="1">{"'ridftotal'!$A$4:$S$27"}</definedName>
    <definedName name="KADA" localSheetId="13" hidden="1">{"'ridftotal'!$A$4:$S$27"}</definedName>
    <definedName name="KADA" localSheetId="12" hidden="1">{"'ridftotal'!$A$4:$S$27"}</definedName>
    <definedName name="KADA" localSheetId="3" hidden="1">{"'ridftotal'!$A$4:$S$27"}</definedName>
    <definedName name="KADA" localSheetId="2" hidden="1">{"'ridftotal'!$A$4:$S$27"}</definedName>
    <definedName name="KADA" hidden="1">{"'ridftotal'!$A$4:$S$27"}</definedName>
    <definedName name="kADAPA" localSheetId="14" hidden="1">{"'ridftotal'!$A$4:$S$27"}</definedName>
    <definedName name="kADAPA" localSheetId="13" hidden="1">{"'ridftotal'!$A$4:$S$27"}</definedName>
    <definedName name="kADAPA" localSheetId="12" hidden="1">{"'ridftotal'!$A$4:$S$27"}</definedName>
    <definedName name="kADAPA" localSheetId="3" hidden="1">{"'ridftotal'!$A$4:$S$27"}</definedName>
    <definedName name="kADAPA" localSheetId="2" hidden="1">{"'ridftotal'!$A$4:$S$27"}</definedName>
    <definedName name="kADAPA" hidden="1">{"'ridftotal'!$A$4:$S$27"}</definedName>
    <definedName name="KJ" localSheetId="14" hidden="1">{"'ridftotal'!$A$4:$S$27"}</definedName>
    <definedName name="KJ" hidden="1">{"'ridftotal'!$A$4:$S$27"}</definedName>
    <definedName name="kjghd" localSheetId="14">OFFSET([0]!Full_Print,0,0,[16]CR!Last_Row)</definedName>
    <definedName name="kjghd" localSheetId="19">#N/A</definedName>
    <definedName name="kjghd">OFFSET([0]!Full_Print,0,0,[16]CR!Last_Row)</definedName>
    <definedName name="l">[17]Labour!$D$8</definedName>
    <definedName name="L_Bhisti">[18]Labour!$D$3</definedName>
    <definedName name="L_BitumenSprayer">[17]Labour!$D$4</definedName>
    <definedName name="L_Blacksmith">[18]Labour!$D$5</definedName>
    <definedName name="L_Blaster">[19]Labour!$D$6</definedName>
    <definedName name="L_ChipsSpreader">[17]Labour!$D$8</definedName>
    <definedName name="L_Driller">[19]Labour!$D$11</definedName>
    <definedName name="L_Mason_1stClass">[18]Labour!$D$14</definedName>
    <definedName name="L_Mason_2ndClass">[18]Labour!$D$15</definedName>
    <definedName name="L_Mate">[18]Labour!$D$16</definedName>
    <definedName name="L_Mazdoor">[18]Labour!$D$17</definedName>
    <definedName name="L_Mazdoor_Semi">[18]Labour!$D$18</definedName>
    <definedName name="L_Mazdoor_Skilled">[18]Labour!$D$19</definedName>
    <definedName name="L_Surveyor">[18]Labour!$D$22</definedName>
    <definedName name="Last_Row" localSheetId="14">IF([16]CR!Values_Entered,'check slip'!Header_Row+[16]CR!Number_of_Payments,'check slip'!Header_Row)</definedName>
    <definedName name="Last_Row" localSheetId="19">#N/A</definedName>
    <definedName name="Last_Row">IF([16]CR!Values_Entered,[0]!Header_Row+[16]CR!Number_of_Payments,[0]!Header_Row)</definedName>
    <definedName name="lead" localSheetId="14">#REF!</definedName>
    <definedName name="lead">#REF!</definedName>
    <definedName name="lead_prin" localSheetId="14">#REF!</definedName>
    <definedName name="lead_prin">#REF!</definedName>
    <definedName name="lead3" localSheetId="14">#REF!</definedName>
    <definedName name="lead3">#REF!</definedName>
    <definedName name="leadprin">#REF!</definedName>
    <definedName name="leads1">[20]leads!$A$3:$F$53</definedName>
    <definedName name="leads11">[1]leads!$A$3:$E$107</definedName>
    <definedName name="LSNO1">[21]Lead!$N$7</definedName>
    <definedName name="LSNO24">[21]Lead!$N$26</definedName>
    <definedName name="LSNO26">[21]Lead!$N$28</definedName>
    <definedName name="LSNO3">[21]Lead!$N$9</definedName>
    <definedName name="M_ACPipe_100">[19]Material!$D$3</definedName>
    <definedName name="M_Aggregate_10">[18]Material!$D$17</definedName>
    <definedName name="M_Aggregate_20">[18]Material!$D$18</definedName>
    <definedName name="M_Aggregate_375mmMaximum_224_56mm">[18]Material!$D$4</definedName>
    <definedName name="M_Aggregate_40">[18]Material!$D$19</definedName>
    <definedName name="M_Aggregate_GradeII_19mmNominal_10_5mm">[22]Material!$D$14</definedName>
    <definedName name="M_Aggregate_GradeII_19mmNominal_25_10mm">[22]Material!$D$15</definedName>
    <definedName name="M_Aggregate_GradeII_19mmNominal_5mm_below">[22]Material!$D$16</definedName>
    <definedName name="M_BindingWire">[19]Material!$D$38</definedName>
    <definedName name="M_Bitumen_CRM">[22]Material!$D$39</definedName>
    <definedName name="M_Bitumen_NRM">[22]Material!$D$40</definedName>
    <definedName name="M_Bitumen_PM">[22]Material!$D$41</definedName>
    <definedName name="M_Bitumen_S65">[17]Material!$D$42</definedName>
    <definedName name="M_Bitumen_S90">[17]Material!$D$43</definedName>
    <definedName name="M_BitumenEmulsion_RS1">[22]Material!$D$44</definedName>
    <definedName name="M_BitumenEmulsion_SS1">[18]Material!$D$45</definedName>
    <definedName name="M_BitumenSealant">[18]Material!$D$46</definedName>
    <definedName name="M_Blasted_Rubble">[19]Material!$D$47</definedName>
    <definedName name="M_BlastingMaterial">[19]Material!$D$48</definedName>
    <definedName name="M_BondStone_400_150_150mm">[19]Material!$D$49</definedName>
    <definedName name="M_Brick_1stClass">[19]Material!$D$50</definedName>
    <definedName name="M_Cement">[18]Material!$D$51</definedName>
    <definedName name="M_CompensationForEarthTakenFromPrivateLand">[17]Material!$D$54</definedName>
    <definedName name="M_CrushedSand_OR_Grit">[22]Material!$D$61</definedName>
    <definedName name="M_CrushedStoneChipping_132">[22]Material!$D$64</definedName>
    <definedName name="M_CrushedStoneChipping_67mm_100Passing_112mm">[22]Material!$D$65</definedName>
    <definedName name="M_CrushedStoneChipping_67mm_100Passing_95mm">[22]Material!$D$66</definedName>
    <definedName name="M_CrushedStoneChipping_95">[22]Material!$D$67</definedName>
    <definedName name="M_CrushedStoneCoarseAggregatePassing_53mm">[17]Material!$D$68</definedName>
    <definedName name="M_CuringCompound">[18]Material!$D$69</definedName>
    <definedName name="M_DebondingStrips">[18]Material!$D$70</definedName>
    <definedName name="M_ElastomericBearingAssembly">[19]Material!$D$73</definedName>
    <definedName name="M_ElectricDetonator">[19]Material!$D$74</definedName>
    <definedName name="M_FilterMedia">[19]Material!$D$79</definedName>
    <definedName name="M_GranularMaterial">[19]Material!$D$88</definedName>
    <definedName name="M_HandBrokenMetal_40mm">[22]Material!$D$89</definedName>
    <definedName name="M_InterlockingBlocks_60mm">[22]Material!$D$91</definedName>
    <definedName name="M_InterlockingBlocks_80mm">[22]Material!$D$92</definedName>
    <definedName name="M_JointFillerBoard">[18]Material!$D$93</definedName>
    <definedName name="M_JuteRope_12mm">[18]Material!$D$95</definedName>
    <definedName name="M_KeyAggregatesPassing_224mm">[17]Material!$D$96</definedName>
    <definedName name="M_Lime">[19]Material!$D$97</definedName>
    <definedName name="M_MSClamps">[19]Material!$D$102</definedName>
    <definedName name="M_Plasticizer">[18]Material!$D$109</definedName>
    <definedName name="M_PolytheneSheet_125">[18]Material!$D$110</definedName>
    <definedName name="M_PolytheneSheething">[18]Material!$D$111</definedName>
    <definedName name="M_RCCPipeNP3_1000mm">[18]Material!$D$114</definedName>
    <definedName name="M_RCCPipeNP3_1200mm">[18]Material!$D$113</definedName>
    <definedName name="M_RCCPipeNP3_500mm">[18]Material!$D$117</definedName>
    <definedName name="M_RCCPipeNP3_750mm">[18]Material!$D$115</definedName>
    <definedName name="M_RCCPipeNP4_1000mm">[18]Material!$D$119</definedName>
    <definedName name="M_RCCPipeNP4_1200mm">[18]Material!$D$118</definedName>
    <definedName name="M_RCCPipeNP4_500mm">[18]Material!$D$122</definedName>
    <definedName name="M_RCCPipeNP4_750mm">[18]Material!$D$120</definedName>
    <definedName name="M_Sand_Coarse">[18]Material!$D$125</definedName>
    <definedName name="M_Sand_Fine">[18]Material!$D$126</definedName>
    <definedName name="M_SteelReinforcement_HYSDBars">[19]Material!$D$129</definedName>
    <definedName name="M_SteelReinforcement_MSRoundBars">[18]Material!$D$130</definedName>
    <definedName name="M_SteelReinforcement_TMTBars">[19]Material!$D$131</definedName>
    <definedName name="M_StoneBoulder_150mm_below">[17]Material!$D$132</definedName>
    <definedName name="M_StoneChips_12mm">[22]Material!$D$133</definedName>
    <definedName name="M_StoneCrushedAggregate_112_009mm">[22]Material!$D$135</definedName>
    <definedName name="M_StoneForCoarseRubbleMasonry_1stSort">[19]Material!$D$136</definedName>
    <definedName name="M_StoneForCoarseRubbleMasonry_2ndSort">[19]Material!$D$137</definedName>
    <definedName name="M_StoneForRandomRubbleMasonry">[19]Material!$D$138</definedName>
    <definedName name="M_StoneSpalls">[17]Material!$D$144</definedName>
    <definedName name="M_Water">[18]Material!$D$146</definedName>
    <definedName name="MAN">[15]m!$B$149</definedName>
    <definedName name="metal" localSheetId="14">#REF!</definedName>
    <definedName name="metal">#REF!</definedName>
    <definedName name="metal1" localSheetId="14">#REF!</definedName>
    <definedName name="metal1">#REF!</definedName>
    <definedName name="metal11" localSheetId="14">#REF!</definedName>
    <definedName name="metal11">#REF!</definedName>
    <definedName name="metal3">#REF!</definedName>
    <definedName name="MK" localSheetId="14" hidden="1">{"'ridftotal'!$A$4:$S$27"}</definedName>
    <definedName name="MK" localSheetId="13" hidden="1">{"'ridftotal'!$A$4:$S$27"}</definedName>
    <definedName name="MK" localSheetId="12" hidden="1">{"'ridftotal'!$A$4:$S$27"}</definedName>
    <definedName name="MK" localSheetId="3" hidden="1">{"'ridftotal'!$A$4:$S$27"}</definedName>
    <definedName name="MK" localSheetId="2" hidden="1">{"'ridftotal'!$A$4:$S$27"}</definedName>
    <definedName name="MK" hidden="1">{"'ridftotal'!$A$4:$S$27"}</definedName>
    <definedName name="mm">[10]r!$F$4</definedName>
    <definedName name="mone">[10]r!$F$2</definedName>
    <definedName name="mone1">[2]r!$F$2</definedName>
    <definedName name="mtwo">[10]r!$F$3</definedName>
    <definedName name="mtwo1">[2]r!$F$3</definedName>
    <definedName name="mymax">[23]Levels!$P$5</definedName>
    <definedName name="mymin">[23]Levels!$O$5</definedName>
    <definedName name="n" localSheetId="14">#REF!</definedName>
    <definedName name="n">#REF!</definedName>
    <definedName name="newdata" localSheetId="14">#REF!</definedName>
    <definedName name="newdata">#REF!</definedName>
    <definedName name="NM" localSheetId="14" hidden="1">{"'ridftotal'!$A$4:$S$27"}</definedName>
    <definedName name="NM" localSheetId="13" hidden="1">{"'ridftotal'!$A$4:$S$27"}</definedName>
    <definedName name="NM" localSheetId="12" hidden="1">{"'ridftotal'!$A$4:$S$27"}</definedName>
    <definedName name="NM" localSheetId="3" hidden="1">{"'ridftotal'!$A$4:$S$27"}</definedName>
    <definedName name="NM" localSheetId="2" hidden="1">{"'ridftotal'!$A$4:$S$27"}</definedName>
    <definedName name="NM" hidden="1">{"'ridftotal'!$A$4:$S$27"}</definedName>
    <definedName name="nn" localSheetId="14" hidden="1">{"'ridftotal'!$A$4:$S$27"}</definedName>
    <definedName name="nn" hidden="1">{"'ridftotal'!$A$4:$S$27"}</definedName>
    <definedName name="Number_of_Payments" localSheetId="14">MATCH(0.01,[0]!End_Bal,-1)+1</definedName>
    <definedName name="Number_of_Payments" localSheetId="13">MATCH(0.01,[0]!End_Bal,-1)+1</definedName>
    <definedName name="Number_of_Payments" localSheetId="9">MATCH(0.01,[0]!End_Bal,-1)+1</definedName>
    <definedName name="Number_of_Payments" localSheetId="19">MATCH(0.01,[0]!End_Bal,-1)+1</definedName>
    <definedName name="Number_of_Payments">MATCH(0.01,[0]!End_Bal,-1)+1</definedName>
    <definedName name="nw" localSheetId="14">#REF!</definedName>
    <definedName name="nw">#REF!</definedName>
    <definedName name="OrderTable" localSheetId="14" hidden="1">#REF!</definedName>
    <definedName name="OrderTable" localSheetId="13" hidden="1">#REF!</definedName>
    <definedName name="OrderTable" localSheetId="12" hidden="1">#REF!</definedName>
    <definedName name="OrderTable" localSheetId="9" hidden="1">#REF!</definedName>
    <definedName name="OrderTable" localSheetId="3" hidden="1">#REF!</definedName>
    <definedName name="OrderTable" localSheetId="19" hidden="1">#REF!</definedName>
    <definedName name="OrderTable" localSheetId="2" hidden="1">#REF!</definedName>
    <definedName name="OrderTable" hidden="1">#REF!</definedName>
    <definedName name="Payment_Date" localSheetId="14">DATE(YEAR([0]!Loan_Start),MONTH([0]!Loan_Start)+Payment_Number,DAY([0]!Loan_Start))</definedName>
    <definedName name="Payment_Date" localSheetId="13">DATE(YEAR([0]!Loan_Start),MONTH([0]!Loan_Start)+Payment_Number,DAY([0]!Loan_Start))</definedName>
    <definedName name="Payment_Date" localSheetId="9">DATE(YEAR([0]!Loan_Start),MONTH([0]!Loan_Start)+Payment_Number,DAY([0]!Loan_Start))</definedName>
    <definedName name="Payment_Date" localSheetId="19">DATE(YEAR([0]!Loan_Start),MONTH([0]!Loan_Start)+Payment_Number,DAY([0]!Loan_Start))</definedName>
    <definedName name="Payment_Date">DATE(YEAR([0]!Loan_Start),MONTH([0]!Loan_Start)+Payment_Number,DAY([0]!Loan_Start))</definedName>
    <definedName name="pc">#REF!</definedName>
    <definedName name="pi">3.1415</definedName>
    <definedName name="PM_AirCompressor_210cfm">'[18]Plant &amp;  Machinery'!$G$4</definedName>
    <definedName name="PM_BatchMixHMP_46_60THP">'[22]Plant &amp;  Machinery'!$G$5</definedName>
    <definedName name="PM_BatchTypeHMP_30_40">'[17]Plant &amp;  Machinery'!$G$6</definedName>
    <definedName name="PM_BitumenBoilerOilFired_1000">'[17]Plant &amp;  Machinery'!$G$9</definedName>
    <definedName name="PM_BitumenBoilerOilFired_200">'[22]Plant &amp;  Machinery'!$G$8</definedName>
    <definedName name="PM_BitumenEmulsionPressureDistributor">'[22]Plant &amp;  Machinery'!$G$10</definedName>
    <definedName name="PM_ConcreteMixer">'[18]Plant &amp;  Machinery'!$G$11</definedName>
    <definedName name="PM_Dozer_D50">'[18]Plant &amp;  Machinery'!$G$13</definedName>
    <definedName name="PM_ElectricGeneratorSet_125">'[17]Plant &amp;  Machinery'!$G$15</definedName>
    <definedName name="PM_FrontEndLoader_1cum">'[17]Plant &amp;  Machinery'!$G$17</definedName>
    <definedName name="PM_HydraulicBroom">'[22]Plant &amp;  Machinery'!$G$19</definedName>
    <definedName name="PM_HydraulicExcavator_09cum">'[17]Plant &amp;  Machinery'!$G$20</definedName>
    <definedName name="PM_HydraulicSelfPropelledChipSpreader">'[22]Plant &amp;  Machinery'!$G$21</definedName>
    <definedName name="PM_JointCuttingMachine">'[18]Plant &amp;  Machinery'!$G$23</definedName>
    <definedName name="PM_Mixall_6_10t">'[22]Plant &amp;  Machinery'!$G$24</definedName>
    <definedName name="PM_MotorGrader">'[17]Plant &amp;  Machinery'!$G$25</definedName>
    <definedName name="PM_NeedleVibrator">'[18]Plant &amp;  Machinery'!$G$27</definedName>
    <definedName name="PM_PaverFinisher">'[17]Plant &amp;  Machinery'!$G$28</definedName>
    <definedName name="PM_PlateVibrator">'[18]Plant &amp;  Machinery'!$G$30</definedName>
    <definedName name="PM_ScreedVibrator">'[18]Plant &amp;  Machinery'!$G$31</definedName>
    <definedName name="PM_ThreeWheeled_80_100kN_StaticRoller">'[17]Plant &amp;  Machinery'!$G$34</definedName>
    <definedName name="PM_Tipper_55">'[17]Plant &amp;  Machinery'!$G$45</definedName>
    <definedName name="PM_Tractor_Trolley">'[18]Plant &amp;  Machinery'!$G$48</definedName>
    <definedName name="PM_VibratoryRoller_80_100kN">'[22]Plant &amp;  Machinery'!$G$51</definedName>
    <definedName name="PM_WaterTanker_6kl">'[18]Plant &amp;  Machinery'!$G$53</definedName>
    <definedName name="_xlnm.Print_Area" localSheetId="15">'C-1 '!$A$1:$G$57</definedName>
    <definedName name="_xlnm.Print_Area" localSheetId="16">'CC f'!$A$1:$J$90</definedName>
    <definedName name="_xlnm.Print_Area" localSheetId="14">'check slip'!$A$1:$G$31</definedName>
    <definedName name="_xlnm.Print_Area" localSheetId="13" xml:space="preserve">          CR!$A$1:$M$56</definedName>
    <definedName name="_xlnm.Print_Area" localSheetId="12" xml:space="preserve">          CS!$A$1:$M$263</definedName>
    <definedName name="_xlnm.Print_Area" localSheetId="6">'DATA 2025-26'!$A$1:$G$997</definedName>
    <definedName name="_xlnm.Print_Area" localSheetId="9">'doors 2025-26'!$A$1:$H$266</definedName>
    <definedName name="_xlnm.Print_Area" localSheetId="8">'Ele Data 2025-26'!$A$1:$I$318</definedName>
    <definedName name="_xlnm.Print_Area" localSheetId="3">ESTIMATE!$A$1:$M$1667</definedName>
    <definedName name="_xlnm.Print_Area" localSheetId="5">'lead 25-26'!$A$1:$L$34</definedName>
    <definedName name="_xlnm.Print_Area" localSheetId="7">'sani data 2024-25'!$A$1:$G$157</definedName>
    <definedName name="_xlnm.Print_Area" localSheetId="4">Seigneorage!$A$1:$U$61</definedName>
    <definedName name="_xlnm.Print_Area" localSheetId="19">'Seigneorage (2)'!$A$1:$U$55</definedName>
    <definedName name="_xlnm.Print_Area" localSheetId="2">SPE!$A$1:$I$70</definedName>
    <definedName name="Print_Area_Reset" localSheetId="14">OFFSET([0]!Full_Print,0,0,'check slip'!Last_Row)</definedName>
    <definedName name="Print_Area_Reset" localSheetId="13">OFFSET([0]!Full_Print,0,0,[0]!Last_Row)</definedName>
    <definedName name="Print_Area_Reset" localSheetId="9">OFFSET([0]!Full_Print,0,0,[0]!Last_Row)</definedName>
    <definedName name="Print_Area_Reset" localSheetId="19">OFFSET([0]!Full_Print,0,0,'Seigneorage (2)'!Last_Row)</definedName>
    <definedName name="Print_Area_Reset">OFFSET([0]!Full_Print,0,0,Last_Row)</definedName>
    <definedName name="_xlnm.Print_Titles" localSheetId="16">'CC f'!$13:$14</definedName>
    <definedName name="_xlnm.Print_Titles" localSheetId="11">'convey 25-26'!$3:$4</definedName>
    <definedName name="_xlnm.Print_Titles" localSheetId="13">CR!$4:$6</definedName>
    <definedName name="_xlnm.Print_Titles" localSheetId="12">CS!$4:$6</definedName>
    <definedName name="_xlnm.Print_Titles" localSheetId="6">'DATA 2025-26'!$5:$5</definedName>
    <definedName name="_xlnm.Print_Titles" localSheetId="9">'doors 2025-26'!$5:$5</definedName>
    <definedName name="_xlnm.Print_Titles" localSheetId="8">'Ele Data 2025-26'!$2:$3</definedName>
    <definedName name="_xlnm.Print_Titles" localSheetId="3">ESTIMATE!$4:$6</definedName>
    <definedName name="_xlnm.Print_Titles" localSheetId="5">'lead 25-26'!$5:$7</definedName>
    <definedName name="_xlnm.Print_Titles" localSheetId="7">'sani data 2024-25'!$2:$3</definedName>
    <definedName name="_xlnm.Print_Titles" localSheetId="4">Seigneorage!$3:$3</definedName>
    <definedName name="_xlnm.Print_Titles" localSheetId="19">'Seigneorage (2)'!$3:$3</definedName>
    <definedName name="ProdForm" localSheetId="14" hidden="1">#REF!</definedName>
    <definedName name="ProdForm" localSheetId="13" hidden="1">#REF!</definedName>
    <definedName name="ProdForm" localSheetId="12" hidden="1">#REF!</definedName>
    <definedName name="ProdForm" localSheetId="9" hidden="1">#REF!</definedName>
    <definedName name="ProdForm" localSheetId="3" hidden="1">#REF!</definedName>
    <definedName name="ProdForm" localSheetId="19" hidden="1">#REF!</definedName>
    <definedName name="ProdForm" localSheetId="2" hidden="1">#REF!</definedName>
    <definedName name="ProdForm" hidden="1">#REF!</definedName>
    <definedName name="Product" localSheetId="14" hidden="1">#REF!</definedName>
    <definedName name="Product" localSheetId="13" hidden="1">#REF!</definedName>
    <definedName name="Product" localSheetId="12" hidden="1">#REF!</definedName>
    <definedName name="Product" localSheetId="9" hidden="1">#REF!</definedName>
    <definedName name="Product" localSheetId="3" hidden="1">#REF!</definedName>
    <definedName name="Product" localSheetId="19" hidden="1">#REF!</definedName>
    <definedName name="Product" localSheetId="2" hidden="1">#REF!</definedName>
    <definedName name="Product" hidden="1">#REF!</definedName>
    <definedName name="rate12">'[8]lead-st'!$L$9</definedName>
    <definedName name="rate20">'[8]lead-st'!$L$8</definedName>
    <definedName name="rate40">'[8]lead-st'!$L$7</definedName>
    <definedName name="ratecrs">'[8]lead-st'!$L$12</definedName>
    <definedName name="raterough">'[8]lead-st'!$L$13</definedName>
    <definedName name="raterr">'[8]lead-st'!$L$11</definedName>
    <definedName name="rates" localSheetId="14">#REF!</definedName>
    <definedName name="rates">#REF!</definedName>
    <definedName name="rates1" localSheetId="14">#REF!</definedName>
    <definedName name="rates1">#REF!</definedName>
    <definedName name="rates11" localSheetId="14">#REF!</definedName>
    <definedName name="rates11">#REF!</definedName>
    <definedName name="rates4">#REF!</definedName>
    <definedName name="ratesand">'[8]lead-st'!$L$10</definedName>
    <definedName name="RCArea" localSheetId="14" hidden="1">#REF!</definedName>
    <definedName name="RCArea" localSheetId="13" hidden="1">#REF!</definedName>
    <definedName name="RCArea" localSheetId="12" hidden="1">#REF!</definedName>
    <definedName name="RCArea" localSheetId="9" hidden="1">#REF!</definedName>
    <definedName name="RCArea" localSheetId="3" hidden="1">#REF!</definedName>
    <definedName name="RCArea" localSheetId="19" hidden="1">#REF!</definedName>
    <definedName name="RCArea" localSheetId="2" hidden="1">#REF!</definedName>
    <definedName name="RCArea" hidden="1">#REF!</definedName>
    <definedName name="road" localSheetId="14">[24]Lead!#REF!</definedName>
    <definedName name="road">[24]Lead!#REF!</definedName>
    <definedName name="rrg">[25]r!$F$7</definedName>
    <definedName name="rrrate">'[8]lead-st'!$L$11</definedName>
    <definedName name="rrs">[8]rdamdata!$J$9</definedName>
    <definedName name="rstone">[8]rdamdata!$J$11</definedName>
    <definedName name="s" localSheetId="14">#REF!</definedName>
    <definedName name="s">#REF!</definedName>
    <definedName name="S.F" localSheetId="14" hidden="1">'[9]final abstract'!#REF!</definedName>
    <definedName name="S.F" localSheetId="13" hidden="1">'[9]final abstract'!#REF!</definedName>
    <definedName name="S.F" localSheetId="12" hidden="1">'[9]final abstract'!#REF!</definedName>
    <definedName name="S.F" localSheetId="9" hidden="1">'[9]final abstract'!#REF!</definedName>
    <definedName name="S.F" localSheetId="3" hidden="1">'[9]final abstract'!#REF!</definedName>
    <definedName name="S.F" localSheetId="19" hidden="1">'[9]final abstract'!#REF!</definedName>
    <definedName name="S.F" localSheetId="2" hidden="1">'[9]final abstract'!#REF!</definedName>
    <definedName name="S.F" hidden="1">'[9]final abstract'!#REF!</definedName>
    <definedName name="sadfas" localSheetId="14">#REF!</definedName>
    <definedName name="sadfas">#REF!</definedName>
    <definedName name="sand">[8]rdamdata!$J$12</definedName>
    <definedName name="SD">[15]m!$D$149</definedName>
    <definedName name="sdfs" localSheetId="14">#REF!</definedName>
    <definedName name="sdfs">#REF!</definedName>
    <definedName name="sdfsd" localSheetId="14">[13]data!#REF!</definedName>
    <definedName name="sdfsd">[13]data!#REF!</definedName>
    <definedName name="sein" localSheetId="14">#REF!</definedName>
    <definedName name="sein">#REF!</definedName>
    <definedName name="sein1" localSheetId="14">#REF!</definedName>
    <definedName name="sein1">#REF!</definedName>
    <definedName name="sein4" localSheetId="14">#REF!</definedName>
    <definedName name="sein4">#REF!</definedName>
    <definedName name="sf">#REF!</definedName>
    <definedName name="sfsfsfsf">#REF!</definedName>
    <definedName name="shakeel">#REF!</definedName>
    <definedName name="SKDIRD" localSheetId="14" hidden="1">{"'ridftotal'!$A$4:$S$27"}</definedName>
    <definedName name="SKDIRD" localSheetId="13" hidden="1">{"'ridftotal'!$A$4:$S$27"}</definedName>
    <definedName name="SKDIRD" localSheetId="12" hidden="1">{"'ridftotal'!$A$4:$S$27"}</definedName>
    <definedName name="SKDIRD" localSheetId="3" hidden="1">{"'ridftotal'!$A$4:$S$27"}</definedName>
    <definedName name="SKDIRD" localSheetId="2" hidden="1">{"'ridftotal'!$A$4:$S$27"}</definedName>
    <definedName name="SKDIRD" hidden="1">{"'ridftotal'!$A$4:$S$27"}</definedName>
    <definedName name="SpecialPrice" localSheetId="14" hidden="1">#REF!</definedName>
    <definedName name="SpecialPrice" localSheetId="13" hidden="1">#REF!</definedName>
    <definedName name="SpecialPrice" localSheetId="12" hidden="1">#REF!</definedName>
    <definedName name="SpecialPrice" localSheetId="9" hidden="1">#REF!</definedName>
    <definedName name="SpecialPrice" localSheetId="3" hidden="1">#REF!</definedName>
    <definedName name="SpecialPrice" localSheetId="19" hidden="1">#REF!</definedName>
    <definedName name="SpecialPrice" localSheetId="2" hidden="1">#REF!</definedName>
    <definedName name="SpecialPrice" hidden="1">#REF!</definedName>
    <definedName name="ss">#REF!</definedName>
    <definedName name="sss">#REF!</definedName>
    <definedName name="stack">#REF!</definedName>
    <definedName name="stack1">#REF!</definedName>
    <definedName name="stack4">#REF!</definedName>
    <definedName name="staf" localSheetId="14">[26]v!#REF!</definedName>
    <definedName name="staf">[26]v!#REF!</definedName>
    <definedName name="tbl_ProdInfo" localSheetId="14" hidden="1">#REF!</definedName>
    <definedName name="tbl_ProdInfo" localSheetId="13" hidden="1">#REF!</definedName>
    <definedName name="tbl_ProdInfo" localSheetId="12" hidden="1">#REF!</definedName>
    <definedName name="tbl_ProdInfo" localSheetId="9" hidden="1">#REF!</definedName>
    <definedName name="tbl_ProdInfo" localSheetId="3" hidden="1">#REF!</definedName>
    <definedName name="tbl_ProdInfo" localSheetId="19" hidden="1">#REF!</definedName>
    <definedName name="tbl_ProdInfo" localSheetId="2" hidden="1">#REF!</definedName>
    <definedName name="tbl_ProdInfo" hidden="1">#REF!</definedName>
    <definedName name="temp">[6]r!$F$2</definedName>
    <definedName name="TOPDOME">'[12]DATA-ABSTRACT'!$A$11:$B$13</definedName>
    <definedName name="Values_Entered" localSheetId="14">IF([0]!Loan_Amount*[0]!Interest_Rate*[0]!Loan_Years*[0]!Loan_Start&gt;0,1,0)</definedName>
    <definedName name="Values_Entered" localSheetId="13">IF([0]!Loan_Amount*[0]!Interest_Rate*[0]!Loan_Years*[0]!Loan_Start&gt;0,1,0)</definedName>
    <definedName name="Values_Entered" localSheetId="9">IF([0]!Loan_Amount*[0]!Interest_Rate*[0]!Loan_Years*[0]!Loan_Start&gt;0,1,0)</definedName>
    <definedName name="Values_Entered" localSheetId="19">IF([0]!Loan_Amount*[0]!Interest_Rate*[0]!Loan_Years*[0]!Loan_Start&gt;0,1,0)</definedName>
    <definedName name="Values_Entered">IF([0]!Loan_Amount*[0]!Interest_Rate*[0]!Loan_Years*[0]!Loan_Start&gt;0,1,0)</definedName>
    <definedName name="var" localSheetId="14">#REF!</definedName>
    <definedName name="var">#REF!</definedName>
    <definedName name="VB" localSheetId="14" hidden="1">{"'ridftotal'!$A$4:$S$27"}</definedName>
    <definedName name="VB" localSheetId="13" hidden="1">{"'ridftotal'!$A$4:$S$27"}</definedName>
    <definedName name="VB" localSheetId="12" hidden="1">{"'ridftotal'!$A$4:$S$27"}</definedName>
    <definedName name="VB" localSheetId="3" hidden="1">{"'ridftotal'!$A$4:$S$27"}</definedName>
    <definedName name="VB" localSheetId="2" hidden="1">{"'ridftotal'!$A$4:$S$27"}</definedName>
    <definedName name="VB" hidden="1">{"'ridftotal'!$A$4:$S$27"}</definedName>
    <definedName name="wc">[10]r!$F$48</definedName>
    <definedName name="wgl" localSheetId="14" hidden="1">{"'ridftotal'!$A$4:$S$27"}</definedName>
    <definedName name="wgl" localSheetId="13" hidden="1">{"'ridftotal'!$A$4:$S$27"}</definedName>
    <definedName name="wgl" localSheetId="12" hidden="1">{"'ridftotal'!$A$4:$S$27"}</definedName>
    <definedName name="wgl" localSheetId="3" hidden="1">{"'ridftotal'!$A$4:$S$27"}</definedName>
    <definedName name="wgl" localSheetId="2" hidden="1">{"'ridftotal'!$A$4:$S$27"}</definedName>
    <definedName name="wgl" hidden="1">{"'ridftotal'!$A$4:$S$27"}</definedName>
    <definedName name="x" localSheetId="15" hidden="1">'[9]final abstract'!#REF!</definedName>
    <definedName name="x" localSheetId="14" hidden="1">'[9]final abstract'!#REF!</definedName>
    <definedName name="x" localSheetId="13" hidden="1">'[9]final abstract'!#REF!</definedName>
    <definedName name="x" localSheetId="12" hidden="1">'[9]final abstract'!#REF!</definedName>
    <definedName name="x" localSheetId="9" hidden="1">'[9]final abstract'!#REF!</definedName>
    <definedName name="x" localSheetId="3" hidden="1">'[9]final abstract'!#REF!</definedName>
    <definedName name="x" localSheetId="19" hidden="1">'[9]final abstract'!#REF!</definedName>
    <definedName name="x" localSheetId="2" hidden="1">'[9]final abstract'!#REF!</definedName>
    <definedName name="x" hidden="1">'[9]final abstract'!#REF!</definedName>
    <definedName name="xx" localSheetId="14" hidden="1">{"'ridftotal'!$A$4:$S$27"}</definedName>
    <definedName name="xx" localSheetId="13" hidden="1">{"'ridftotal'!$A$4:$S$27"}</definedName>
    <definedName name="xx" localSheetId="12" hidden="1">{"'ridftotal'!$A$4:$S$27"}</definedName>
    <definedName name="xx" localSheetId="3" hidden="1">{"'ridftotal'!$A$4:$S$27"}</definedName>
    <definedName name="xx" localSheetId="2" hidden="1">{"'ridftotal'!$A$4:$S$27"}</definedName>
    <definedName name="xx" hidden="1">{"'ridftotal'!$A$4:$S$27"}</definedName>
    <definedName name="xxxx" localSheetId="14" hidden="1">{"'ridftotal'!$A$4:$S$27"}</definedName>
    <definedName name="xxxx" localSheetId="13" hidden="1">{"'ridftotal'!$A$4:$S$27"}</definedName>
    <definedName name="xxxx" localSheetId="12" hidden="1">{"'ridftotal'!$A$4:$S$27"}</definedName>
    <definedName name="xxxx" localSheetId="3" hidden="1">{"'ridftotal'!$A$4:$S$27"}</definedName>
    <definedName name="xxxx" localSheetId="2" hidden="1">{"'ridftotal'!$A$4:$S$27"}</definedName>
    <definedName name="xxxx" hidden="1">{"'ridftotal'!$A$4:$S$27"}</definedName>
  </definedNames>
  <calcPr calcId="191029"/>
</workbook>
</file>

<file path=xl/calcChain.xml><?xml version="1.0" encoding="utf-8"?>
<calcChain xmlns="http://schemas.openxmlformats.org/spreadsheetml/2006/main">
  <c r="H14" i="200" l="1"/>
  <c r="G15" i="158" l="1"/>
  <c r="G14" i="158"/>
  <c r="G13" i="158"/>
  <c r="E37" i="202"/>
  <c r="E38" i="202" s="1"/>
  <c r="E39" i="202" s="1"/>
  <c r="E40" i="202" s="1"/>
  <c r="E41" i="202" s="1"/>
  <c r="E42" i="202" s="1"/>
  <c r="E43" i="202" s="1"/>
  <c r="E44" i="202" s="1"/>
  <c r="E45" i="202" s="1"/>
  <c r="E46" i="202" s="1"/>
  <c r="E47" i="202" s="1"/>
  <c r="E48" i="202" s="1"/>
  <c r="E49" i="202" s="1"/>
  <c r="E50" i="202" s="1"/>
  <c r="E51" i="202" s="1"/>
  <c r="E52" i="202" s="1"/>
  <c r="E53" i="202" s="1"/>
  <c r="E54" i="202" s="1"/>
  <c r="E55" i="202" s="1"/>
  <c r="E56" i="202" s="1"/>
  <c r="E57" i="202" s="1"/>
  <c r="E58" i="202" s="1"/>
  <c r="E59" i="202" s="1"/>
  <c r="E60" i="202" s="1"/>
  <c r="E61" i="202" s="1"/>
  <c r="E62" i="202" s="1"/>
  <c r="E63" i="202" s="1"/>
  <c r="E64" i="202" s="1"/>
  <c r="E65" i="202" s="1"/>
  <c r="E66" i="202" s="1"/>
  <c r="E67" i="202" s="1"/>
  <c r="E68" i="202" s="1"/>
  <c r="E69" i="202" s="1"/>
  <c r="E70" i="202" s="1"/>
  <c r="E71" i="202" s="1"/>
  <c r="E72" i="202" s="1"/>
  <c r="E73" i="202" s="1"/>
  <c r="E74" i="202" s="1"/>
  <c r="E75" i="202" s="1"/>
  <c r="E76" i="202" s="1"/>
  <c r="E77" i="202" s="1"/>
  <c r="E78" i="202" s="1"/>
  <c r="E79" i="202" s="1"/>
  <c r="E80" i="202" s="1"/>
  <c r="E81" i="202" s="1"/>
  <c r="E82" i="202" s="1"/>
  <c r="E83" i="202" s="1"/>
  <c r="E84" i="202" s="1"/>
  <c r="E85" i="202" s="1"/>
  <c r="E86" i="202" s="1"/>
  <c r="E87" i="202" s="1"/>
  <c r="E88" i="202" s="1"/>
  <c r="E89" i="202" s="1"/>
  <c r="E90" i="202" s="1"/>
  <c r="E91" i="202" s="1"/>
  <c r="E92" i="202" s="1"/>
  <c r="E93" i="202" s="1"/>
  <c r="E94" i="202" s="1"/>
  <c r="E95" i="202" s="1"/>
  <c r="E96" i="202" s="1"/>
  <c r="E97" i="202" s="1"/>
  <c r="E98" i="202" s="1"/>
  <c r="E99" i="202" s="1"/>
  <c r="E100" i="202" s="1"/>
  <c r="E101" i="202" s="1"/>
  <c r="E102" i="202" s="1"/>
  <c r="E103" i="202" s="1"/>
  <c r="E104" i="202" s="1"/>
  <c r="E105" i="202" s="1"/>
  <c r="E106" i="202" s="1"/>
  <c r="E107" i="202" s="1"/>
  <c r="E108" i="202" s="1"/>
  <c r="E109" i="202" s="1"/>
  <c r="E110" i="202" s="1"/>
  <c r="E111" i="202" s="1"/>
  <c r="E112" i="202" s="1"/>
  <c r="E113" i="202" s="1"/>
  <c r="E114" i="202" s="1"/>
  <c r="E115" i="202" s="1"/>
  <c r="E116" i="202" s="1"/>
  <c r="E117" i="202" s="1"/>
  <c r="E118" i="202" s="1"/>
  <c r="E119" i="202" s="1"/>
  <c r="E120" i="202" s="1"/>
  <c r="E121" i="202" s="1"/>
  <c r="E122" i="202" s="1"/>
  <c r="E123" i="202" s="1"/>
  <c r="E124" i="202" s="1"/>
  <c r="E125" i="202" s="1"/>
  <c r="E126" i="202" s="1"/>
  <c r="E127" i="202" s="1"/>
  <c r="E128" i="202" s="1"/>
  <c r="E129" i="202" s="1"/>
  <c r="E130" i="202" s="1"/>
  <c r="E131" i="202" s="1"/>
  <c r="E132" i="202" s="1"/>
  <c r="E133" i="202" s="1"/>
  <c r="E134" i="202" s="1"/>
  <c r="E135" i="202" s="1"/>
  <c r="E136" i="202" s="1"/>
  <c r="E137" i="202" s="1"/>
  <c r="E138" i="202" s="1"/>
  <c r="E139" i="202" s="1"/>
  <c r="E140" i="202" s="1"/>
  <c r="E141" i="202" s="1"/>
  <c r="E142" i="202" s="1"/>
  <c r="E143" i="202" s="1"/>
  <c r="E144" i="202" s="1"/>
  <c r="E145" i="202" s="1"/>
  <c r="E146" i="202" s="1"/>
  <c r="E147" i="202" s="1"/>
  <c r="E148" i="202" s="1"/>
  <c r="E149" i="202" s="1"/>
  <c r="E150" i="202" s="1"/>
  <c r="E151" i="202" s="1"/>
  <c r="E152" i="202" s="1"/>
  <c r="E153" i="202" s="1"/>
  <c r="E154" i="202" s="1"/>
  <c r="E155" i="202" s="1"/>
  <c r="E156" i="202" s="1"/>
  <c r="E157" i="202" s="1"/>
  <c r="E158" i="202" s="1"/>
  <c r="E159" i="202" s="1"/>
  <c r="E160" i="202" s="1"/>
  <c r="E161" i="202" s="1"/>
  <c r="E162" i="202" s="1"/>
  <c r="E163" i="202" s="1"/>
  <c r="E164" i="202" s="1"/>
  <c r="E165" i="202" s="1"/>
  <c r="E166" i="202" s="1"/>
  <c r="E167" i="202" s="1"/>
  <c r="E168" i="202" s="1"/>
  <c r="E169" i="202" s="1"/>
  <c r="E170" i="202" s="1"/>
  <c r="E171" i="202" s="1"/>
  <c r="E172" i="202" s="1"/>
  <c r="E173" i="202" s="1"/>
  <c r="E174" i="202" s="1"/>
  <c r="E175" i="202" s="1"/>
  <c r="E176" i="202" s="1"/>
  <c r="E177" i="202" s="1"/>
  <c r="E178" i="202" s="1"/>
  <c r="E179" i="202" s="1"/>
  <c r="E180" i="202" s="1"/>
  <c r="E181" i="202" s="1"/>
  <c r="E182" i="202" s="1"/>
  <c r="E183" i="202" s="1"/>
  <c r="E184" i="202" s="1"/>
  <c r="E185" i="202" s="1"/>
  <c r="E186" i="202" s="1"/>
  <c r="E187" i="202" s="1"/>
  <c r="E188" i="202" s="1"/>
  <c r="E189" i="202" s="1"/>
  <c r="E190" i="202" s="1"/>
  <c r="E191" i="202" s="1"/>
  <c r="E192" i="202" s="1"/>
  <c r="E193" i="202" s="1"/>
  <c r="E194" i="202" s="1"/>
  <c r="E195" i="202" s="1"/>
  <c r="E196" i="202" s="1"/>
  <c r="E197" i="202" s="1"/>
  <c r="E198" i="202" s="1"/>
  <c r="E199" i="202" s="1"/>
  <c r="E200" i="202" s="1"/>
  <c r="E201" i="202" s="1"/>
  <c r="E202" i="202" s="1"/>
  <c r="E203" i="202" s="1"/>
  <c r="E204" i="202" s="1"/>
  <c r="E205" i="202" s="1"/>
  <c r="E206" i="202" s="1"/>
  <c r="E207" i="202" s="1"/>
  <c r="E208" i="202" s="1"/>
  <c r="E209" i="202" s="1"/>
  <c r="E210" i="202" s="1"/>
  <c r="E211" i="202" s="1"/>
  <c r="E212" i="202" s="1"/>
  <c r="E213" i="202" s="1"/>
  <c r="E214" i="202" s="1"/>
  <c r="E215" i="202" s="1"/>
  <c r="E216" i="202" s="1"/>
  <c r="E217" i="202" s="1"/>
  <c r="E218" i="202" s="1"/>
  <c r="E219" i="202" s="1"/>
  <c r="E220" i="202" s="1"/>
  <c r="E221" i="202" s="1"/>
  <c r="E222" i="202" s="1"/>
  <c r="E223" i="202" s="1"/>
  <c r="E224" i="202" s="1"/>
  <c r="E225" i="202" s="1"/>
  <c r="E226" i="202" s="1"/>
  <c r="E227" i="202" s="1"/>
  <c r="E228" i="202" s="1"/>
  <c r="E229" i="202" s="1"/>
  <c r="E230" i="202" s="1"/>
  <c r="E231" i="202" s="1"/>
  <c r="E232" i="202" s="1"/>
  <c r="E233" i="202" s="1"/>
  <c r="E234" i="202" s="1"/>
  <c r="E235" i="202" s="1"/>
  <c r="E236" i="202" s="1"/>
  <c r="E237" i="202" s="1"/>
  <c r="E238" i="202" s="1"/>
  <c r="E239" i="202" s="1"/>
  <c r="E240" i="202" s="1"/>
  <c r="E241" i="202" s="1"/>
  <c r="E242" i="202" s="1"/>
  <c r="E243" i="202" s="1"/>
  <c r="E244" i="202" s="1"/>
  <c r="E245" i="202" s="1"/>
  <c r="E246" i="202" s="1"/>
  <c r="E247" i="202" s="1"/>
  <c r="E248" i="202" s="1"/>
  <c r="E249" i="202" s="1"/>
  <c r="E250" i="202" s="1"/>
  <c r="E251" i="202" s="1"/>
  <c r="E252" i="202" s="1"/>
  <c r="E253" i="202" s="1"/>
  <c r="E254" i="202" s="1"/>
  <c r="E255" i="202" s="1"/>
  <c r="E256" i="202" s="1"/>
  <c r="E257" i="202" s="1"/>
  <c r="E258" i="202" s="1"/>
  <c r="E259" i="202" s="1"/>
  <c r="E260" i="202" s="1"/>
  <c r="E261" i="202" s="1"/>
  <c r="E262" i="202" s="1"/>
  <c r="E263" i="202" s="1"/>
  <c r="E264" i="202" s="1"/>
  <c r="E265" i="202" s="1"/>
  <c r="E266" i="202" s="1"/>
  <c r="E267" i="202" s="1"/>
  <c r="E268" i="202" s="1"/>
  <c r="E269" i="202" s="1"/>
  <c r="E270" i="202" s="1"/>
  <c r="E271" i="202" s="1"/>
  <c r="E272" i="202" s="1"/>
  <c r="E273" i="202" s="1"/>
  <c r="E274" i="202" s="1"/>
  <c r="E275" i="202" s="1"/>
  <c r="E276" i="202" s="1"/>
  <c r="E277" i="202" s="1"/>
  <c r="E278" i="202" s="1"/>
  <c r="E279" i="202" s="1"/>
  <c r="E280" i="202" s="1"/>
  <c r="E281" i="202" s="1"/>
  <c r="E282" i="202" s="1"/>
  <c r="E283" i="202" s="1"/>
  <c r="E284" i="202" s="1"/>
  <c r="E285" i="202" s="1"/>
  <c r="E286" i="202" s="1"/>
  <c r="E287" i="202" s="1"/>
  <c r="E288" i="202" s="1"/>
  <c r="E289" i="202" s="1"/>
  <c r="E290" i="202" s="1"/>
  <c r="E291" i="202" s="1"/>
  <c r="E292" i="202" s="1"/>
  <c r="E293" i="202" s="1"/>
  <c r="E294" i="202" s="1"/>
  <c r="E295" i="202" s="1"/>
  <c r="E296" i="202" s="1"/>
  <c r="E297" i="202" s="1"/>
  <c r="E298" i="202" s="1"/>
  <c r="E299" i="202" s="1"/>
  <c r="E300" i="202" s="1"/>
  <c r="E301" i="202" s="1"/>
  <c r="E302" i="202" s="1"/>
  <c r="E303" i="202" s="1"/>
  <c r="E304" i="202" s="1"/>
  <c r="E305" i="202" s="1"/>
  <c r="E36" i="202"/>
  <c r="E12" i="202"/>
  <c r="E13" i="202" s="1"/>
  <c r="E14" i="202" s="1"/>
  <c r="E15" i="202" s="1"/>
  <c r="E16" i="202" s="1"/>
  <c r="E17" i="202" s="1"/>
  <c r="E18" i="202" s="1"/>
  <c r="E19" i="202" s="1"/>
  <c r="E20" i="202" s="1"/>
  <c r="E21" i="202" s="1"/>
  <c r="E22" i="202" s="1"/>
  <c r="E23" i="202" s="1"/>
  <c r="E24" i="202" s="1"/>
  <c r="E25" i="202" s="1"/>
  <c r="E26" i="202" s="1"/>
  <c r="E27" i="202" s="1"/>
  <c r="E28" i="202" s="1"/>
  <c r="E29" i="202" s="1"/>
  <c r="E30" i="202" s="1"/>
  <c r="E31" i="202" s="1"/>
  <c r="E32" i="202" s="1"/>
  <c r="E33" i="202" s="1"/>
  <c r="E34" i="202" s="1"/>
  <c r="E35" i="202" s="1"/>
  <c r="E11" i="202"/>
  <c r="D37" i="202"/>
  <c r="D38" i="202" s="1"/>
  <c r="D39" i="202" s="1"/>
  <c r="D40" i="202" s="1"/>
  <c r="D41" i="202" s="1"/>
  <c r="D42" i="202" s="1"/>
  <c r="D43" i="202" s="1"/>
  <c r="D44" i="202" s="1"/>
  <c r="D45" i="202" s="1"/>
  <c r="D46" i="202" s="1"/>
  <c r="D47" i="202" s="1"/>
  <c r="D48" i="202" s="1"/>
  <c r="D49" i="202" s="1"/>
  <c r="D50" i="202" s="1"/>
  <c r="D51" i="202" s="1"/>
  <c r="D52" i="202" s="1"/>
  <c r="D53" i="202" s="1"/>
  <c r="D54" i="202" s="1"/>
  <c r="D55" i="202" s="1"/>
  <c r="D56" i="202" s="1"/>
  <c r="D57" i="202" s="1"/>
  <c r="D58" i="202" s="1"/>
  <c r="D59" i="202" s="1"/>
  <c r="D60" i="202" s="1"/>
  <c r="D61" i="202" s="1"/>
  <c r="D62" i="202" s="1"/>
  <c r="D63" i="202" s="1"/>
  <c r="D64" i="202" s="1"/>
  <c r="D65" i="202" s="1"/>
  <c r="D66" i="202" s="1"/>
  <c r="D67" i="202" s="1"/>
  <c r="D68" i="202" s="1"/>
  <c r="D69" i="202" s="1"/>
  <c r="D70" i="202" s="1"/>
  <c r="D71" i="202" s="1"/>
  <c r="D72" i="202" s="1"/>
  <c r="D73" i="202" s="1"/>
  <c r="D74" i="202" s="1"/>
  <c r="D75" i="202" s="1"/>
  <c r="D76" i="202" s="1"/>
  <c r="D77" i="202" s="1"/>
  <c r="D78" i="202" s="1"/>
  <c r="D79" i="202" s="1"/>
  <c r="D80" i="202" s="1"/>
  <c r="D81" i="202" s="1"/>
  <c r="D82" i="202" s="1"/>
  <c r="D83" i="202" s="1"/>
  <c r="D84" i="202" s="1"/>
  <c r="D85" i="202" s="1"/>
  <c r="D86" i="202" s="1"/>
  <c r="D87" i="202" s="1"/>
  <c r="D88" i="202" s="1"/>
  <c r="D89" i="202" s="1"/>
  <c r="D90" i="202" s="1"/>
  <c r="D91" i="202" s="1"/>
  <c r="D92" i="202" s="1"/>
  <c r="D93" i="202" s="1"/>
  <c r="D94" i="202" s="1"/>
  <c r="D95" i="202" s="1"/>
  <c r="D96" i="202" s="1"/>
  <c r="D97" i="202" s="1"/>
  <c r="D98" i="202" s="1"/>
  <c r="D99" i="202" s="1"/>
  <c r="D100" i="202" s="1"/>
  <c r="D101" i="202" s="1"/>
  <c r="D102" i="202" s="1"/>
  <c r="D103" i="202" s="1"/>
  <c r="D104" i="202" s="1"/>
  <c r="D105" i="202" s="1"/>
  <c r="D106" i="202" s="1"/>
  <c r="D107" i="202" s="1"/>
  <c r="D108" i="202" s="1"/>
  <c r="D109" i="202" s="1"/>
  <c r="D110" i="202" s="1"/>
  <c r="D111" i="202" s="1"/>
  <c r="D112" i="202" s="1"/>
  <c r="D113" i="202" s="1"/>
  <c r="D114" i="202" s="1"/>
  <c r="D115" i="202" s="1"/>
  <c r="D116" i="202" s="1"/>
  <c r="D117" i="202" s="1"/>
  <c r="D118" i="202" s="1"/>
  <c r="D119" i="202" s="1"/>
  <c r="D120" i="202" s="1"/>
  <c r="D121" i="202" s="1"/>
  <c r="D122" i="202" s="1"/>
  <c r="D123" i="202" s="1"/>
  <c r="D124" i="202" s="1"/>
  <c r="D125" i="202" s="1"/>
  <c r="D126" i="202" s="1"/>
  <c r="D127" i="202" s="1"/>
  <c r="D128" i="202" s="1"/>
  <c r="D129" i="202" s="1"/>
  <c r="D130" i="202" s="1"/>
  <c r="D131" i="202" s="1"/>
  <c r="D132" i="202" s="1"/>
  <c r="D133" i="202" s="1"/>
  <c r="D134" i="202" s="1"/>
  <c r="D135" i="202" s="1"/>
  <c r="D136" i="202" s="1"/>
  <c r="D137" i="202" s="1"/>
  <c r="D138" i="202" s="1"/>
  <c r="D139" i="202" s="1"/>
  <c r="D140" i="202" s="1"/>
  <c r="D141" i="202" s="1"/>
  <c r="D142" i="202" s="1"/>
  <c r="D143" i="202" s="1"/>
  <c r="D144" i="202" s="1"/>
  <c r="D145" i="202" s="1"/>
  <c r="D146" i="202" s="1"/>
  <c r="D147" i="202" s="1"/>
  <c r="D148" i="202" s="1"/>
  <c r="D149" i="202" s="1"/>
  <c r="D150" i="202" s="1"/>
  <c r="D151" i="202" s="1"/>
  <c r="D152" i="202" s="1"/>
  <c r="D153" i="202" s="1"/>
  <c r="D154" i="202" s="1"/>
  <c r="D155" i="202" s="1"/>
  <c r="D156" i="202" s="1"/>
  <c r="D157" i="202" s="1"/>
  <c r="D158" i="202" s="1"/>
  <c r="D159" i="202" s="1"/>
  <c r="D160" i="202" s="1"/>
  <c r="D161" i="202" s="1"/>
  <c r="D162" i="202" s="1"/>
  <c r="D163" i="202" s="1"/>
  <c r="D164" i="202" s="1"/>
  <c r="D165" i="202" s="1"/>
  <c r="D166" i="202" s="1"/>
  <c r="D167" i="202" s="1"/>
  <c r="D168" i="202" s="1"/>
  <c r="D169" i="202" s="1"/>
  <c r="D170" i="202" s="1"/>
  <c r="D171" i="202" s="1"/>
  <c r="D172" i="202" s="1"/>
  <c r="D173" i="202" s="1"/>
  <c r="D174" i="202" s="1"/>
  <c r="D175" i="202" s="1"/>
  <c r="D176" i="202" s="1"/>
  <c r="D177" i="202" s="1"/>
  <c r="D178" i="202" s="1"/>
  <c r="D179" i="202" s="1"/>
  <c r="D180" i="202" s="1"/>
  <c r="D181" i="202" s="1"/>
  <c r="D182" i="202" s="1"/>
  <c r="D183" i="202" s="1"/>
  <c r="D184" i="202" s="1"/>
  <c r="D185" i="202" s="1"/>
  <c r="D186" i="202" s="1"/>
  <c r="D187" i="202" s="1"/>
  <c r="D188" i="202" s="1"/>
  <c r="D189" i="202" s="1"/>
  <c r="D190" i="202" s="1"/>
  <c r="D191" i="202" s="1"/>
  <c r="D192" i="202" s="1"/>
  <c r="D193" i="202" s="1"/>
  <c r="D194" i="202" s="1"/>
  <c r="D195" i="202" s="1"/>
  <c r="D196" i="202" s="1"/>
  <c r="D197" i="202" s="1"/>
  <c r="D198" i="202" s="1"/>
  <c r="D199" i="202" s="1"/>
  <c r="D200" i="202" s="1"/>
  <c r="D201" i="202" s="1"/>
  <c r="D202" i="202" s="1"/>
  <c r="D203" i="202" s="1"/>
  <c r="D204" i="202" s="1"/>
  <c r="D205" i="202" s="1"/>
  <c r="D206" i="202" s="1"/>
  <c r="D207" i="202" s="1"/>
  <c r="D208" i="202" s="1"/>
  <c r="D209" i="202" s="1"/>
  <c r="D210" i="202" s="1"/>
  <c r="D211" i="202" s="1"/>
  <c r="D212" i="202" s="1"/>
  <c r="D213" i="202" s="1"/>
  <c r="D214" i="202" s="1"/>
  <c r="D215" i="202" s="1"/>
  <c r="D216" i="202" s="1"/>
  <c r="D217" i="202" s="1"/>
  <c r="D218" i="202" s="1"/>
  <c r="D219" i="202" s="1"/>
  <c r="D220" i="202" s="1"/>
  <c r="D221" i="202" s="1"/>
  <c r="D222" i="202" s="1"/>
  <c r="D223" i="202" s="1"/>
  <c r="D224" i="202" s="1"/>
  <c r="D225" i="202" s="1"/>
  <c r="D226" i="202" s="1"/>
  <c r="D227" i="202" s="1"/>
  <c r="D228" i="202" s="1"/>
  <c r="D229" i="202" s="1"/>
  <c r="D230" i="202" s="1"/>
  <c r="D231" i="202" s="1"/>
  <c r="D232" i="202" s="1"/>
  <c r="D233" i="202" s="1"/>
  <c r="D234" i="202" s="1"/>
  <c r="D235" i="202" s="1"/>
  <c r="D236" i="202" s="1"/>
  <c r="D237" i="202" s="1"/>
  <c r="D238" i="202" s="1"/>
  <c r="D239" i="202" s="1"/>
  <c r="D240" i="202" s="1"/>
  <c r="D241" i="202" s="1"/>
  <c r="D242" i="202" s="1"/>
  <c r="D243" i="202" s="1"/>
  <c r="D244" i="202" s="1"/>
  <c r="D245" i="202" s="1"/>
  <c r="D246" i="202" s="1"/>
  <c r="D247" i="202" s="1"/>
  <c r="D248" i="202" s="1"/>
  <c r="D249" i="202" s="1"/>
  <c r="D250" i="202" s="1"/>
  <c r="D251" i="202" s="1"/>
  <c r="D252" i="202" s="1"/>
  <c r="D253" i="202" s="1"/>
  <c r="D254" i="202" s="1"/>
  <c r="D255" i="202" s="1"/>
  <c r="D256" i="202" s="1"/>
  <c r="D257" i="202" s="1"/>
  <c r="D258" i="202" s="1"/>
  <c r="D259" i="202" s="1"/>
  <c r="D260" i="202" s="1"/>
  <c r="D261" i="202" s="1"/>
  <c r="D262" i="202" s="1"/>
  <c r="D263" i="202" s="1"/>
  <c r="D264" i="202" s="1"/>
  <c r="D265" i="202" s="1"/>
  <c r="D266" i="202" s="1"/>
  <c r="D267" i="202" s="1"/>
  <c r="D268" i="202" s="1"/>
  <c r="D269" i="202" s="1"/>
  <c r="D270" i="202" s="1"/>
  <c r="D271" i="202" s="1"/>
  <c r="D272" i="202" s="1"/>
  <c r="D273" i="202" s="1"/>
  <c r="D274" i="202" s="1"/>
  <c r="D275" i="202" s="1"/>
  <c r="D276" i="202" s="1"/>
  <c r="D277" i="202" s="1"/>
  <c r="D278" i="202" s="1"/>
  <c r="D279" i="202" s="1"/>
  <c r="D280" i="202" s="1"/>
  <c r="D281" i="202" s="1"/>
  <c r="D282" i="202" s="1"/>
  <c r="D283" i="202" s="1"/>
  <c r="D284" i="202" s="1"/>
  <c r="D285" i="202" s="1"/>
  <c r="D286" i="202" s="1"/>
  <c r="D287" i="202" s="1"/>
  <c r="D288" i="202" s="1"/>
  <c r="D289" i="202" s="1"/>
  <c r="D290" i="202" s="1"/>
  <c r="D291" i="202" s="1"/>
  <c r="D292" i="202" s="1"/>
  <c r="D293" i="202" s="1"/>
  <c r="D294" i="202" s="1"/>
  <c r="D295" i="202" s="1"/>
  <c r="D296" i="202" s="1"/>
  <c r="D297" i="202" s="1"/>
  <c r="D298" i="202" s="1"/>
  <c r="D299" i="202" s="1"/>
  <c r="D300" i="202" s="1"/>
  <c r="D301" i="202" s="1"/>
  <c r="D302" i="202" s="1"/>
  <c r="D303" i="202" s="1"/>
  <c r="D304" i="202" s="1"/>
  <c r="D305" i="202" s="1"/>
  <c r="D36" i="202"/>
  <c r="D12" i="202"/>
  <c r="D13" i="202"/>
  <c r="D14" i="202" s="1"/>
  <c r="D15" i="202" s="1"/>
  <c r="D16" i="202" s="1"/>
  <c r="D17" i="202" s="1"/>
  <c r="D18" i="202" s="1"/>
  <c r="D19" i="202" s="1"/>
  <c r="D20" i="202" s="1"/>
  <c r="D21" i="202" s="1"/>
  <c r="D22" i="202" s="1"/>
  <c r="D23" i="202" s="1"/>
  <c r="D24" i="202" s="1"/>
  <c r="D25" i="202" s="1"/>
  <c r="D26" i="202" s="1"/>
  <c r="D27" i="202" s="1"/>
  <c r="D28" i="202" s="1"/>
  <c r="D29" i="202" s="1"/>
  <c r="D30" i="202" s="1"/>
  <c r="D31" i="202" s="1"/>
  <c r="D32" i="202" s="1"/>
  <c r="D33" i="202" s="1"/>
  <c r="D34" i="202" s="1"/>
  <c r="D35" i="202" s="1"/>
  <c r="D11" i="202"/>
  <c r="C37" i="202"/>
  <c r="C38" i="202" s="1"/>
  <c r="C39" i="202" s="1"/>
  <c r="C40" i="202" s="1"/>
  <c r="C41" i="202" s="1"/>
  <c r="C42" i="202" s="1"/>
  <c r="C43" i="202" s="1"/>
  <c r="C44" i="202" s="1"/>
  <c r="C45" i="202" s="1"/>
  <c r="C46" i="202" s="1"/>
  <c r="C47" i="202" s="1"/>
  <c r="C48" i="202" s="1"/>
  <c r="C49" i="202" s="1"/>
  <c r="C50" i="202" s="1"/>
  <c r="C51" i="202" s="1"/>
  <c r="C52" i="202" s="1"/>
  <c r="C53" i="202" s="1"/>
  <c r="C54" i="202" s="1"/>
  <c r="C55" i="202" s="1"/>
  <c r="C56" i="202" s="1"/>
  <c r="C57" i="202" s="1"/>
  <c r="C58" i="202" s="1"/>
  <c r="C59" i="202" s="1"/>
  <c r="C60" i="202" s="1"/>
  <c r="C61" i="202" s="1"/>
  <c r="C62" i="202" s="1"/>
  <c r="C63" i="202" s="1"/>
  <c r="C64" i="202" s="1"/>
  <c r="C65" i="202" s="1"/>
  <c r="C66" i="202" s="1"/>
  <c r="C67" i="202" s="1"/>
  <c r="C68" i="202" s="1"/>
  <c r="C69" i="202" s="1"/>
  <c r="C70" i="202" s="1"/>
  <c r="C71" i="202" s="1"/>
  <c r="C72" i="202" s="1"/>
  <c r="C73" i="202" s="1"/>
  <c r="C74" i="202" s="1"/>
  <c r="C75" i="202" s="1"/>
  <c r="C76" i="202" s="1"/>
  <c r="C77" i="202" s="1"/>
  <c r="C78" i="202" s="1"/>
  <c r="C79" i="202" s="1"/>
  <c r="C80" i="202" s="1"/>
  <c r="C81" i="202" s="1"/>
  <c r="C82" i="202" s="1"/>
  <c r="C83" i="202" s="1"/>
  <c r="C84" i="202" s="1"/>
  <c r="C85" i="202" s="1"/>
  <c r="C86" i="202" s="1"/>
  <c r="C87" i="202" s="1"/>
  <c r="C88" i="202" s="1"/>
  <c r="C89" i="202" s="1"/>
  <c r="C90" i="202" s="1"/>
  <c r="C91" i="202" s="1"/>
  <c r="C92" i="202" s="1"/>
  <c r="C93" i="202" s="1"/>
  <c r="C94" i="202" s="1"/>
  <c r="C95" i="202" s="1"/>
  <c r="C96" i="202" s="1"/>
  <c r="C97" i="202" s="1"/>
  <c r="C98" i="202" s="1"/>
  <c r="C99" i="202" s="1"/>
  <c r="C100" i="202" s="1"/>
  <c r="C101" i="202" s="1"/>
  <c r="C102" i="202" s="1"/>
  <c r="C103" i="202" s="1"/>
  <c r="C104" i="202" s="1"/>
  <c r="C105" i="202" s="1"/>
  <c r="C106" i="202" s="1"/>
  <c r="C107" i="202" s="1"/>
  <c r="C108" i="202" s="1"/>
  <c r="C109" i="202" s="1"/>
  <c r="C110" i="202" s="1"/>
  <c r="C111" i="202" s="1"/>
  <c r="C112" i="202" s="1"/>
  <c r="C113" i="202" s="1"/>
  <c r="C114" i="202" s="1"/>
  <c r="C115" i="202" s="1"/>
  <c r="C116" i="202" s="1"/>
  <c r="C117" i="202" s="1"/>
  <c r="C118" i="202" s="1"/>
  <c r="C119" i="202" s="1"/>
  <c r="C120" i="202" s="1"/>
  <c r="C121" i="202" s="1"/>
  <c r="C122" i="202" s="1"/>
  <c r="C123" i="202" s="1"/>
  <c r="C124" i="202" s="1"/>
  <c r="C125" i="202" s="1"/>
  <c r="C126" i="202" s="1"/>
  <c r="C127" i="202" s="1"/>
  <c r="C128" i="202" s="1"/>
  <c r="C129" i="202" s="1"/>
  <c r="C130" i="202" s="1"/>
  <c r="C131" i="202" s="1"/>
  <c r="C132" i="202" s="1"/>
  <c r="C133" i="202" s="1"/>
  <c r="C134" i="202" s="1"/>
  <c r="C135" i="202" s="1"/>
  <c r="C136" i="202" s="1"/>
  <c r="C137" i="202" s="1"/>
  <c r="C138" i="202" s="1"/>
  <c r="C139" i="202" s="1"/>
  <c r="C140" i="202" s="1"/>
  <c r="C141" i="202" s="1"/>
  <c r="C142" i="202" s="1"/>
  <c r="C143" i="202" s="1"/>
  <c r="C144" i="202" s="1"/>
  <c r="C145" i="202" s="1"/>
  <c r="C146" i="202" s="1"/>
  <c r="C147" i="202" s="1"/>
  <c r="C148" i="202" s="1"/>
  <c r="C149" i="202" s="1"/>
  <c r="C150" i="202" s="1"/>
  <c r="C151" i="202" s="1"/>
  <c r="C152" i="202" s="1"/>
  <c r="C153" i="202" s="1"/>
  <c r="C154" i="202" s="1"/>
  <c r="C155" i="202" s="1"/>
  <c r="C156" i="202" s="1"/>
  <c r="C157" i="202" s="1"/>
  <c r="C158" i="202" s="1"/>
  <c r="C159" i="202" s="1"/>
  <c r="C160" i="202" s="1"/>
  <c r="C161" i="202" s="1"/>
  <c r="C162" i="202" s="1"/>
  <c r="C163" i="202" s="1"/>
  <c r="C164" i="202" s="1"/>
  <c r="C165" i="202" s="1"/>
  <c r="C166" i="202" s="1"/>
  <c r="C167" i="202" s="1"/>
  <c r="C168" i="202" s="1"/>
  <c r="C169" i="202" s="1"/>
  <c r="C170" i="202" s="1"/>
  <c r="C171" i="202" s="1"/>
  <c r="C172" i="202" s="1"/>
  <c r="C173" i="202" s="1"/>
  <c r="C174" i="202" s="1"/>
  <c r="C175" i="202" s="1"/>
  <c r="C176" i="202" s="1"/>
  <c r="C177" i="202" s="1"/>
  <c r="C178" i="202" s="1"/>
  <c r="C179" i="202" s="1"/>
  <c r="C180" i="202" s="1"/>
  <c r="C181" i="202" s="1"/>
  <c r="C182" i="202" s="1"/>
  <c r="C183" i="202" s="1"/>
  <c r="C184" i="202" s="1"/>
  <c r="C185" i="202" s="1"/>
  <c r="C186" i="202" s="1"/>
  <c r="C187" i="202" s="1"/>
  <c r="C188" i="202" s="1"/>
  <c r="C189" i="202" s="1"/>
  <c r="C190" i="202" s="1"/>
  <c r="C191" i="202" s="1"/>
  <c r="C192" i="202" s="1"/>
  <c r="C193" i="202" s="1"/>
  <c r="C194" i="202" s="1"/>
  <c r="C195" i="202" s="1"/>
  <c r="C196" i="202" s="1"/>
  <c r="C197" i="202" s="1"/>
  <c r="C198" i="202" s="1"/>
  <c r="C199" i="202" s="1"/>
  <c r="C200" i="202" s="1"/>
  <c r="C201" i="202" s="1"/>
  <c r="C202" i="202" s="1"/>
  <c r="C203" i="202" s="1"/>
  <c r="C204" i="202" s="1"/>
  <c r="C205" i="202" s="1"/>
  <c r="C206" i="202" s="1"/>
  <c r="C207" i="202" s="1"/>
  <c r="C208" i="202" s="1"/>
  <c r="C209" i="202" s="1"/>
  <c r="C210" i="202" s="1"/>
  <c r="C211" i="202" s="1"/>
  <c r="C212" i="202" s="1"/>
  <c r="C213" i="202" s="1"/>
  <c r="C214" i="202" s="1"/>
  <c r="C215" i="202" s="1"/>
  <c r="C216" i="202" s="1"/>
  <c r="C217" i="202" s="1"/>
  <c r="C218" i="202" s="1"/>
  <c r="C219" i="202" s="1"/>
  <c r="C220" i="202" s="1"/>
  <c r="C221" i="202" s="1"/>
  <c r="C222" i="202" s="1"/>
  <c r="C223" i="202" s="1"/>
  <c r="C224" i="202" s="1"/>
  <c r="C225" i="202" s="1"/>
  <c r="C226" i="202" s="1"/>
  <c r="C227" i="202" s="1"/>
  <c r="C228" i="202" s="1"/>
  <c r="C229" i="202" s="1"/>
  <c r="C230" i="202" s="1"/>
  <c r="C231" i="202" s="1"/>
  <c r="C232" i="202" s="1"/>
  <c r="C233" i="202" s="1"/>
  <c r="C234" i="202" s="1"/>
  <c r="C235" i="202" s="1"/>
  <c r="C236" i="202" s="1"/>
  <c r="C237" i="202" s="1"/>
  <c r="C238" i="202" s="1"/>
  <c r="C239" i="202" s="1"/>
  <c r="C240" i="202" s="1"/>
  <c r="C241" i="202" s="1"/>
  <c r="C242" i="202" s="1"/>
  <c r="C243" i="202" s="1"/>
  <c r="C244" i="202" s="1"/>
  <c r="C245" i="202" s="1"/>
  <c r="C246" i="202" s="1"/>
  <c r="C247" i="202" s="1"/>
  <c r="C248" i="202" s="1"/>
  <c r="C249" i="202" s="1"/>
  <c r="C250" i="202" s="1"/>
  <c r="C251" i="202" s="1"/>
  <c r="C252" i="202" s="1"/>
  <c r="C253" i="202" s="1"/>
  <c r="C254" i="202" s="1"/>
  <c r="C255" i="202" s="1"/>
  <c r="C256" i="202" s="1"/>
  <c r="C257" i="202" s="1"/>
  <c r="C258" i="202" s="1"/>
  <c r="C259" i="202" s="1"/>
  <c r="C260" i="202" s="1"/>
  <c r="C261" i="202" s="1"/>
  <c r="C262" i="202" s="1"/>
  <c r="C263" i="202" s="1"/>
  <c r="C264" i="202" s="1"/>
  <c r="C265" i="202" s="1"/>
  <c r="C266" i="202" s="1"/>
  <c r="C267" i="202" s="1"/>
  <c r="C268" i="202" s="1"/>
  <c r="C269" i="202" s="1"/>
  <c r="C270" i="202" s="1"/>
  <c r="C271" i="202" s="1"/>
  <c r="C272" i="202" s="1"/>
  <c r="C273" i="202" s="1"/>
  <c r="C274" i="202" s="1"/>
  <c r="C275" i="202" s="1"/>
  <c r="C276" i="202" s="1"/>
  <c r="C277" i="202" s="1"/>
  <c r="C278" i="202" s="1"/>
  <c r="C279" i="202" s="1"/>
  <c r="C280" i="202" s="1"/>
  <c r="C281" i="202" s="1"/>
  <c r="C282" i="202" s="1"/>
  <c r="C283" i="202" s="1"/>
  <c r="C284" i="202" s="1"/>
  <c r="C285" i="202" s="1"/>
  <c r="C286" i="202" s="1"/>
  <c r="C287" i="202" s="1"/>
  <c r="C288" i="202" s="1"/>
  <c r="C289" i="202" s="1"/>
  <c r="C290" i="202" s="1"/>
  <c r="C291" i="202" s="1"/>
  <c r="C292" i="202" s="1"/>
  <c r="C293" i="202" s="1"/>
  <c r="C294" i="202" s="1"/>
  <c r="C295" i="202" s="1"/>
  <c r="C296" i="202" s="1"/>
  <c r="C297" i="202" s="1"/>
  <c r="C298" i="202" s="1"/>
  <c r="C299" i="202" s="1"/>
  <c r="C300" i="202" s="1"/>
  <c r="C301" i="202" s="1"/>
  <c r="C302" i="202" s="1"/>
  <c r="C303" i="202" s="1"/>
  <c r="C304" i="202" s="1"/>
  <c r="C305" i="202" s="1"/>
  <c r="C36" i="202"/>
  <c r="C12" i="202"/>
  <c r="C13" i="202" s="1"/>
  <c r="C14" i="202" s="1"/>
  <c r="C15" i="202" s="1"/>
  <c r="C16" i="202" s="1"/>
  <c r="C17" i="202" s="1"/>
  <c r="C18" i="202" s="1"/>
  <c r="C19" i="202" s="1"/>
  <c r="C20" i="202" s="1"/>
  <c r="C21" i="202" s="1"/>
  <c r="C22" i="202" s="1"/>
  <c r="C23" i="202" s="1"/>
  <c r="C24" i="202" s="1"/>
  <c r="C25" i="202" s="1"/>
  <c r="C26" i="202" s="1"/>
  <c r="C27" i="202" s="1"/>
  <c r="C28" i="202" s="1"/>
  <c r="C29" i="202" s="1"/>
  <c r="C30" i="202" s="1"/>
  <c r="C31" i="202" s="1"/>
  <c r="C32" i="202" s="1"/>
  <c r="C33" i="202" s="1"/>
  <c r="C34" i="202" s="1"/>
  <c r="C35" i="202" s="1"/>
  <c r="C11" i="202"/>
  <c r="B37" i="202"/>
  <c r="B38" i="202" s="1"/>
  <c r="B39" i="202" s="1"/>
  <c r="B40" i="202" s="1"/>
  <c r="B41" i="202" s="1"/>
  <c r="B42" i="202" s="1"/>
  <c r="B43" i="202" s="1"/>
  <c r="B44" i="202" s="1"/>
  <c r="B45" i="202" s="1"/>
  <c r="B46" i="202" s="1"/>
  <c r="B47" i="202" s="1"/>
  <c r="B48" i="202" s="1"/>
  <c r="B49" i="202" s="1"/>
  <c r="B50" i="202" s="1"/>
  <c r="B51" i="202" s="1"/>
  <c r="B52" i="202" s="1"/>
  <c r="B53" i="202" s="1"/>
  <c r="B54" i="202" s="1"/>
  <c r="B55" i="202" s="1"/>
  <c r="B56" i="202" s="1"/>
  <c r="B57" i="202" s="1"/>
  <c r="B58" i="202" s="1"/>
  <c r="B59" i="202" s="1"/>
  <c r="B60" i="202" s="1"/>
  <c r="B61" i="202" s="1"/>
  <c r="B62" i="202" s="1"/>
  <c r="B63" i="202" s="1"/>
  <c r="B64" i="202" s="1"/>
  <c r="B65" i="202" s="1"/>
  <c r="B66" i="202" s="1"/>
  <c r="B67" i="202" s="1"/>
  <c r="B68" i="202" s="1"/>
  <c r="B69" i="202" s="1"/>
  <c r="B70" i="202" s="1"/>
  <c r="B71" i="202" s="1"/>
  <c r="B72" i="202" s="1"/>
  <c r="B73" i="202" s="1"/>
  <c r="B74" i="202" s="1"/>
  <c r="B75" i="202" s="1"/>
  <c r="B76" i="202" s="1"/>
  <c r="B77" i="202" s="1"/>
  <c r="B78" i="202" s="1"/>
  <c r="B79" i="202" s="1"/>
  <c r="B80" i="202" s="1"/>
  <c r="B81" i="202" s="1"/>
  <c r="B82" i="202" s="1"/>
  <c r="B83" i="202" s="1"/>
  <c r="B84" i="202" s="1"/>
  <c r="B85" i="202" s="1"/>
  <c r="B86" i="202" s="1"/>
  <c r="B87" i="202" s="1"/>
  <c r="B88" i="202" s="1"/>
  <c r="B89" i="202" s="1"/>
  <c r="B90" i="202" s="1"/>
  <c r="B91" i="202" s="1"/>
  <c r="B92" i="202" s="1"/>
  <c r="B93" i="202" s="1"/>
  <c r="B94" i="202" s="1"/>
  <c r="B95" i="202" s="1"/>
  <c r="B96" i="202" s="1"/>
  <c r="B97" i="202" s="1"/>
  <c r="B98" i="202" s="1"/>
  <c r="B99" i="202" s="1"/>
  <c r="B100" i="202" s="1"/>
  <c r="B101" i="202" s="1"/>
  <c r="B102" i="202" s="1"/>
  <c r="B103" i="202" s="1"/>
  <c r="B104" i="202" s="1"/>
  <c r="B105" i="202" s="1"/>
  <c r="B106" i="202" s="1"/>
  <c r="B107" i="202" s="1"/>
  <c r="B108" i="202" s="1"/>
  <c r="B109" i="202" s="1"/>
  <c r="B110" i="202" s="1"/>
  <c r="B111" i="202" s="1"/>
  <c r="B112" i="202" s="1"/>
  <c r="B113" i="202" s="1"/>
  <c r="B114" i="202" s="1"/>
  <c r="B115" i="202" s="1"/>
  <c r="B116" i="202" s="1"/>
  <c r="B117" i="202" s="1"/>
  <c r="B118" i="202" s="1"/>
  <c r="B119" i="202" s="1"/>
  <c r="B120" i="202" s="1"/>
  <c r="B121" i="202" s="1"/>
  <c r="B122" i="202" s="1"/>
  <c r="B123" i="202" s="1"/>
  <c r="B124" i="202" s="1"/>
  <c r="B125" i="202" s="1"/>
  <c r="B126" i="202" s="1"/>
  <c r="B127" i="202" s="1"/>
  <c r="B128" i="202" s="1"/>
  <c r="B129" i="202" s="1"/>
  <c r="B130" i="202" s="1"/>
  <c r="B131" i="202" s="1"/>
  <c r="B132" i="202" s="1"/>
  <c r="B133" i="202" s="1"/>
  <c r="B134" i="202" s="1"/>
  <c r="B135" i="202" s="1"/>
  <c r="B136" i="202" s="1"/>
  <c r="B137" i="202" s="1"/>
  <c r="B138" i="202" s="1"/>
  <c r="B139" i="202" s="1"/>
  <c r="B140" i="202" s="1"/>
  <c r="B141" i="202" s="1"/>
  <c r="B142" i="202" s="1"/>
  <c r="B143" i="202" s="1"/>
  <c r="B144" i="202" s="1"/>
  <c r="B145" i="202" s="1"/>
  <c r="B146" i="202" s="1"/>
  <c r="B147" i="202" s="1"/>
  <c r="B148" i="202" s="1"/>
  <c r="B149" i="202" s="1"/>
  <c r="B150" i="202" s="1"/>
  <c r="B151" i="202" s="1"/>
  <c r="B152" i="202" s="1"/>
  <c r="B153" i="202" s="1"/>
  <c r="B154" i="202" s="1"/>
  <c r="B155" i="202" s="1"/>
  <c r="B156" i="202" s="1"/>
  <c r="B157" i="202" s="1"/>
  <c r="B158" i="202" s="1"/>
  <c r="B159" i="202" s="1"/>
  <c r="B160" i="202" s="1"/>
  <c r="B161" i="202" s="1"/>
  <c r="B162" i="202" s="1"/>
  <c r="B163" i="202" s="1"/>
  <c r="B164" i="202" s="1"/>
  <c r="B165" i="202" s="1"/>
  <c r="B166" i="202" s="1"/>
  <c r="B167" i="202" s="1"/>
  <c r="B168" i="202" s="1"/>
  <c r="B169" i="202" s="1"/>
  <c r="B170" i="202" s="1"/>
  <c r="B171" i="202" s="1"/>
  <c r="B172" i="202" s="1"/>
  <c r="B173" i="202" s="1"/>
  <c r="B174" i="202" s="1"/>
  <c r="B175" i="202" s="1"/>
  <c r="B176" i="202" s="1"/>
  <c r="B177" i="202" s="1"/>
  <c r="B178" i="202" s="1"/>
  <c r="B179" i="202" s="1"/>
  <c r="B180" i="202" s="1"/>
  <c r="B181" i="202" s="1"/>
  <c r="B182" i="202" s="1"/>
  <c r="B183" i="202" s="1"/>
  <c r="B184" i="202" s="1"/>
  <c r="B185" i="202" s="1"/>
  <c r="B186" i="202" s="1"/>
  <c r="B187" i="202" s="1"/>
  <c r="B188" i="202" s="1"/>
  <c r="B189" i="202" s="1"/>
  <c r="B190" i="202" s="1"/>
  <c r="B191" i="202" s="1"/>
  <c r="B192" i="202" s="1"/>
  <c r="B193" i="202" s="1"/>
  <c r="B194" i="202" s="1"/>
  <c r="B195" i="202" s="1"/>
  <c r="B196" i="202" s="1"/>
  <c r="B197" i="202" s="1"/>
  <c r="B198" i="202" s="1"/>
  <c r="B199" i="202" s="1"/>
  <c r="B200" i="202" s="1"/>
  <c r="B201" i="202" s="1"/>
  <c r="B202" i="202" s="1"/>
  <c r="B203" i="202" s="1"/>
  <c r="B204" i="202" s="1"/>
  <c r="B205" i="202" s="1"/>
  <c r="B206" i="202" s="1"/>
  <c r="B207" i="202" s="1"/>
  <c r="B208" i="202" s="1"/>
  <c r="B209" i="202" s="1"/>
  <c r="B210" i="202" s="1"/>
  <c r="B211" i="202" s="1"/>
  <c r="B212" i="202" s="1"/>
  <c r="B213" i="202" s="1"/>
  <c r="B214" i="202" s="1"/>
  <c r="B215" i="202" s="1"/>
  <c r="B216" i="202" s="1"/>
  <c r="B217" i="202" s="1"/>
  <c r="B218" i="202" s="1"/>
  <c r="B219" i="202" s="1"/>
  <c r="B220" i="202" s="1"/>
  <c r="B221" i="202" s="1"/>
  <c r="B222" i="202" s="1"/>
  <c r="B223" i="202" s="1"/>
  <c r="B224" i="202" s="1"/>
  <c r="B225" i="202" s="1"/>
  <c r="B226" i="202" s="1"/>
  <c r="B227" i="202" s="1"/>
  <c r="B228" i="202" s="1"/>
  <c r="B229" i="202" s="1"/>
  <c r="B230" i="202" s="1"/>
  <c r="B231" i="202" s="1"/>
  <c r="B232" i="202" s="1"/>
  <c r="B233" i="202" s="1"/>
  <c r="B234" i="202" s="1"/>
  <c r="B235" i="202" s="1"/>
  <c r="B236" i="202" s="1"/>
  <c r="B237" i="202" s="1"/>
  <c r="B238" i="202" s="1"/>
  <c r="B239" i="202" s="1"/>
  <c r="B240" i="202" s="1"/>
  <c r="B241" i="202" s="1"/>
  <c r="B242" i="202" s="1"/>
  <c r="B243" i="202" s="1"/>
  <c r="B244" i="202" s="1"/>
  <c r="B245" i="202" s="1"/>
  <c r="B246" i="202" s="1"/>
  <c r="B247" i="202" s="1"/>
  <c r="B248" i="202" s="1"/>
  <c r="B249" i="202" s="1"/>
  <c r="B250" i="202" s="1"/>
  <c r="B251" i="202" s="1"/>
  <c r="B252" i="202" s="1"/>
  <c r="B253" i="202" s="1"/>
  <c r="B254" i="202" s="1"/>
  <c r="B255" i="202" s="1"/>
  <c r="B256" i="202" s="1"/>
  <c r="B257" i="202" s="1"/>
  <c r="B258" i="202" s="1"/>
  <c r="B259" i="202" s="1"/>
  <c r="B260" i="202" s="1"/>
  <c r="B261" i="202" s="1"/>
  <c r="B262" i="202" s="1"/>
  <c r="B263" i="202" s="1"/>
  <c r="B264" i="202" s="1"/>
  <c r="B265" i="202" s="1"/>
  <c r="B266" i="202" s="1"/>
  <c r="B267" i="202" s="1"/>
  <c r="B268" i="202" s="1"/>
  <c r="B269" i="202" s="1"/>
  <c r="B270" i="202" s="1"/>
  <c r="B271" i="202" s="1"/>
  <c r="B272" i="202" s="1"/>
  <c r="B273" i="202" s="1"/>
  <c r="B274" i="202" s="1"/>
  <c r="B275" i="202" s="1"/>
  <c r="B276" i="202" s="1"/>
  <c r="B277" i="202" s="1"/>
  <c r="B278" i="202" s="1"/>
  <c r="B279" i="202" s="1"/>
  <c r="B280" i="202" s="1"/>
  <c r="B281" i="202" s="1"/>
  <c r="B282" i="202" s="1"/>
  <c r="B283" i="202" s="1"/>
  <c r="B284" i="202" s="1"/>
  <c r="B285" i="202" s="1"/>
  <c r="B286" i="202" s="1"/>
  <c r="B287" i="202" s="1"/>
  <c r="B288" i="202" s="1"/>
  <c r="B289" i="202" s="1"/>
  <c r="B290" i="202" s="1"/>
  <c r="B291" i="202" s="1"/>
  <c r="B292" i="202" s="1"/>
  <c r="B293" i="202" s="1"/>
  <c r="B294" i="202" s="1"/>
  <c r="B295" i="202" s="1"/>
  <c r="B296" i="202" s="1"/>
  <c r="B297" i="202" s="1"/>
  <c r="B298" i="202" s="1"/>
  <c r="B299" i="202" s="1"/>
  <c r="B300" i="202" s="1"/>
  <c r="B301" i="202" s="1"/>
  <c r="B302" i="202" s="1"/>
  <c r="B303" i="202" s="1"/>
  <c r="B304" i="202" s="1"/>
  <c r="B305" i="202" s="1"/>
  <c r="B36" i="202"/>
  <c r="B12" i="202"/>
  <c r="B13" i="202" s="1"/>
  <c r="B14" i="202" s="1"/>
  <c r="B15" i="202" s="1"/>
  <c r="B16" i="202" s="1"/>
  <c r="B17" i="202" s="1"/>
  <c r="B18" i="202" s="1"/>
  <c r="B19" i="202" s="1"/>
  <c r="B20" i="202" s="1"/>
  <c r="B21" i="202" s="1"/>
  <c r="B22" i="202" s="1"/>
  <c r="B23" i="202" s="1"/>
  <c r="B24" i="202" s="1"/>
  <c r="B25" i="202" s="1"/>
  <c r="B26" i="202" s="1"/>
  <c r="B27" i="202" s="1"/>
  <c r="B28" i="202" s="1"/>
  <c r="B29" i="202" s="1"/>
  <c r="B30" i="202" s="1"/>
  <c r="B31" i="202" s="1"/>
  <c r="B32" i="202" s="1"/>
  <c r="B33" i="202" s="1"/>
  <c r="B34" i="202" s="1"/>
  <c r="B35" i="202" s="1"/>
  <c r="B11" i="202"/>
  <c r="M1654" i="132"/>
  <c r="I326" i="132" l="1"/>
  <c r="I325" i="132"/>
  <c r="I324" i="132"/>
  <c r="I274" i="132"/>
  <c r="I426" i="132"/>
  <c r="I425" i="132"/>
  <c r="I424" i="132"/>
  <c r="I423" i="132"/>
  <c r="I422" i="132"/>
  <c r="I421" i="132"/>
  <c r="I420" i="132"/>
  <c r="I416" i="132"/>
  <c r="I415" i="132"/>
  <c r="I414" i="132"/>
  <c r="I413" i="132"/>
  <c r="I412" i="132"/>
  <c r="I411" i="132"/>
  <c r="I410" i="132"/>
  <c r="I409" i="132"/>
  <c r="I408" i="132"/>
  <c r="I407" i="132"/>
  <c r="I406" i="132"/>
  <c r="I405" i="132"/>
  <c r="I273" i="132"/>
  <c r="I272" i="132"/>
  <c r="I271" i="132"/>
  <c r="I265" i="132"/>
  <c r="I239" i="132"/>
  <c r="I238" i="132"/>
  <c r="I229" i="132"/>
  <c r="I171" i="132"/>
  <c r="I170" i="132"/>
  <c r="I169" i="132"/>
  <c r="I168" i="132"/>
  <c r="I167" i="132"/>
  <c r="I166" i="132"/>
  <c r="I165" i="132"/>
  <c r="I164" i="132"/>
  <c r="I163" i="132"/>
  <c r="I27" i="132"/>
  <c r="I43" i="132"/>
  <c r="I162" i="132"/>
  <c r="I431" i="132"/>
  <c r="I243" i="132"/>
  <c r="I233" i="132"/>
  <c r="I203" i="132"/>
  <c r="I160" i="132"/>
  <c r="I135" i="132"/>
  <c r="I3" i="190"/>
  <c r="I1331" i="132"/>
  <c r="I1309" i="132"/>
  <c r="F183" i="190"/>
  <c r="H198" i="134"/>
  <c r="I198" i="134" s="1"/>
  <c r="J1" i="134"/>
  <c r="I44" i="132" l="1"/>
  <c r="I24" i="132"/>
  <c r="I460" i="132"/>
  <c r="I436" i="132"/>
  <c r="I430" i="132"/>
  <c r="I433" i="132" s="1"/>
  <c r="I202" i="132"/>
  <c r="I201" i="132"/>
  <c r="I200" i="132"/>
  <c r="I140" i="132"/>
  <c r="I139" i="132"/>
  <c r="I418" i="132" l="1"/>
  <c r="I142" i="132"/>
  <c r="I104" i="132"/>
  <c r="I1296" i="132" l="1"/>
  <c r="I1295" i="132"/>
  <c r="I333" i="132"/>
  <c r="I323" i="132"/>
  <c r="I328" i="132" s="1"/>
  <c r="I275" i="132"/>
  <c r="I270" i="132"/>
  <c r="I266" i="132"/>
  <c r="I264" i="132"/>
  <c r="I242" i="132"/>
  <c r="I241" i="132"/>
  <c r="I240" i="132"/>
  <c r="I237" i="132"/>
  <c r="I231" i="132"/>
  <c r="I199" i="132"/>
  <c r="I161" i="132"/>
  <c r="I158" i="132"/>
  <c r="I157" i="132"/>
  <c r="I151" i="132"/>
  <c r="I150" i="132"/>
  <c r="I66" i="132"/>
  <c r="I42" i="132"/>
  <c r="I46" i="132" s="1"/>
  <c r="I16" i="132"/>
  <c r="I26" i="132"/>
  <c r="I23" i="132"/>
  <c r="I22" i="132"/>
  <c r="I21" i="132"/>
  <c r="I17" i="132"/>
  <c r="I232" i="132"/>
  <c r="I230" i="132"/>
  <c r="I228" i="132"/>
  <c r="I198" i="132"/>
  <c r="I159" i="132"/>
  <c r="I156" i="132"/>
  <c r="I155" i="132"/>
  <c r="I60" i="132"/>
  <c r="I59" i="132"/>
  <c r="I58" i="132"/>
  <c r="I68" i="132"/>
  <c r="I67" i="132"/>
  <c r="I65" i="132"/>
  <c r="I64" i="132"/>
  <c r="I103" i="132"/>
  <c r="I106" i="132" s="1"/>
  <c r="I93" i="132"/>
  <c r="I92" i="132"/>
  <c r="I91" i="132"/>
  <c r="I134" i="132"/>
  <c r="I137" i="132" s="1"/>
  <c r="I130" i="132"/>
  <c r="I132" i="132" s="1"/>
  <c r="I87" i="132"/>
  <c r="I86" i="132"/>
  <c r="I82" i="132"/>
  <c r="I81" i="132"/>
  <c r="I80" i="132"/>
  <c r="I76" i="132"/>
  <c r="I78" i="132" s="1"/>
  <c r="I72" i="132"/>
  <c r="I74" i="132" s="1"/>
  <c r="I15" i="132"/>
  <c r="I14" i="132"/>
  <c r="I1514" i="132"/>
  <c r="I331" i="132"/>
  <c r="I332" i="132"/>
  <c r="I330" i="132"/>
  <c r="I173" i="132" l="1"/>
  <c r="I428" i="132"/>
  <c r="I277" i="132"/>
  <c r="I235" i="132"/>
  <c r="I245" i="132"/>
  <c r="I268" i="132"/>
  <c r="I205" i="132"/>
  <c r="I153" i="132"/>
  <c r="I84" i="132"/>
  <c r="I89" i="132"/>
  <c r="I70" i="132"/>
  <c r="I95" i="132"/>
  <c r="I29" i="132"/>
  <c r="I19" i="132"/>
  <c r="F194" i="190"/>
  <c r="O280" i="132" l="1"/>
  <c r="P280" i="132"/>
  <c r="O281" i="132"/>
  <c r="P281" i="132"/>
  <c r="O282" i="132"/>
  <c r="P282" i="132"/>
  <c r="P279" i="132"/>
  <c r="O279" i="132"/>
  <c r="Q282" i="132" l="1"/>
  <c r="Q281" i="132"/>
  <c r="Q280" i="132"/>
  <c r="Q279" i="132"/>
  <c r="I1260" i="132" l="1"/>
  <c r="I1262" i="132" s="1"/>
  <c r="I1244" i="132"/>
  <c r="I1240" i="132"/>
  <c r="G84" i="190"/>
  <c r="F84" i="190"/>
  <c r="G82" i="190"/>
  <c r="H82" i="190" s="1"/>
  <c r="G81" i="190"/>
  <c r="H79" i="190"/>
  <c r="H78" i="190"/>
  <c r="F49" i="190"/>
  <c r="F36" i="190"/>
  <c r="G36" i="190"/>
  <c r="G34" i="190"/>
  <c r="H34" i="190" s="1"/>
  <c r="G33" i="190"/>
  <c r="H31" i="190"/>
  <c r="H30" i="190"/>
  <c r="G26" i="190"/>
  <c r="F26" i="190"/>
  <c r="G24" i="190"/>
  <c r="H24" i="190" s="1"/>
  <c r="G23" i="190"/>
  <c r="H23" i="190" s="1"/>
  <c r="G22" i="190"/>
  <c r="H22" i="190" s="1"/>
  <c r="G21" i="190"/>
  <c r="H21" i="190" s="1"/>
  <c r="G20" i="190"/>
  <c r="H20" i="190" s="1"/>
  <c r="G19" i="190"/>
  <c r="F17" i="190"/>
  <c r="E17" i="190"/>
  <c r="I282" i="132"/>
  <c r="H84" i="190" l="1"/>
  <c r="H80" i="190"/>
  <c r="F81" i="190" s="1"/>
  <c r="H81" i="190" s="1"/>
  <c r="H36" i="190"/>
  <c r="H32" i="190"/>
  <c r="F33" i="190" s="1"/>
  <c r="H33" i="190" s="1"/>
  <c r="H26" i="190"/>
  <c r="H17" i="190"/>
  <c r="H18" i="190" s="1"/>
  <c r="F19" i="190" s="1"/>
  <c r="H19" i="190" s="1"/>
  <c r="I289" i="132"/>
  <c r="I281" i="132"/>
  <c r="H86" i="190" l="1"/>
  <c r="K1262" i="132" s="1"/>
  <c r="M1262" i="132" s="1"/>
  <c r="H28" i="190"/>
  <c r="K1242" i="132" s="1"/>
  <c r="M1242" i="132" s="1"/>
  <c r="H38" i="190"/>
  <c r="K1246" i="132" s="1"/>
  <c r="M1246" i="132" s="1"/>
  <c r="I288" i="132"/>
  <c r="F40" i="190"/>
  <c r="I287" i="132"/>
  <c r="I286" i="132"/>
  <c r="I280" i="132"/>
  <c r="I279" i="132"/>
  <c r="F44" i="107"/>
  <c r="G44" i="107" s="1"/>
  <c r="G45" i="107" s="1"/>
  <c r="G46" i="107" l="1"/>
  <c r="G47" i="107" s="1"/>
  <c r="I224" i="132" l="1"/>
  <c r="I223" i="132"/>
  <c r="I219" i="132"/>
  <c r="I218" i="132"/>
  <c r="I217" i="132"/>
  <c r="I216" i="132"/>
  <c r="I215" i="132"/>
  <c r="I213" i="132"/>
  <c r="I212" i="132"/>
  <c r="I211" i="132"/>
  <c r="I210" i="132"/>
  <c r="I209" i="132"/>
  <c r="I208" i="132"/>
  <c r="I207" i="132"/>
  <c r="I1252" i="132" l="1"/>
  <c r="I1254" i="132" s="1"/>
  <c r="F61" i="190"/>
  <c r="G61" i="190"/>
  <c r="G59" i="190"/>
  <c r="H59" i="190" s="1"/>
  <c r="G58" i="190"/>
  <c r="H56" i="190"/>
  <c r="H55" i="190"/>
  <c r="H92" i="190"/>
  <c r="H93" i="190"/>
  <c r="H94" i="190"/>
  <c r="F97" i="190"/>
  <c r="H69" i="190"/>
  <c r="H70" i="190"/>
  <c r="H71" i="190"/>
  <c r="F74" i="190"/>
  <c r="H61" i="190" l="1"/>
  <c r="H57" i="190"/>
  <c r="F58" i="190" s="1"/>
  <c r="H58" i="190" s="1"/>
  <c r="I1471" i="132" l="1"/>
  <c r="I1473" i="132" s="1"/>
  <c r="G49" i="190"/>
  <c r="G13" i="190"/>
  <c r="G74" i="190"/>
  <c r="H74" i="190" s="1"/>
  <c r="G97" i="190"/>
  <c r="I1264" i="132"/>
  <c r="I1256" i="132"/>
  <c r="G91" i="190"/>
  <c r="H88" i="190"/>
  <c r="H90" i="190" s="1"/>
  <c r="F91" i="190" s="1"/>
  <c r="H91" i="190" l="1"/>
  <c r="H97" i="190"/>
  <c r="G68" i="190" l="1"/>
  <c r="H65" i="190"/>
  <c r="H67" i="190" s="1"/>
  <c r="I1248" i="132"/>
  <c r="G42" i="190"/>
  <c r="G10" i="190"/>
  <c r="H49" i="190"/>
  <c r="G47" i="190"/>
  <c r="H47" i="190" s="1"/>
  <c r="G46" i="190"/>
  <c r="H46" i="190" s="1"/>
  <c r="G45" i="190"/>
  <c r="H45" i="190" s="1"/>
  <c r="G44" i="190"/>
  <c r="H44" i="190" s="1"/>
  <c r="G43" i="190"/>
  <c r="H43" i="190" s="1"/>
  <c r="E40" i="190"/>
  <c r="F13" i="190"/>
  <c r="H13" i="190" s="1"/>
  <c r="G11" i="190"/>
  <c r="H11" i="190" s="1"/>
  <c r="G116" i="190"/>
  <c r="G114" i="190"/>
  <c r="G113" i="190"/>
  <c r="G112" i="190"/>
  <c r="G111" i="190"/>
  <c r="G110" i="190"/>
  <c r="G109" i="190"/>
  <c r="F68" i="190" l="1"/>
  <c r="H68" i="190" s="1"/>
  <c r="H40" i="190"/>
  <c r="H41" i="190" s="1"/>
  <c r="F42" i="190" s="1"/>
  <c r="H42" i="190" s="1"/>
  <c r="H51" i="190" l="1"/>
  <c r="K1250" i="132" l="1"/>
  <c r="M1250" i="132" s="1"/>
  <c r="I1522" i="132"/>
  <c r="I1524" i="132" s="1"/>
  <c r="I1397" i="132"/>
  <c r="I1348" i="132"/>
  <c r="F246" i="190" l="1"/>
  <c r="I1300" i="132"/>
  <c r="I1349" i="132"/>
  <c r="I1350" i="132"/>
  <c r="G233" i="190" l="1"/>
  <c r="G245" i="190" s="1"/>
  <c r="G232" i="190"/>
  <c r="G244" i="190" s="1"/>
  <c r="H233" i="190" l="1"/>
  <c r="H232" i="190"/>
  <c r="I456" i="132"/>
  <c r="I297" i="132" l="1"/>
  <c r="I295" i="132"/>
  <c r="I294" i="132"/>
  <c r="I296" i="132"/>
  <c r="I293" i="132"/>
  <c r="G154" i="190" l="1"/>
  <c r="G152" i="190"/>
  <c r="G151" i="190"/>
  <c r="H151" i="190" s="1"/>
  <c r="G150" i="190"/>
  <c r="H150" i="190" s="1"/>
  <c r="G148" i="190"/>
  <c r="H148" i="190" s="1"/>
  <c r="G147" i="190"/>
  <c r="G146" i="190"/>
  <c r="G145" i="190"/>
  <c r="F154" i="190"/>
  <c r="H152" i="190"/>
  <c r="H149" i="190"/>
  <c r="H147" i="190"/>
  <c r="H143" i="190"/>
  <c r="H144" i="190" s="1"/>
  <c r="F146" i="190" s="1"/>
  <c r="H141" i="190"/>
  <c r="H140" i="190"/>
  <c r="H146" i="190" l="1"/>
  <c r="H142" i="190"/>
  <c r="F145" i="190" s="1"/>
  <c r="H145" i="190" s="1"/>
  <c r="H154" i="190"/>
  <c r="H155" i="190" l="1"/>
  <c r="K1279" i="132" s="1"/>
  <c r="I1277" i="132"/>
  <c r="I1236" i="132"/>
  <c r="I1238" i="132" s="1"/>
  <c r="I435" i="132"/>
  <c r="I438" i="132" s="1"/>
  <c r="I401" i="132"/>
  <c r="I400" i="132"/>
  <c r="I399" i="132"/>
  <c r="I398" i="132"/>
  <c r="I397" i="132"/>
  <c r="I396" i="132"/>
  <c r="I395" i="132"/>
  <c r="I394" i="132"/>
  <c r="I393" i="132"/>
  <c r="I392" i="132"/>
  <c r="I391" i="132"/>
  <c r="I390" i="132"/>
  <c r="I389" i="132"/>
  <c r="I388" i="132"/>
  <c r="I387" i="132"/>
  <c r="I386" i="132"/>
  <c r="I385" i="132"/>
  <c r="I384" i="132"/>
  <c r="I383" i="132"/>
  <c r="I382" i="132"/>
  <c r="I381" i="132"/>
  <c r="I380" i="132"/>
  <c r="I379" i="132"/>
  <c r="I378" i="132"/>
  <c r="I377" i="132"/>
  <c r="F338" i="132"/>
  <c r="I338" i="132" s="1"/>
  <c r="F337" i="132"/>
  <c r="I337" i="132" s="1"/>
  <c r="I260" i="132"/>
  <c r="I259" i="132"/>
  <c r="I258" i="132"/>
  <c r="I257" i="132"/>
  <c r="I256" i="132"/>
  <c r="I255" i="132"/>
  <c r="I254" i="132"/>
  <c r="I253" i="132"/>
  <c r="I252" i="132"/>
  <c r="I251" i="132"/>
  <c r="I250" i="132"/>
  <c r="I249" i="132"/>
  <c r="I248" i="132"/>
  <c r="I247" i="132"/>
  <c r="M1279" i="132" l="1"/>
  <c r="I1304" i="132" l="1"/>
  <c r="E990" i="107"/>
  <c r="G986" i="107" l="1"/>
  <c r="G987" i="107"/>
  <c r="G988" i="107"/>
  <c r="G989" i="107"/>
  <c r="G990" i="107"/>
  <c r="G985" i="107"/>
  <c r="I1491" i="132"/>
  <c r="E16" i="211"/>
  <c r="E10" i="211"/>
  <c r="E9" i="211"/>
  <c r="E8" i="211"/>
  <c r="G992" i="107" l="1"/>
  <c r="K1306" i="132" s="1"/>
  <c r="R55" i="210"/>
  <c r="M55" i="210"/>
  <c r="R54" i="210"/>
  <c r="M54" i="210"/>
  <c r="R53" i="210"/>
  <c r="M53" i="210"/>
  <c r="J48" i="210"/>
  <c r="J46" i="210"/>
  <c r="E44" i="210"/>
  <c r="D44" i="210"/>
  <c r="C44" i="210"/>
  <c r="E43" i="210"/>
  <c r="E42" i="210"/>
  <c r="E41" i="210"/>
  <c r="D41" i="210"/>
  <c r="C41" i="210"/>
  <c r="E40" i="210"/>
  <c r="D40" i="210"/>
  <c r="C40" i="210"/>
  <c r="E39" i="210"/>
  <c r="D39" i="210"/>
  <c r="C39" i="210"/>
  <c r="E38" i="210"/>
  <c r="D38" i="210"/>
  <c r="C38" i="210"/>
  <c r="E37" i="210"/>
  <c r="E36" i="210"/>
  <c r="E35" i="210"/>
  <c r="D35" i="210"/>
  <c r="C35" i="210"/>
  <c r="E34" i="210"/>
  <c r="D34" i="210"/>
  <c r="C34" i="210"/>
  <c r="E33" i="210"/>
  <c r="C33" i="210"/>
  <c r="E32" i="210"/>
  <c r="D32" i="210"/>
  <c r="C32" i="210"/>
  <c r="E31" i="210"/>
  <c r="D31" i="210"/>
  <c r="E30" i="210"/>
  <c r="D30" i="210"/>
  <c r="C30" i="210"/>
  <c r="D29" i="210"/>
  <c r="E28" i="210"/>
  <c r="D28" i="210"/>
  <c r="C28" i="210"/>
  <c r="E27" i="210"/>
  <c r="D27" i="210"/>
  <c r="C27" i="210"/>
  <c r="E26" i="210"/>
  <c r="D26" i="210"/>
  <c r="E25" i="210"/>
  <c r="D25" i="210"/>
  <c r="C25" i="210"/>
  <c r="C24" i="210"/>
  <c r="F24" i="210" s="1"/>
  <c r="E23" i="210"/>
  <c r="D23" i="210"/>
  <c r="C23" i="210"/>
  <c r="E22" i="210"/>
  <c r="C22" i="210"/>
  <c r="E21" i="210"/>
  <c r="D21" i="210"/>
  <c r="C21" i="210"/>
  <c r="E20" i="210"/>
  <c r="D20" i="210"/>
  <c r="C20" i="210"/>
  <c r="E19" i="210"/>
  <c r="D19" i="210"/>
  <c r="C19" i="210"/>
  <c r="E18" i="210"/>
  <c r="D18" i="210"/>
  <c r="C18" i="210"/>
  <c r="E17" i="210"/>
  <c r="D17" i="210"/>
  <c r="C17" i="210"/>
  <c r="E16" i="210"/>
  <c r="D16" i="210"/>
  <c r="C16" i="210"/>
  <c r="E15" i="210"/>
  <c r="D15" i="210"/>
  <c r="C15" i="210"/>
  <c r="E14" i="210"/>
  <c r="D14" i="210"/>
  <c r="C14" i="210"/>
  <c r="C13" i="210"/>
  <c r="F13" i="210" s="1"/>
  <c r="E12" i="210"/>
  <c r="D12" i="210"/>
  <c r="C12" i="210"/>
  <c r="C11" i="210"/>
  <c r="F11" i="210" s="1"/>
  <c r="T10" i="210"/>
  <c r="T35" i="210" s="1"/>
  <c r="C10" i="210"/>
  <c r="F10" i="210" s="1"/>
  <c r="L10" i="210" s="1"/>
  <c r="C9" i="210"/>
  <c r="F9" i="210" s="1"/>
  <c r="C8" i="210"/>
  <c r="F8" i="210" s="1"/>
  <c r="C7" i="210"/>
  <c r="F7" i="210" s="1"/>
  <c r="R7" i="210" s="1"/>
  <c r="C6" i="210"/>
  <c r="F6" i="210" s="1"/>
  <c r="P6" i="210" s="1"/>
  <c r="P46" i="210" s="1"/>
  <c r="P48" i="210" s="1"/>
  <c r="C5" i="210"/>
  <c r="F5" i="210" s="1"/>
  <c r="O5" i="210" s="1"/>
  <c r="O46" i="210" s="1"/>
  <c r="O48" i="210" s="1"/>
  <c r="F4" i="210"/>
  <c r="R4" i="210" s="1"/>
  <c r="A2" i="210"/>
  <c r="G19" i="207"/>
  <c r="G18" i="207"/>
  <c r="G17" i="207"/>
  <c r="C2" i="207"/>
  <c r="C1" i="207"/>
  <c r="E90" i="205"/>
  <c r="E89" i="205"/>
  <c r="E88" i="205"/>
  <c r="B4" i="205"/>
  <c r="E9" i="204"/>
  <c r="E11" i="211" s="1"/>
  <c r="E7" i="204"/>
  <c r="E6" i="211" s="1"/>
  <c r="C3" i="207"/>
  <c r="L79" i="205"/>
  <c r="H80" i="205" s="1"/>
  <c r="G2" i="205"/>
  <c r="F12" i="210" l="1"/>
  <c r="I12" i="210" s="1"/>
  <c r="F14" i="210"/>
  <c r="I14" i="210" s="1"/>
  <c r="F16" i="210"/>
  <c r="I16" i="210" s="1"/>
  <c r="F18" i="210"/>
  <c r="I18" i="210" s="1"/>
  <c r="F20" i="210"/>
  <c r="I20" i="210" s="1"/>
  <c r="F34" i="210"/>
  <c r="S34" i="210" s="1"/>
  <c r="F38" i="210"/>
  <c r="S38" i="210" s="1"/>
  <c r="F40" i="210"/>
  <c r="S40" i="210" s="1"/>
  <c r="F44" i="210"/>
  <c r="S44" i="210" s="1"/>
  <c r="E16" i="204"/>
  <c r="R46" i="210"/>
  <c r="R48" i="210" s="1"/>
  <c r="F27" i="210"/>
  <c r="S27" i="210" s="1"/>
  <c r="F28" i="210"/>
  <c r="Q28" i="210" s="1"/>
  <c r="F15" i="210"/>
  <c r="L15" i="210" s="1"/>
  <c r="F17" i="210"/>
  <c r="L17" i="210" s="1"/>
  <c r="F19" i="210"/>
  <c r="I19" i="210" s="1"/>
  <c r="F21" i="210"/>
  <c r="L21" i="210" s="1"/>
  <c r="F23" i="210"/>
  <c r="N23" i="210" s="1"/>
  <c r="F25" i="210"/>
  <c r="S25" i="210" s="1"/>
  <c r="F30" i="210"/>
  <c r="N30" i="210" s="1"/>
  <c r="F32" i="210"/>
  <c r="S32" i="210" s="1"/>
  <c r="F35" i="210"/>
  <c r="S35" i="210" s="1"/>
  <c r="F39" i="210"/>
  <c r="M39" i="210" s="1"/>
  <c r="F41" i="210"/>
  <c r="S41" i="210" s="1"/>
  <c r="S9" i="210"/>
  <c r="H9" i="210"/>
  <c r="L9" i="210"/>
  <c r="L11" i="210"/>
  <c r="I11" i="210"/>
  <c r="L13" i="210"/>
  <c r="I13" i="210"/>
  <c r="L8" i="210"/>
  <c r="S8" i="210"/>
  <c r="H8" i="210"/>
  <c r="M24" i="210"/>
  <c r="S24" i="210"/>
  <c r="K24" i="210"/>
  <c r="K46" i="210" s="1"/>
  <c r="K48" i="210" s="1"/>
  <c r="I10" i="210"/>
  <c r="S10" i="210"/>
  <c r="T11" i="210"/>
  <c r="S11" i="210" s="1"/>
  <c r="T12" i="210"/>
  <c r="T13" i="210"/>
  <c r="S13" i="210" s="1"/>
  <c r="T14" i="210"/>
  <c r="T20" i="210"/>
  <c r="T21" i="210" s="1"/>
  <c r="S23" i="210" l="1"/>
  <c r="I17" i="210"/>
  <c r="M25" i="210"/>
  <c r="L12" i="210"/>
  <c r="S12" i="210"/>
  <c r="M44" i="210"/>
  <c r="L20" i="210"/>
  <c r="M38" i="210"/>
  <c r="L16" i="210"/>
  <c r="M27" i="210"/>
  <c r="L35" i="210"/>
  <c r="M40" i="210"/>
  <c r="L14" i="210"/>
  <c r="M41" i="210"/>
  <c r="N34" i="210"/>
  <c r="S28" i="210"/>
  <c r="L18" i="210"/>
  <c r="S39" i="210"/>
  <c r="N32" i="210"/>
  <c r="L19" i="210"/>
  <c r="I15" i="210"/>
  <c r="M28" i="210"/>
  <c r="S21" i="210"/>
  <c r="Q27" i="210"/>
  <c r="H46" i="210"/>
  <c r="H48" i="210" s="1"/>
  <c r="I35" i="210"/>
  <c r="S30" i="210"/>
  <c r="I21" i="210"/>
  <c r="Q25" i="210"/>
  <c r="T16" i="210"/>
  <c r="T15" i="210"/>
  <c r="S15" i="210" s="1"/>
  <c r="S20" i="210"/>
  <c r="S14" i="210"/>
  <c r="I79" i="205"/>
  <c r="I46" i="210" l="1"/>
  <c r="I48" i="210" s="1"/>
  <c r="L46" i="210"/>
  <c r="L48" i="210" s="1"/>
  <c r="T17" i="210"/>
  <c r="S16" i="210"/>
  <c r="K56" i="203"/>
  <c r="H56" i="203"/>
  <c r="K55" i="203"/>
  <c r="H55" i="203"/>
  <c r="K54" i="203"/>
  <c r="H54" i="203"/>
  <c r="N48" i="203"/>
  <c r="U48" i="203"/>
  <c r="X47" i="203"/>
  <c r="N47" i="203"/>
  <c r="N46" i="203"/>
  <c r="N45" i="203"/>
  <c r="X44" i="203"/>
  <c r="N44" i="203"/>
  <c r="X7" i="203"/>
  <c r="N7" i="203"/>
  <c r="J7" i="203"/>
  <c r="U7" i="203" s="1"/>
  <c r="K3" i="203"/>
  <c r="A2" i="203"/>
  <c r="N23" i="140"/>
  <c r="N34" i="140"/>
  <c r="K54" i="140"/>
  <c r="L54" i="140"/>
  <c r="N54" i="140"/>
  <c r="N55" i="140"/>
  <c r="N63" i="140"/>
  <c r="K64" i="140"/>
  <c r="L64" i="140"/>
  <c r="N64" i="140"/>
  <c r="N69" i="140"/>
  <c r="N70" i="140"/>
  <c r="N108" i="140"/>
  <c r="K144" i="140"/>
  <c r="L144" i="140"/>
  <c r="N144" i="140"/>
  <c r="N152" i="140"/>
  <c r="N158" i="140"/>
  <c r="N164" i="140"/>
  <c r="N177" i="140"/>
  <c r="N183" i="140"/>
  <c r="N185" i="140"/>
  <c r="N186" i="140"/>
  <c r="N199" i="140"/>
  <c r="K200" i="140"/>
  <c r="L200" i="140"/>
  <c r="N200" i="140"/>
  <c r="N238" i="140"/>
  <c r="N239" i="140"/>
  <c r="N242" i="140"/>
  <c r="N243" i="140"/>
  <c r="N244" i="140"/>
  <c r="K245" i="140"/>
  <c r="L245" i="140"/>
  <c r="N245" i="140"/>
  <c r="K246" i="140"/>
  <c r="L246" i="140"/>
  <c r="N246" i="140"/>
  <c r="K247" i="140"/>
  <c r="L247" i="140"/>
  <c r="N247" i="140"/>
  <c r="K248" i="140"/>
  <c r="L248" i="140"/>
  <c r="N248" i="140"/>
  <c r="N249" i="140"/>
  <c r="N250" i="140"/>
  <c r="N251" i="140"/>
  <c r="N252" i="140"/>
  <c r="K253" i="140"/>
  <c r="L253" i="140"/>
  <c r="N253" i="140"/>
  <c r="K254" i="140"/>
  <c r="L254" i="140"/>
  <c r="N254" i="140"/>
  <c r="N255" i="140"/>
  <c r="F232" i="140"/>
  <c r="F228" i="140"/>
  <c r="F226" i="140"/>
  <c r="F224" i="140"/>
  <c r="F218" i="140"/>
  <c r="F205" i="140"/>
  <c r="F182" i="140"/>
  <c r="F180" i="140"/>
  <c r="F159" i="140"/>
  <c r="F156" i="140"/>
  <c r="F154" i="140"/>
  <c r="F106" i="140"/>
  <c r="T18" i="210" l="1"/>
  <c r="S17" i="210"/>
  <c r="K7" i="203"/>
  <c r="L7" i="203"/>
  <c r="T19" i="210" l="1"/>
  <c r="S19" i="210" s="1"/>
  <c r="S18" i="210"/>
  <c r="F103" i="140" l="1"/>
  <c r="F100" i="140"/>
  <c r="F99" i="140"/>
  <c r="I842" i="132" l="1"/>
  <c r="I1629" i="132" l="1"/>
  <c r="I1631" i="132" s="1"/>
  <c r="I1294" i="132"/>
  <c r="I820" i="132"/>
  <c r="I850" i="132"/>
  <c r="I849" i="132"/>
  <c r="I844" i="132"/>
  <c r="I843" i="132"/>
  <c r="I841" i="132"/>
  <c r="I840" i="132"/>
  <c r="I839" i="132"/>
  <c r="I838" i="132"/>
  <c r="I837" i="132"/>
  <c r="I836" i="132"/>
  <c r="I835" i="132"/>
  <c r="I834" i="132"/>
  <c r="I833" i="132"/>
  <c r="I832" i="132"/>
  <c r="I831" i="132"/>
  <c r="I830" i="132"/>
  <c r="I829" i="132"/>
  <c r="I828" i="132"/>
  <c r="I827" i="132"/>
  <c r="I826" i="132"/>
  <c r="I825" i="132"/>
  <c r="I824" i="132"/>
  <c r="I852" i="132"/>
  <c r="I851" i="132"/>
  <c r="I823" i="132"/>
  <c r="I822" i="132"/>
  <c r="I821" i="132"/>
  <c r="I819" i="132"/>
  <c r="I818" i="132"/>
  <c r="I858" i="132"/>
  <c r="I857" i="132"/>
  <c r="G981" i="107"/>
  <c r="G980" i="107"/>
  <c r="G978" i="107"/>
  <c r="G977" i="107"/>
  <c r="G976" i="107"/>
  <c r="G975" i="107"/>
  <c r="G974" i="107"/>
  <c r="G973" i="107"/>
  <c r="G972" i="107"/>
  <c r="G970" i="107"/>
  <c r="G969" i="107"/>
  <c r="G968" i="107"/>
  <c r="G967" i="107"/>
  <c r="G966" i="107"/>
  <c r="G965" i="107"/>
  <c r="G964" i="107"/>
  <c r="G962" i="107"/>
  <c r="G960" i="107"/>
  <c r="G958" i="107"/>
  <c r="G957" i="107"/>
  <c r="G955" i="107"/>
  <c r="I845" i="132" l="1"/>
  <c r="G17" i="203"/>
  <c r="G106" i="140"/>
  <c r="G43" i="203"/>
  <c r="G16" i="203"/>
  <c r="G15" i="203"/>
  <c r="F982" i="107"/>
  <c r="G982" i="107" s="1"/>
  <c r="G983" i="107" s="1"/>
  <c r="C43" i="203" l="1"/>
  <c r="B51" i="205"/>
  <c r="X43" i="203"/>
  <c r="B25" i="205"/>
  <c r="C17" i="203"/>
  <c r="B24" i="205"/>
  <c r="X16" i="203"/>
  <c r="C16" i="203"/>
  <c r="B23" i="205"/>
  <c r="C15" i="203"/>
  <c r="X15" i="203"/>
  <c r="K860" i="132"/>
  <c r="M860" i="132" s="1"/>
  <c r="I748" i="132"/>
  <c r="I813" i="132"/>
  <c r="I812" i="132"/>
  <c r="I811" i="132"/>
  <c r="I810" i="132"/>
  <c r="I809" i="132"/>
  <c r="I808" i="132"/>
  <c r="I807" i="132"/>
  <c r="I806" i="132"/>
  <c r="I805" i="132"/>
  <c r="I804" i="132"/>
  <c r="I803" i="132"/>
  <c r="I802" i="132"/>
  <c r="I801" i="132"/>
  <c r="I800" i="132"/>
  <c r="I799" i="132"/>
  <c r="I798" i="132"/>
  <c r="I797" i="132"/>
  <c r="I524" i="132"/>
  <c r="I523" i="132"/>
  <c r="I690" i="132"/>
  <c r="I691" i="132"/>
  <c r="I692" i="132"/>
  <c r="I693" i="132"/>
  <c r="I694" i="132"/>
  <c r="I695" i="132"/>
  <c r="I696" i="132"/>
  <c r="I697" i="132"/>
  <c r="I698" i="132"/>
  <c r="I699" i="132"/>
  <c r="I682" i="132"/>
  <c r="I683" i="132"/>
  <c r="I684" i="132"/>
  <c r="I662" i="132"/>
  <c r="I661" i="132"/>
  <c r="I657" i="132"/>
  <c r="I656" i="132"/>
  <c r="I650" i="132"/>
  <c r="I649" i="132"/>
  <c r="I646" i="132"/>
  <c r="I645" i="132"/>
  <c r="I644" i="132"/>
  <c r="I652" i="132"/>
  <c r="I653" i="132"/>
  <c r="I654" i="132"/>
  <c r="I655" i="132"/>
  <c r="I658" i="132"/>
  <c r="I659" i="132"/>
  <c r="I660" i="132"/>
  <c r="I651" i="132"/>
  <c r="I643" i="132"/>
  <c r="I647" i="132"/>
  <c r="I648" i="132"/>
  <c r="D22" i="210" l="1"/>
  <c r="F22" i="210" s="1"/>
  <c r="G8" i="203"/>
  <c r="I17" i="203"/>
  <c r="I106" i="140"/>
  <c r="G14" i="203"/>
  <c r="B22" i="205" l="1"/>
  <c r="C14" i="203"/>
  <c r="X14" i="203"/>
  <c r="S22" i="210"/>
  <c r="N22" i="210"/>
  <c r="B16" i="205"/>
  <c r="X8" i="203"/>
  <c r="C8" i="203"/>
  <c r="F25" i="205"/>
  <c r="H25" i="205" s="1"/>
  <c r="E17" i="203"/>
  <c r="J17" i="203"/>
  <c r="N106" i="140"/>
  <c r="J106" i="140"/>
  <c r="L3" i="132"/>
  <c r="K106" i="140" l="1"/>
  <c r="L106" i="140"/>
  <c r="N17" i="203"/>
  <c r="F17" i="203"/>
  <c r="K17" i="203" s="1"/>
  <c r="I1467" i="132"/>
  <c r="I1469" i="132" s="1"/>
  <c r="I1477" i="132"/>
  <c r="I1478" i="132"/>
  <c r="I1479" i="132"/>
  <c r="I1483" i="132"/>
  <c r="I1485" i="132" s="1"/>
  <c r="I1487" i="132"/>
  <c r="I1496" i="132"/>
  <c r="I1497" i="132"/>
  <c r="I1498" i="132"/>
  <c r="I1499" i="132"/>
  <c r="I1503" i="132"/>
  <c r="I1506" i="132"/>
  <c r="I1510" i="132"/>
  <c r="I1513" i="132"/>
  <c r="I1516" i="132" s="1"/>
  <c r="I1518" i="132"/>
  <c r="I1520" i="132" s="1"/>
  <c r="I1526" i="132"/>
  <c r="I1528" i="132" s="1"/>
  <c r="I1530" i="132"/>
  <c r="I1531" i="132" s="1"/>
  <c r="I1533" i="132"/>
  <c r="I1535" i="132" s="1"/>
  <c r="I1537" i="132"/>
  <c r="I1541" i="132"/>
  <c r="I1546" i="132"/>
  <c r="I1549" i="132"/>
  <c r="I1553" i="132"/>
  <c r="I1557" i="132"/>
  <c r="I1561" i="132"/>
  <c r="I1563" i="132" s="1"/>
  <c r="I1565" i="132"/>
  <c r="I1568" i="132"/>
  <c r="I1570" i="132" s="1"/>
  <c r="I1572" i="132"/>
  <c r="I1574" i="132" s="1"/>
  <c r="I1576" i="132"/>
  <c r="I1578" i="132" s="1"/>
  <c r="I1580" i="132"/>
  <c r="I1582" i="132" s="1"/>
  <c r="I1585" i="132"/>
  <c r="I1586" i="132"/>
  <c r="I1587" i="132"/>
  <c r="I1588" i="132"/>
  <c r="I1589" i="132"/>
  <c r="I1590" i="132"/>
  <c r="I1591" i="132"/>
  <c r="I1592" i="132"/>
  <c r="I1593" i="132"/>
  <c r="I1598" i="132"/>
  <c r="I1599" i="132"/>
  <c r="I1600" i="132"/>
  <c r="I1601" i="132"/>
  <c r="I1602" i="132"/>
  <c r="I1603" i="132"/>
  <c r="I1604" i="132"/>
  <c r="I1605" i="132"/>
  <c r="I1606" i="132"/>
  <c r="I1611" i="132"/>
  <c r="I1612" i="132"/>
  <c r="I1613" i="132"/>
  <c r="I1614" i="132"/>
  <c r="I1615" i="132"/>
  <c r="I1616" i="132"/>
  <c r="I1617" i="132"/>
  <c r="I1618" i="132"/>
  <c r="I1619" i="132"/>
  <c r="I1623" i="132"/>
  <c r="I1624" i="132"/>
  <c r="I1625" i="132"/>
  <c r="I1633" i="132"/>
  <c r="I1634" i="132" s="1"/>
  <c r="I1637" i="132"/>
  <c r="I1640" i="132"/>
  <c r="I1642" i="132" s="1"/>
  <c r="I1644" i="132"/>
  <c r="I1646" i="132" s="1"/>
  <c r="I1648" i="132"/>
  <c r="I1367" i="132"/>
  <c r="I1370" i="132"/>
  <c r="I1375" i="132"/>
  <c r="I1376" i="132"/>
  <c r="I1381" i="132"/>
  <c r="I1384" i="132"/>
  <c r="I1388" i="132"/>
  <c r="F1393" i="132"/>
  <c r="I1393" i="132" s="1"/>
  <c r="I1396" i="132"/>
  <c r="I1402" i="132"/>
  <c r="I1405" i="132"/>
  <c r="I1409" i="132"/>
  <c r="I1410" i="132"/>
  <c r="I1414" i="132"/>
  <c r="I1418" i="132"/>
  <c r="I1422" i="132"/>
  <c r="I1425" i="132"/>
  <c r="I1428" i="132"/>
  <c r="I1431" i="132"/>
  <c r="I1434" i="132"/>
  <c r="I1435" i="132"/>
  <c r="I1436" i="132"/>
  <c r="I1439" i="132"/>
  <c r="I1442" i="132"/>
  <c r="I1445" i="132"/>
  <c r="I1448" i="132"/>
  <c r="I1451" i="132"/>
  <c r="I1454" i="132"/>
  <c r="I1457" i="132"/>
  <c r="I1460" i="132"/>
  <c r="I1463" i="132"/>
  <c r="I1269" i="132"/>
  <c r="I1273" i="132"/>
  <c r="I1281" i="132"/>
  <c r="I1283" i="132" s="1"/>
  <c r="I1285" i="132"/>
  <c r="I1286" i="132" s="1"/>
  <c r="I1289" i="132"/>
  <c r="I1291" i="132"/>
  <c r="G18" i="203"/>
  <c r="I1308" i="132"/>
  <c r="I1311" i="132" s="1"/>
  <c r="I1313" i="132"/>
  <c r="G19" i="203" s="1"/>
  <c r="I1317" i="132"/>
  <c r="I1318" i="132"/>
  <c r="I1322" i="132"/>
  <c r="G20" i="203" s="1"/>
  <c r="I1326" i="132"/>
  <c r="I1328" i="132" s="1"/>
  <c r="I1330" i="132"/>
  <c r="I1333" i="132" s="1"/>
  <c r="I1335" i="132"/>
  <c r="I1336" i="132"/>
  <c r="I1337" i="132"/>
  <c r="I1338" i="132"/>
  <c r="I1343" i="132"/>
  <c r="I1347" i="132"/>
  <c r="I1356" i="132"/>
  <c r="I1357" i="132"/>
  <c r="I1358" i="132"/>
  <c r="I1360" i="132"/>
  <c r="I1361" i="132"/>
  <c r="I869" i="132"/>
  <c r="I874" i="132"/>
  <c r="I875" i="132"/>
  <c r="I880" i="132"/>
  <c r="I881" i="132"/>
  <c r="I883" i="132"/>
  <c r="I888" i="132"/>
  <c r="I893" i="132"/>
  <c r="I898" i="132"/>
  <c r="I899" i="132"/>
  <c r="I901" i="132"/>
  <c r="I903" i="132"/>
  <c r="I904" i="132"/>
  <c r="I909" i="132"/>
  <c r="I910" i="132"/>
  <c r="I912" i="132"/>
  <c r="I914" i="132"/>
  <c r="I915" i="132"/>
  <c r="I920" i="132"/>
  <c r="I921" i="132"/>
  <c r="I922" i="132"/>
  <c r="I923" i="132"/>
  <c r="I928" i="132"/>
  <c r="I933" i="132"/>
  <c r="I938" i="132"/>
  <c r="I939" i="132"/>
  <c r="I944" i="132"/>
  <c r="I945" i="132"/>
  <c r="I946" i="132"/>
  <c r="I947" i="132"/>
  <c r="I948" i="132"/>
  <c r="I950" i="132"/>
  <c r="I951" i="132"/>
  <c r="I952" i="132"/>
  <c r="H953" i="132"/>
  <c r="I953" i="132" s="1"/>
  <c r="I954" i="132"/>
  <c r="I955" i="132"/>
  <c r="I956" i="132"/>
  <c r="I961" i="132"/>
  <c r="I962" i="132"/>
  <c r="I963" i="132"/>
  <c r="I965" i="132"/>
  <c r="I970" i="132"/>
  <c r="I975" i="132"/>
  <c r="I976" i="132"/>
  <c r="I977" i="132"/>
  <c r="I978" i="132"/>
  <c r="I979" i="132"/>
  <c r="I980" i="132"/>
  <c r="I981" i="132"/>
  <c r="I986" i="132"/>
  <c r="I987" i="132"/>
  <c r="I988" i="132"/>
  <c r="I989" i="132"/>
  <c r="I990" i="132"/>
  <c r="I991" i="132"/>
  <c r="I996" i="132"/>
  <c r="I997" i="132"/>
  <c r="I998" i="132"/>
  <c r="I999" i="132"/>
  <c r="I1000" i="132"/>
  <c r="I1001" i="132"/>
  <c r="I1002" i="132"/>
  <c r="I1003" i="132"/>
  <c r="I1004" i="132"/>
  <c r="I1005" i="132"/>
  <c r="I1006" i="132"/>
  <c r="I1007" i="132"/>
  <c r="I1008" i="132"/>
  <c r="I1009" i="132"/>
  <c r="I1010" i="132"/>
  <c r="I1011" i="132"/>
  <c r="I1012" i="132"/>
  <c r="I1013" i="132"/>
  <c r="I1014" i="132"/>
  <c r="I1015" i="132"/>
  <c r="I1016" i="132"/>
  <c r="I1017" i="132"/>
  <c r="I1018" i="132"/>
  <c r="I1019" i="132"/>
  <c r="I1020" i="132"/>
  <c r="I1021" i="132"/>
  <c r="I1022" i="132"/>
  <c r="I1023" i="132"/>
  <c r="I1024" i="132"/>
  <c r="I1025" i="132"/>
  <c r="I1026" i="132"/>
  <c r="I1027" i="132"/>
  <c r="I1029" i="132"/>
  <c r="I1030" i="132"/>
  <c r="I1031" i="132"/>
  <c r="I1032" i="132"/>
  <c r="I1037" i="132"/>
  <c r="I1042" i="132"/>
  <c r="I1043" i="132"/>
  <c r="I1044" i="132"/>
  <c r="I1049" i="132"/>
  <c r="I1050" i="132"/>
  <c r="I1051" i="132"/>
  <c r="I1052" i="132"/>
  <c r="I1053" i="132"/>
  <c r="I1058" i="132"/>
  <c r="I1060" i="132"/>
  <c r="I1064" i="132"/>
  <c r="I1065" i="132"/>
  <c r="I1066" i="132"/>
  <c r="I1067" i="132"/>
  <c r="I1068" i="132"/>
  <c r="I1069" i="132"/>
  <c r="I1074" i="132"/>
  <c r="I1075" i="132"/>
  <c r="I1076" i="132"/>
  <c r="I1077" i="132"/>
  <c r="I1078" i="132"/>
  <c r="I1083" i="132"/>
  <c r="I1084" i="132"/>
  <c r="I1085" i="132"/>
  <c r="I1086" i="132"/>
  <c r="I1087" i="132"/>
  <c r="I1088" i="132"/>
  <c r="I1089" i="132"/>
  <c r="I1094" i="132"/>
  <c r="I1095" i="132"/>
  <c r="I1096" i="132"/>
  <c r="I1097" i="132"/>
  <c r="I1098" i="132"/>
  <c r="I1103" i="132"/>
  <c r="I1104" i="132"/>
  <c r="I1105" i="132"/>
  <c r="I1106" i="132"/>
  <c r="I1107" i="132"/>
  <c r="I1108" i="132"/>
  <c r="I1109" i="132"/>
  <c r="I1110" i="132"/>
  <c r="I1111" i="132"/>
  <c r="I1112" i="132"/>
  <c r="I1113" i="132"/>
  <c r="I1118" i="132"/>
  <c r="I1119" i="132"/>
  <c r="I1120" i="132"/>
  <c r="I1121" i="132"/>
  <c r="I1122" i="132"/>
  <c r="I1123" i="132"/>
  <c r="I1128" i="132"/>
  <c r="I1129" i="132"/>
  <c r="I1130" i="132"/>
  <c r="I1131" i="132"/>
  <c r="I1132" i="132"/>
  <c r="I1133" i="132"/>
  <c r="I1134" i="132"/>
  <c r="I1135" i="132"/>
  <c r="I1136" i="132"/>
  <c r="I1137" i="132"/>
  <c r="I1142" i="132"/>
  <c r="I1143" i="132"/>
  <c r="I1148" i="132"/>
  <c r="I1149" i="132"/>
  <c r="I1150" i="132"/>
  <c r="I1151" i="132"/>
  <c r="I1156" i="132"/>
  <c r="I1157" i="132"/>
  <c r="I1158" i="132"/>
  <c r="I1159" i="132"/>
  <c r="I1160" i="132"/>
  <c r="I1161" i="132"/>
  <c r="I1162" i="132"/>
  <c r="I1163" i="132"/>
  <c r="I1164" i="132"/>
  <c r="I1165" i="132"/>
  <c r="I1166" i="132"/>
  <c r="I1167" i="132"/>
  <c r="I1168" i="132"/>
  <c r="I1170" i="132"/>
  <c r="I1171" i="132"/>
  <c r="I1172" i="132"/>
  <c r="I1173" i="132"/>
  <c r="I1174" i="132"/>
  <c r="I1175" i="132"/>
  <c r="I1176" i="132"/>
  <c r="I1177" i="132"/>
  <c r="I1178" i="132"/>
  <c r="I1179" i="132"/>
  <c r="I1180" i="132"/>
  <c r="I1181" i="132"/>
  <c r="I1183" i="132"/>
  <c r="I1184" i="132"/>
  <c r="I1185" i="132"/>
  <c r="I1186" i="132"/>
  <c r="I1191" i="132"/>
  <c r="I1192" i="132"/>
  <c r="I1193" i="132"/>
  <c r="I1194" i="132"/>
  <c r="I1195" i="132"/>
  <c r="I1196" i="132"/>
  <c r="I1197" i="132"/>
  <c r="I1198" i="132"/>
  <c r="I1199" i="132"/>
  <c r="I1200" i="132"/>
  <c r="I1201" i="132"/>
  <c r="I1202" i="132"/>
  <c r="I1207" i="132"/>
  <c r="I1208" i="132"/>
  <c r="I1209" i="132"/>
  <c r="I1210" i="132"/>
  <c r="I1211" i="132"/>
  <c r="I1212" i="132"/>
  <c r="I1213" i="132"/>
  <c r="I1214" i="132"/>
  <c r="I1215" i="132"/>
  <c r="I1220" i="132"/>
  <c r="I1221" i="132"/>
  <c r="I1222" i="132"/>
  <c r="I1223" i="132"/>
  <c r="I1224" i="132"/>
  <c r="I1225" i="132"/>
  <c r="I1226" i="132"/>
  <c r="I1232" i="132"/>
  <c r="I463" i="132"/>
  <c r="I464" i="132"/>
  <c r="I468" i="132"/>
  <c r="I469" i="132"/>
  <c r="I470" i="132"/>
  <c r="I475" i="132"/>
  <c r="I477" i="132"/>
  <c r="I478" i="132"/>
  <c r="I482" i="132"/>
  <c r="I487" i="132"/>
  <c r="I492" i="132"/>
  <c r="I493" i="132"/>
  <c r="I495" i="132"/>
  <c r="I497" i="132"/>
  <c r="I498" i="132"/>
  <c r="I503" i="132"/>
  <c r="I504" i="132"/>
  <c r="I506" i="132"/>
  <c r="I508" i="132"/>
  <c r="I509" i="132"/>
  <c r="I513" i="132"/>
  <c r="I514" i="132"/>
  <c r="I518" i="132"/>
  <c r="I529" i="132"/>
  <c r="I530" i="132"/>
  <c r="I534" i="132"/>
  <c r="I535" i="132"/>
  <c r="I537" i="132"/>
  <c r="I538" i="132"/>
  <c r="I539" i="132"/>
  <c r="I540" i="132"/>
  <c r="I541" i="132"/>
  <c r="I542" i="132"/>
  <c r="I547" i="132"/>
  <c r="I548" i="132"/>
  <c r="I549" i="132"/>
  <c r="I550" i="132"/>
  <c r="I551" i="132"/>
  <c r="I552" i="132"/>
  <c r="I553" i="132"/>
  <c r="I554" i="132"/>
  <c r="I555" i="132"/>
  <c r="I556" i="132"/>
  <c r="I557" i="132"/>
  <c r="I559" i="132"/>
  <c r="I560" i="132"/>
  <c r="I561" i="132"/>
  <c r="I562" i="132"/>
  <c r="I563" i="132"/>
  <c r="I564" i="132"/>
  <c r="I565" i="132"/>
  <c r="I566" i="132"/>
  <c r="I567" i="132"/>
  <c r="I572" i="132"/>
  <c r="I573" i="132"/>
  <c r="I574" i="132"/>
  <c r="I575" i="132"/>
  <c r="I576" i="132"/>
  <c r="I577" i="132"/>
  <c r="I578" i="132"/>
  <c r="I579" i="132"/>
  <c r="I580" i="132"/>
  <c r="I581" i="132"/>
  <c r="I583" i="132"/>
  <c r="I584" i="132"/>
  <c r="I585" i="132"/>
  <c r="I586" i="132"/>
  <c r="I587" i="132"/>
  <c r="I588" i="132"/>
  <c r="I589" i="132"/>
  <c r="I590" i="132"/>
  <c r="I591" i="132"/>
  <c r="I592" i="132"/>
  <c r="I594" i="132"/>
  <c r="I599" i="132"/>
  <c r="I600" i="132"/>
  <c r="I601" i="132"/>
  <c r="I602" i="132"/>
  <c r="I603" i="132"/>
  <c r="I604" i="132"/>
  <c r="I605" i="132"/>
  <c r="I610" i="132"/>
  <c r="I611" i="132"/>
  <c r="I615" i="132"/>
  <c r="I616" i="132"/>
  <c r="I617" i="132"/>
  <c r="I618" i="132"/>
  <c r="I619" i="132"/>
  <c r="I623" i="132"/>
  <c r="I624" i="132"/>
  <c r="I626" i="132"/>
  <c r="I627" i="132"/>
  <c r="I628" i="132"/>
  <c r="I629" i="132"/>
  <c r="I633" i="132"/>
  <c r="I634" i="132"/>
  <c r="I635" i="132"/>
  <c r="I636" i="132"/>
  <c r="I637" i="132"/>
  <c r="I642" i="132"/>
  <c r="I666" i="132"/>
  <c r="I667" i="132"/>
  <c r="I668" i="132"/>
  <c r="I669" i="132"/>
  <c r="I670" i="132"/>
  <c r="I675" i="132"/>
  <c r="I677" i="132"/>
  <c r="I681" i="132"/>
  <c r="I689" i="132"/>
  <c r="I704" i="132"/>
  <c r="I705" i="132"/>
  <c r="I706" i="132"/>
  <c r="I711" i="132"/>
  <c r="I712" i="132"/>
  <c r="I717" i="132"/>
  <c r="I718" i="132"/>
  <c r="I719" i="132"/>
  <c r="I720" i="132"/>
  <c r="I721" i="132"/>
  <c r="I722" i="132"/>
  <c r="I723" i="132"/>
  <c r="I724" i="132"/>
  <c r="I725" i="132"/>
  <c r="I726" i="132"/>
  <c r="I727" i="132"/>
  <c r="I732" i="132"/>
  <c r="I733" i="132"/>
  <c r="I734" i="132"/>
  <c r="I735" i="132"/>
  <c r="I736" i="132"/>
  <c r="I737" i="132"/>
  <c r="I742" i="132"/>
  <c r="I747" i="132"/>
  <c r="I753" i="132"/>
  <c r="I754" i="132"/>
  <c r="I755" i="132"/>
  <c r="I756" i="132"/>
  <c r="I761" i="132"/>
  <c r="I762" i="132"/>
  <c r="I763" i="132"/>
  <c r="I764" i="132"/>
  <c r="I765" i="132"/>
  <c r="I766" i="132"/>
  <c r="I767" i="132"/>
  <c r="I768" i="132"/>
  <c r="I769" i="132"/>
  <c r="I770" i="132"/>
  <c r="I771" i="132"/>
  <c r="I772" i="132"/>
  <c r="I773" i="132"/>
  <c r="I775" i="132"/>
  <c r="I776" i="132"/>
  <c r="I777" i="132"/>
  <c r="I778" i="132"/>
  <c r="I779" i="132"/>
  <c r="I780" i="132"/>
  <c r="I781" i="132"/>
  <c r="I782" i="132"/>
  <c r="I783" i="132"/>
  <c r="I784" i="132"/>
  <c r="I785" i="132"/>
  <c r="I786" i="132"/>
  <c r="I788" i="132"/>
  <c r="I789" i="132"/>
  <c r="I790" i="132"/>
  <c r="I791" i="132"/>
  <c r="I865" i="132"/>
  <c r="G42" i="203" l="1"/>
  <c r="G35" i="203"/>
  <c r="G30" i="203"/>
  <c r="G21" i="203"/>
  <c r="G24" i="203"/>
  <c r="G38" i="203"/>
  <c r="G36" i="203"/>
  <c r="G31" i="203"/>
  <c r="G29" i="203"/>
  <c r="G22" i="203"/>
  <c r="G28" i="203"/>
  <c r="G26" i="203"/>
  <c r="G25" i="203"/>
  <c r="G23" i="203"/>
  <c r="G39" i="203"/>
  <c r="G37" i="203"/>
  <c r="G34" i="203"/>
  <c r="D42" i="210"/>
  <c r="G12" i="203"/>
  <c r="D36" i="210"/>
  <c r="G10" i="203"/>
  <c r="D33" i="210"/>
  <c r="F33" i="210" s="1"/>
  <c r="G9" i="203"/>
  <c r="B28" i="205"/>
  <c r="C20" i="203"/>
  <c r="X20" i="203"/>
  <c r="B26" i="205"/>
  <c r="C18" i="203"/>
  <c r="X18" i="203"/>
  <c r="L17" i="203"/>
  <c r="D43" i="210"/>
  <c r="G13" i="203"/>
  <c r="D37" i="210"/>
  <c r="G11" i="203"/>
  <c r="B27" i="205"/>
  <c r="C19" i="203"/>
  <c r="G41" i="203"/>
  <c r="G40" i="203"/>
  <c r="G33" i="203"/>
  <c r="G32" i="203"/>
  <c r="G27" i="203"/>
  <c r="I182" i="132"/>
  <c r="I181" i="132"/>
  <c r="I176" i="132"/>
  <c r="I175" i="132"/>
  <c r="B50" i="205" l="1"/>
  <c r="C42" i="203"/>
  <c r="X42" i="203"/>
  <c r="X35" i="203"/>
  <c r="B43" i="205"/>
  <c r="C35" i="203"/>
  <c r="B38" i="205"/>
  <c r="C30" i="203"/>
  <c r="X30" i="203"/>
  <c r="B29" i="205"/>
  <c r="X21" i="203"/>
  <c r="C21" i="203"/>
  <c r="B32" i="205"/>
  <c r="X24" i="203"/>
  <c r="C24" i="203"/>
  <c r="C26" i="210"/>
  <c r="F26" i="210" s="1"/>
  <c r="Q26" i="210" s="1"/>
  <c r="Q46" i="210" s="1"/>
  <c r="Q48" i="210" s="1"/>
  <c r="B46" i="205"/>
  <c r="C38" i="203"/>
  <c r="X38" i="203"/>
  <c r="B44" i="205"/>
  <c r="C36" i="203"/>
  <c r="X36" i="203"/>
  <c r="X31" i="203"/>
  <c r="B39" i="205"/>
  <c r="C31" i="203"/>
  <c r="B37" i="205"/>
  <c r="C29" i="203"/>
  <c r="X29" i="203"/>
  <c r="B30" i="205"/>
  <c r="X22" i="203"/>
  <c r="C22" i="203"/>
  <c r="C28" i="203"/>
  <c r="B36" i="205"/>
  <c r="X28" i="203"/>
  <c r="B34" i="205"/>
  <c r="C26" i="203"/>
  <c r="X26" i="203"/>
  <c r="B33" i="205"/>
  <c r="C25" i="203"/>
  <c r="X25" i="203"/>
  <c r="X23" i="203"/>
  <c r="B31" i="205"/>
  <c r="C23" i="203"/>
  <c r="B47" i="205"/>
  <c r="C39" i="203"/>
  <c r="X39" i="203"/>
  <c r="C37" i="203"/>
  <c r="B45" i="205"/>
  <c r="X37" i="203"/>
  <c r="C34" i="203"/>
  <c r="X34" i="203"/>
  <c r="B42" i="205"/>
  <c r="B35" i="205"/>
  <c r="C27" i="203"/>
  <c r="X27" i="203"/>
  <c r="C33" i="203"/>
  <c r="B41" i="205"/>
  <c r="X33" i="203"/>
  <c r="C41" i="203"/>
  <c r="B49" i="205"/>
  <c r="X41" i="203"/>
  <c r="B19" i="205"/>
  <c r="C11" i="203"/>
  <c r="X11" i="203"/>
  <c r="B21" i="205"/>
  <c r="C13" i="203"/>
  <c r="X13" i="203"/>
  <c r="N33" i="210"/>
  <c r="S33" i="210"/>
  <c r="B40" i="205"/>
  <c r="C32" i="203"/>
  <c r="X32" i="203"/>
  <c r="B48" i="205"/>
  <c r="C40" i="203"/>
  <c r="X40" i="203"/>
  <c r="B17" i="205"/>
  <c r="C9" i="203"/>
  <c r="X9" i="203"/>
  <c r="B18" i="205"/>
  <c r="C10" i="203"/>
  <c r="X10" i="203"/>
  <c r="B20" i="205"/>
  <c r="X12" i="203"/>
  <c r="C12" i="203"/>
  <c r="F60" i="140"/>
  <c r="F36" i="140"/>
  <c r="F160" i="140"/>
  <c r="F161" i="140"/>
  <c r="F157" i="140"/>
  <c r="F107" i="140"/>
  <c r="F83" i="140"/>
  <c r="F68" i="140"/>
  <c r="F50" i="140"/>
  <c r="F32" i="140"/>
  <c r="F12" i="140"/>
  <c r="F11" i="140"/>
  <c r="F10" i="140"/>
  <c r="F8" i="140"/>
  <c r="M26" i="210" l="1"/>
  <c r="S26" i="210"/>
  <c r="C31" i="210"/>
  <c r="F31" i="210" s="1"/>
  <c r="S31" i="210" l="1"/>
  <c r="N31" i="210"/>
  <c r="E13" i="158"/>
  <c r="F13" i="158" s="1"/>
  <c r="F26" i="158"/>
  <c r="F25" i="158"/>
  <c r="F15" i="158"/>
  <c r="I38" i="132" l="1"/>
  <c r="I35" i="132"/>
  <c r="I32" i="132"/>
  <c r="I9" i="132"/>
  <c r="F260" i="190"/>
  <c r="F257" i="190"/>
  <c r="F255" i="190"/>
  <c r="G239" i="190"/>
  <c r="G251" i="190" s="1"/>
  <c r="H251" i="190" s="1"/>
  <c r="G238" i="190"/>
  <c r="G250" i="190" s="1"/>
  <c r="H250" i="190" s="1"/>
  <c r="G237" i="190"/>
  <c r="G249" i="190" s="1"/>
  <c r="H249" i="190" s="1"/>
  <c r="G236" i="190"/>
  <c r="G248" i="190" s="1"/>
  <c r="H248" i="190" s="1"/>
  <c r="G235" i="190"/>
  <c r="G247" i="190" s="1"/>
  <c r="H247" i="190" s="1"/>
  <c r="G234" i="190"/>
  <c r="G246" i="190" s="1"/>
  <c r="H246" i="190" s="1"/>
  <c r="F227" i="190"/>
  <c r="F226" i="190"/>
  <c r="F225" i="190"/>
  <c r="F224" i="190"/>
  <c r="G220" i="190"/>
  <c r="G218" i="190"/>
  <c r="G215" i="190"/>
  <c r="G213" i="190"/>
  <c r="G212" i="190"/>
  <c r="G211" i="190"/>
  <c r="G210" i="190"/>
  <c r="G209" i="190"/>
  <c r="G208" i="190"/>
  <c r="G207" i="190"/>
  <c r="G206" i="190"/>
  <c r="G205" i="190"/>
  <c r="G194" i="190"/>
  <c r="G192" i="190"/>
  <c r="G191" i="190"/>
  <c r="G190" i="190"/>
  <c r="G189" i="190"/>
  <c r="G188" i="190"/>
  <c r="G187" i="190"/>
  <c r="G186" i="190"/>
  <c r="G185" i="190"/>
  <c r="G173" i="190"/>
  <c r="G171" i="190"/>
  <c r="G170" i="190"/>
  <c r="G169" i="190"/>
  <c r="G168" i="190"/>
  <c r="G167" i="190"/>
  <c r="G166" i="190"/>
  <c r="G165" i="190"/>
  <c r="G164" i="190"/>
  <c r="G135" i="190"/>
  <c r="G133" i="190"/>
  <c r="G132" i="190"/>
  <c r="G131" i="190"/>
  <c r="G130" i="190"/>
  <c r="G129" i="190"/>
  <c r="G128" i="190"/>
  <c r="G127" i="190"/>
  <c r="G126" i="190"/>
  <c r="G108" i="190"/>
  <c r="G107" i="190"/>
  <c r="G106" i="190"/>
  <c r="H310" i="134"/>
  <c r="I310" i="134" s="1"/>
  <c r="I311" i="134" s="1"/>
  <c r="I312" i="134" s="1"/>
  <c r="H306" i="134"/>
  <c r="I306" i="134" s="1"/>
  <c r="H305" i="134"/>
  <c r="I305" i="134" s="1"/>
  <c r="H304" i="134"/>
  <c r="I304" i="134" s="1"/>
  <c r="H303" i="134"/>
  <c r="I303" i="134" s="1"/>
  <c r="H302" i="134"/>
  <c r="I302" i="134" s="1"/>
  <c r="H301" i="134"/>
  <c r="I301" i="134" s="1"/>
  <c r="H300" i="134"/>
  <c r="I300" i="134" s="1"/>
  <c r="H299" i="134"/>
  <c r="I299" i="134" s="1"/>
  <c r="H298" i="134"/>
  <c r="I298" i="134" s="1"/>
  <c r="H297" i="134"/>
  <c r="I297" i="134" s="1"/>
  <c r="H296" i="134"/>
  <c r="I296" i="134" s="1"/>
  <c r="H283" i="134"/>
  <c r="I283" i="134" s="1"/>
  <c r="H282" i="134"/>
  <c r="I282" i="134" s="1"/>
  <c r="H281" i="134"/>
  <c r="I281" i="134" s="1"/>
  <c r="H275" i="134"/>
  <c r="I275" i="134" s="1"/>
  <c r="H274" i="134"/>
  <c r="I274" i="134" s="1"/>
  <c r="H273" i="134"/>
  <c r="I273" i="134" s="1"/>
  <c r="H262" i="134"/>
  <c r="I262" i="134" s="1"/>
  <c r="H261" i="134"/>
  <c r="I261" i="134" s="1"/>
  <c r="H250" i="134"/>
  <c r="I250" i="134" s="1"/>
  <c r="H247" i="134"/>
  <c r="I247" i="134" s="1"/>
  <c r="H241" i="134"/>
  <c r="I241" i="134" s="1"/>
  <c r="H232" i="134"/>
  <c r="I232" i="134" s="1"/>
  <c r="H228" i="134"/>
  <c r="I228" i="134" s="1"/>
  <c r="H222" i="134"/>
  <c r="I222" i="134" s="1"/>
  <c r="H221" i="134"/>
  <c r="I221" i="134" s="1"/>
  <c r="H220" i="134"/>
  <c r="I220" i="134" s="1"/>
  <c r="H210" i="134"/>
  <c r="I210" i="134" s="1"/>
  <c r="H209" i="134"/>
  <c r="I209" i="134" s="1"/>
  <c r="H197" i="134"/>
  <c r="I197" i="134" s="1"/>
  <c r="H196" i="134"/>
  <c r="I196" i="134" s="1"/>
  <c r="H185" i="134"/>
  <c r="I185" i="134" s="1"/>
  <c r="H173" i="134"/>
  <c r="I173" i="134" s="1"/>
  <c r="H164" i="134"/>
  <c r="I164" i="134" s="1"/>
  <c r="H156" i="134"/>
  <c r="I156" i="134" s="1"/>
  <c r="H155" i="134"/>
  <c r="I155" i="134" s="1"/>
  <c r="H154" i="134"/>
  <c r="I154" i="134" s="1"/>
  <c r="H153" i="134"/>
  <c r="I153" i="134" s="1"/>
  <c r="H145" i="134"/>
  <c r="I145" i="134" s="1"/>
  <c r="H126" i="134"/>
  <c r="I126" i="134" s="1"/>
  <c r="H144" i="134"/>
  <c r="I144" i="134" s="1"/>
  <c r="H137" i="134"/>
  <c r="I137" i="134" s="1"/>
  <c r="H136" i="134"/>
  <c r="I136" i="134" s="1"/>
  <c r="H135" i="134"/>
  <c r="I135" i="134" s="1"/>
  <c r="H125" i="134"/>
  <c r="I125" i="134" s="1"/>
  <c r="H115" i="134"/>
  <c r="I115" i="134" s="1"/>
  <c r="H114" i="134"/>
  <c r="I114" i="134" s="1"/>
  <c r="H113" i="134"/>
  <c r="I113" i="134" s="1"/>
  <c r="H100" i="134"/>
  <c r="I100" i="134" s="1"/>
  <c r="H99" i="134"/>
  <c r="I99" i="134" s="1"/>
  <c r="H91" i="134"/>
  <c r="I91" i="134" s="1"/>
  <c r="H87" i="134"/>
  <c r="I87" i="134" s="1"/>
  <c r="H83" i="134"/>
  <c r="I83" i="134" s="1"/>
  <c r="H76" i="134"/>
  <c r="I76" i="134" s="1"/>
  <c r="H73" i="134"/>
  <c r="H80" i="134" s="1"/>
  <c r="I80" i="134" s="1"/>
  <c r="H69" i="134"/>
  <c r="I69" i="134" s="1"/>
  <c r="H65" i="134"/>
  <c r="H79" i="134" s="1"/>
  <c r="I79" i="134" s="1"/>
  <c r="H62" i="134"/>
  <c r="I62" i="134" s="1"/>
  <c r="H51" i="134"/>
  <c r="H59" i="134" s="1"/>
  <c r="I59" i="134" s="1"/>
  <c r="H48" i="134"/>
  <c r="H55" i="134" s="1"/>
  <c r="I55" i="134" s="1"/>
  <c r="H44" i="134"/>
  <c r="I44" i="134" s="1"/>
  <c r="I45" i="134" s="1"/>
  <c r="I46" i="134" s="1"/>
  <c r="H40" i="134"/>
  <c r="H54" i="134" s="1"/>
  <c r="H58" i="134" s="1"/>
  <c r="I58" i="134" s="1"/>
  <c r="H37" i="134"/>
  <c r="I37" i="134" s="1"/>
  <c r="H29" i="134"/>
  <c r="I29" i="134" s="1"/>
  <c r="H28" i="134"/>
  <c r="I28" i="134" s="1"/>
  <c r="H27" i="134"/>
  <c r="I27" i="134" s="1"/>
  <c r="H26" i="134"/>
  <c r="I26" i="134" s="1"/>
  <c r="H13" i="134"/>
  <c r="I13" i="134" s="1"/>
  <c r="H12" i="134"/>
  <c r="I12" i="134" s="1"/>
  <c r="H11" i="134"/>
  <c r="I11" i="134" s="1"/>
  <c r="H294" i="134"/>
  <c r="I294" i="134" s="1"/>
  <c r="H287" i="134"/>
  <c r="I287" i="134" s="1"/>
  <c r="H271" i="134"/>
  <c r="I271" i="134" s="1"/>
  <c r="H245" i="134"/>
  <c r="I245" i="134" s="1"/>
  <c r="H239" i="134"/>
  <c r="I239" i="134" s="1"/>
  <c r="H218" i="134"/>
  <c r="I218" i="134" s="1"/>
  <c r="H207" i="134"/>
  <c r="I207" i="134" s="1"/>
  <c r="H194" i="134"/>
  <c r="I194" i="134" s="1"/>
  <c r="H183" i="134"/>
  <c r="I183" i="134" s="1"/>
  <c r="H171" i="134"/>
  <c r="I171" i="134" s="1"/>
  <c r="H163" i="134"/>
  <c r="I163" i="134" s="1"/>
  <c r="H151" i="134"/>
  <c r="I151" i="134" s="1"/>
  <c r="H142" i="134"/>
  <c r="I142" i="134" s="1"/>
  <c r="H133" i="134"/>
  <c r="I133" i="134" s="1"/>
  <c r="H123" i="134"/>
  <c r="I123" i="134" s="1"/>
  <c r="H111" i="134"/>
  <c r="I111" i="134" s="1"/>
  <c r="H97" i="134"/>
  <c r="I97" i="134" s="1"/>
  <c r="H24" i="134"/>
  <c r="I24" i="134" s="1"/>
  <c r="H23" i="134"/>
  <c r="I23" i="134" s="1"/>
  <c r="H259" i="134"/>
  <c r="I259" i="134" s="1"/>
  <c r="H270" i="134"/>
  <c r="I270" i="134" s="1"/>
  <c r="H293" i="134"/>
  <c r="I293" i="134" s="1"/>
  <c r="H286" i="134"/>
  <c r="I286" i="134" s="1"/>
  <c r="H252" i="134"/>
  <c r="I252" i="134" s="1"/>
  <c r="H251" i="134"/>
  <c r="I251" i="134" s="1"/>
  <c r="H233" i="134"/>
  <c r="I233" i="134" s="1"/>
  <c r="H193" i="134"/>
  <c r="I193" i="134" s="1"/>
  <c r="H182" i="134"/>
  <c r="I182" i="134" s="1"/>
  <c r="H170" i="134"/>
  <c r="I170" i="134" s="1"/>
  <c r="H162" i="134"/>
  <c r="I162" i="134" s="1"/>
  <c r="H110" i="134"/>
  <c r="I110" i="134" s="1"/>
  <c r="H96" i="134"/>
  <c r="I96" i="134" s="1"/>
  <c r="H22" i="134"/>
  <c r="I22" i="134" s="1"/>
  <c r="H285" i="134"/>
  <c r="I285" i="134" s="1"/>
  <c r="H269" i="134"/>
  <c r="I269" i="134" s="1"/>
  <c r="H258" i="134"/>
  <c r="I258" i="134" s="1"/>
  <c r="I263" i="134" s="1"/>
  <c r="H238" i="134"/>
  <c r="I238" i="134" s="1"/>
  <c r="H217" i="134"/>
  <c r="I217" i="134" s="1"/>
  <c r="H206" i="134"/>
  <c r="I206" i="134" s="1"/>
  <c r="H192" i="134"/>
  <c r="I192" i="134" s="1"/>
  <c r="I199" i="134" s="1"/>
  <c r="H181" i="134"/>
  <c r="I181" i="134" s="1"/>
  <c r="H169" i="134"/>
  <c r="I169" i="134" s="1"/>
  <c r="H161" i="134"/>
  <c r="I161" i="134" s="1"/>
  <c r="H150" i="134"/>
  <c r="I150" i="134" s="1"/>
  <c r="H141" i="134"/>
  <c r="I141" i="134" s="1"/>
  <c r="H132" i="134"/>
  <c r="I132" i="134" s="1"/>
  <c r="H122" i="134"/>
  <c r="I122" i="134" s="1"/>
  <c r="H109" i="134"/>
  <c r="I109" i="134" s="1"/>
  <c r="H95" i="134"/>
  <c r="I95" i="134" s="1"/>
  <c r="H21" i="134"/>
  <c r="I21" i="134" s="1"/>
  <c r="I253" i="134" l="1"/>
  <c r="I288" i="134"/>
  <c r="I289" i="134" s="1"/>
  <c r="I290" i="134" s="1"/>
  <c r="I276" i="134"/>
  <c r="I264" i="134"/>
  <c r="I265" i="134" s="1"/>
  <c r="I254" i="134"/>
  <c r="I255" i="134" s="1"/>
  <c r="I101" i="134"/>
  <c r="I211" i="134"/>
  <c r="I212" i="134" s="1"/>
  <c r="I213" i="134" s="1"/>
  <c r="I88" i="134"/>
  <c r="I89" i="134" s="1"/>
  <c r="I127" i="134"/>
  <c r="I128" i="134" s="1"/>
  <c r="I129" i="134" s="1"/>
  <c r="I186" i="134"/>
  <c r="I187" i="134" s="1"/>
  <c r="I188" i="134" s="1"/>
  <c r="I200" i="134"/>
  <c r="I201" i="134" s="1"/>
  <c r="I174" i="134"/>
  <c r="I116" i="134"/>
  <c r="I102" i="134"/>
  <c r="I103" i="134" s="1"/>
  <c r="I70" i="134"/>
  <c r="I71" i="134" s="1"/>
  <c r="H252" i="190"/>
  <c r="H253" i="190" s="1"/>
  <c r="K1302" i="132" s="1"/>
  <c r="M1302" i="132" s="1"/>
  <c r="I165" i="134"/>
  <c r="I166" i="134" s="1"/>
  <c r="I51" i="134"/>
  <c r="I65" i="134"/>
  <c r="I73" i="134"/>
  <c r="I40" i="134"/>
  <c r="I48" i="134"/>
  <c r="I54" i="134"/>
  <c r="E111" i="200"/>
  <c r="E110" i="200"/>
  <c r="C111" i="200"/>
  <c r="C110" i="200"/>
  <c r="H9" i="134"/>
  <c r="I9" i="134" s="1"/>
  <c r="H8" i="134"/>
  <c r="I8" i="134" s="1"/>
  <c r="H7" i="134"/>
  <c r="I7" i="134" s="1"/>
  <c r="F147" i="133"/>
  <c r="F144" i="133"/>
  <c r="F141" i="133"/>
  <c r="F138" i="133"/>
  <c r="F135" i="133"/>
  <c r="F132" i="133"/>
  <c r="F129" i="133"/>
  <c r="F126" i="133"/>
  <c r="F123" i="133"/>
  <c r="F120" i="133"/>
  <c r="I277" i="134" l="1"/>
  <c r="I278" i="134" s="1"/>
  <c r="I66" i="134"/>
  <c r="I67" i="134" s="1"/>
  <c r="I175" i="134"/>
  <c r="I176" i="134" s="1"/>
  <c r="I117" i="134"/>
  <c r="I118" i="134" s="1"/>
  <c r="I41" i="134"/>
  <c r="I42" i="134" s="1"/>
  <c r="I14" i="134"/>
  <c r="F117" i="133"/>
  <c r="F115" i="133"/>
  <c r="F113" i="133"/>
  <c r="F107" i="133"/>
  <c r="F106" i="133"/>
  <c r="F105" i="133"/>
  <c r="F104" i="133"/>
  <c r="F103" i="133"/>
  <c r="F102" i="133"/>
  <c r="F97" i="133"/>
  <c r="F93" i="133"/>
  <c r="F89" i="133"/>
  <c r="F85" i="133"/>
  <c r="F82" i="133"/>
  <c r="F79" i="133"/>
  <c r="F76" i="133"/>
  <c r="F71" i="133"/>
  <c r="F70" i="133"/>
  <c r="F66" i="133"/>
  <c r="F62" i="133"/>
  <c r="F58" i="133"/>
  <c r="F54" i="133"/>
  <c r="F49" i="133"/>
  <c r="F43" i="133"/>
  <c r="F37" i="133"/>
  <c r="F32" i="133"/>
  <c r="F27" i="133"/>
  <c r="F26" i="133"/>
  <c r="F21" i="133"/>
  <c r="F20" i="133"/>
  <c r="F19" i="133"/>
  <c r="F18" i="133"/>
  <c r="F15" i="133"/>
  <c r="F12" i="133"/>
  <c r="F7" i="133"/>
  <c r="F6" i="133"/>
  <c r="F5" i="133"/>
  <c r="F948" i="107"/>
  <c r="F939" i="107"/>
  <c r="F944" i="107" s="1"/>
  <c r="F930" i="107"/>
  <c r="F935" i="107" s="1"/>
  <c r="F927" i="107"/>
  <c r="F918" i="107"/>
  <c r="F917" i="107"/>
  <c r="F916" i="107"/>
  <c r="F915" i="107"/>
  <c r="F914" i="107"/>
  <c r="F904" i="107"/>
  <c r="F903" i="107"/>
  <c r="F901" i="107"/>
  <c r="F897" i="107"/>
  <c r="F896" i="107"/>
  <c r="F894" i="107"/>
  <c r="F882" i="107"/>
  <c r="F881" i="107"/>
  <c r="F880" i="107"/>
  <c r="F878" i="107"/>
  <c r="F867" i="107"/>
  <c r="F866" i="107"/>
  <c r="F864" i="107"/>
  <c r="F855" i="107"/>
  <c r="F854" i="107"/>
  <c r="F852" i="107"/>
  <c r="F845" i="107"/>
  <c r="F844" i="107"/>
  <c r="F830" i="107"/>
  <c r="F829" i="107"/>
  <c r="F842" i="107"/>
  <c r="F831" i="107"/>
  <c r="F827" i="107"/>
  <c r="F816" i="107"/>
  <c r="F815" i="107"/>
  <c r="F813" i="107"/>
  <c r="F803" i="107"/>
  <c r="F802" i="107"/>
  <c r="F801" i="107"/>
  <c r="F789" i="107"/>
  <c r="F788" i="107"/>
  <c r="F775" i="107"/>
  <c r="F774" i="107"/>
  <c r="F772" i="107"/>
  <c r="F768" i="107"/>
  <c r="F757" i="107"/>
  <c r="F756" i="107"/>
  <c r="F755" i="107"/>
  <c r="F752" i="107"/>
  <c r="F749" i="107"/>
  <c r="F730" i="107"/>
  <c r="F738" i="107"/>
  <c r="F737" i="107"/>
  <c r="F736" i="107"/>
  <c r="F734" i="107"/>
  <c r="F718" i="107"/>
  <c r="F717" i="107"/>
  <c r="F716" i="107"/>
  <c r="F709" i="107"/>
  <c r="F699" i="107"/>
  <c r="F698" i="107"/>
  <c r="F697" i="107"/>
  <c r="F695" i="107"/>
  <c r="F691" i="107"/>
  <c r="F681" i="107"/>
  <c r="F680" i="107"/>
  <c r="F679" i="107"/>
  <c r="F673" i="107"/>
  <c r="F668" i="107"/>
  <c r="F654" i="107"/>
  <c r="F658" i="107"/>
  <c r="F657" i="107"/>
  <c r="F656" i="107"/>
  <c r="F638" i="107"/>
  <c r="F637" i="107"/>
  <c r="F636" i="107"/>
  <c r="F616" i="107"/>
  <c r="F600" i="107"/>
  <c r="F620" i="107"/>
  <c r="F619" i="107"/>
  <c r="F618" i="107"/>
  <c r="F604" i="107"/>
  <c r="F603" i="107"/>
  <c r="F602" i="107"/>
  <c r="F591" i="107"/>
  <c r="E591" i="107"/>
  <c r="E590" i="107"/>
  <c r="F590" i="107" s="1"/>
  <c r="F586" i="107"/>
  <c r="F584" i="107"/>
  <c r="F583" i="107"/>
  <c r="F578" i="107"/>
  <c r="G570" i="107"/>
  <c r="F570" i="107"/>
  <c r="E570" i="107"/>
  <c r="E569" i="107"/>
  <c r="F569" i="107" s="1"/>
  <c r="F565" i="107"/>
  <c r="F564" i="107"/>
  <c r="F563" i="107"/>
  <c r="G549" i="107"/>
  <c r="F549" i="107"/>
  <c r="E549" i="107"/>
  <c r="E548" i="107"/>
  <c r="F548" i="107" s="1"/>
  <c r="F544" i="107"/>
  <c r="F543" i="107"/>
  <c r="F542" i="107"/>
  <c r="G529" i="107"/>
  <c r="F529" i="107"/>
  <c r="E529" i="107"/>
  <c r="E528" i="107"/>
  <c r="F528" i="107" s="1"/>
  <c r="F524" i="107"/>
  <c r="F523" i="107"/>
  <c r="F522" i="107"/>
  <c r="F507" i="107"/>
  <c r="F506" i="107"/>
  <c r="F505" i="107"/>
  <c r="E511" i="107"/>
  <c r="F511" i="107" s="1"/>
  <c r="G512" i="107"/>
  <c r="F512" i="107"/>
  <c r="E512" i="107"/>
  <c r="G495" i="107"/>
  <c r="F495" i="107"/>
  <c r="E495" i="107"/>
  <c r="E494" i="107"/>
  <c r="F494" i="107" s="1"/>
  <c r="F490" i="107"/>
  <c r="F489" i="107"/>
  <c r="F488" i="107"/>
  <c r="G478" i="107"/>
  <c r="F478" i="107"/>
  <c r="E478" i="107"/>
  <c r="E477" i="107"/>
  <c r="F473" i="107"/>
  <c r="F472" i="107"/>
  <c r="F471" i="107"/>
  <c r="G463" i="107"/>
  <c r="F463" i="107"/>
  <c r="E463" i="107"/>
  <c r="E462" i="107"/>
  <c r="F458" i="107"/>
  <c r="F457" i="107"/>
  <c r="F456" i="107"/>
  <c r="F455" i="107"/>
  <c r="F452" i="107"/>
  <c r="G445" i="107"/>
  <c r="F445" i="107"/>
  <c r="E445" i="107"/>
  <c r="E444" i="107"/>
  <c r="I15" i="134" l="1"/>
  <c r="I16" i="134" s="1"/>
  <c r="G569" i="107"/>
  <c r="G548" i="107"/>
  <c r="G528" i="107"/>
  <c r="G511" i="107"/>
  <c r="G494" i="107"/>
  <c r="F440" i="107" l="1"/>
  <c r="F439" i="107"/>
  <c r="F438" i="107"/>
  <c r="G427" i="107"/>
  <c r="F427" i="107"/>
  <c r="E427" i="107"/>
  <c r="E426" i="107"/>
  <c r="F426" i="107" s="1"/>
  <c r="G426" i="107" s="1"/>
  <c r="F422" i="107"/>
  <c r="F421" i="107"/>
  <c r="F420" i="107"/>
  <c r="G410" i="107"/>
  <c r="F410" i="107"/>
  <c r="E410" i="107"/>
  <c r="E409" i="107"/>
  <c r="F409" i="107" s="1"/>
  <c r="G409" i="107" s="1"/>
  <c r="F404" i="107"/>
  <c r="F405" i="107"/>
  <c r="F403" i="107"/>
  <c r="F392" i="107"/>
  <c r="F391" i="107"/>
  <c r="F380" i="107"/>
  <c r="F379" i="107"/>
  <c r="F378" i="107"/>
  <c r="F365" i="107"/>
  <c r="F364" i="107"/>
  <c r="F363" i="107"/>
  <c r="F355" i="107"/>
  <c r="F354" i="107"/>
  <c r="F353" i="107"/>
  <c r="F346" i="107"/>
  <c r="F345" i="107"/>
  <c r="F330" i="107"/>
  <c r="F329" i="107"/>
  <c r="F321" i="107"/>
  <c r="F320" i="107"/>
  <c r="F319" i="107"/>
  <c r="F318" i="107"/>
  <c r="F316" i="107"/>
  <c r="F315" i="107"/>
  <c r="F304" i="107"/>
  <c r="F303" i="107"/>
  <c r="F301" i="107"/>
  <c r="E292" i="107"/>
  <c r="E291" i="107"/>
  <c r="F287" i="107"/>
  <c r="F286" i="107"/>
  <c r="F285" i="107"/>
  <c r="F283" i="107"/>
  <c r="F282" i="107"/>
  <c r="F257" i="107"/>
  <c r="F256" i="107"/>
  <c r="F254" i="107"/>
  <c r="F253" i="107"/>
  <c r="F252" i="107"/>
  <c r="G241" i="107"/>
  <c r="F241" i="107"/>
  <c r="E241" i="107"/>
  <c r="E240" i="107"/>
  <c r="F240" i="107" s="1"/>
  <c r="G240" i="107" s="1"/>
  <c r="G232" i="107"/>
  <c r="F232" i="107"/>
  <c r="E232" i="107"/>
  <c r="E231" i="107"/>
  <c r="F231" i="107" s="1"/>
  <c r="G231" i="107" s="1"/>
  <c r="G224" i="107"/>
  <c r="F224" i="107"/>
  <c r="E224" i="107"/>
  <c r="E223" i="107"/>
  <c r="G216" i="107"/>
  <c r="F216" i="107"/>
  <c r="E216" i="107"/>
  <c r="E215" i="107"/>
  <c r="G208" i="107"/>
  <c r="F208" i="107"/>
  <c r="E208" i="107"/>
  <c r="E207" i="107"/>
  <c r="G200" i="107"/>
  <c r="F200" i="107"/>
  <c r="E200" i="107"/>
  <c r="E199" i="107"/>
  <c r="G192" i="107"/>
  <c r="F192" i="107"/>
  <c r="E192" i="107"/>
  <c r="E191" i="107"/>
  <c r="F187" i="107"/>
  <c r="F186" i="107"/>
  <c r="F185" i="107"/>
  <c r="F183" i="107"/>
  <c r="F182" i="107"/>
  <c r="F181" i="107"/>
  <c r="G170" i="107"/>
  <c r="F170" i="107"/>
  <c r="E170" i="107"/>
  <c r="E169" i="107"/>
  <c r="G163" i="107"/>
  <c r="F163" i="107"/>
  <c r="E163" i="107"/>
  <c r="E162" i="107" l="1"/>
  <c r="F158" i="107"/>
  <c r="F157" i="107"/>
  <c r="F156" i="107"/>
  <c r="F154" i="107"/>
  <c r="F153" i="107"/>
  <c r="F152" i="107"/>
  <c r="F141" i="107"/>
  <c r="G141" i="107" s="1"/>
  <c r="F140" i="107"/>
  <c r="G140" i="107" s="1"/>
  <c r="F134" i="107"/>
  <c r="F133" i="107"/>
  <c r="G133" i="107" s="1"/>
  <c r="F127" i="107"/>
  <c r="G127" i="107" s="1"/>
  <c r="F126" i="107"/>
  <c r="G126" i="107" s="1"/>
  <c r="G134" i="107"/>
  <c r="F122" i="107"/>
  <c r="F121" i="107"/>
  <c r="F120" i="107"/>
  <c r="F118" i="107"/>
  <c r="F117" i="107"/>
  <c r="F116" i="107"/>
  <c r="F107" i="107"/>
  <c r="F106" i="107"/>
  <c r="F104" i="107"/>
  <c r="F102" i="107"/>
  <c r="F93" i="107"/>
  <c r="F92" i="107"/>
  <c r="F90" i="107"/>
  <c r="F88" i="107"/>
  <c r="F78" i="107"/>
  <c r="F77" i="107"/>
  <c r="F73" i="107"/>
  <c r="F70" i="107"/>
  <c r="F60" i="107"/>
  <c r="F52" i="107"/>
  <c r="G40" i="107"/>
  <c r="F29" i="107"/>
  <c r="F24" i="107"/>
  <c r="F19" i="107"/>
  <c r="F14" i="107"/>
  <c r="F9" i="107"/>
  <c r="K16" i="158"/>
  <c r="J16" i="158"/>
  <c r="G26" i="158"/>
  <c r="G25" i="158"/>
  <c r="G24" i="158"/>
  <c r="G23" i="158"/>
  <c r="G22" i="158"/>
  <c r="G21" i="158"/>
  <c r="G20" i="158"/>
  <c r="G19" i="158"/>
  <c r="G18" i="158"/>
  <c r="G17" i="158"/>
  <c r="G16" i="158"/>
  <c r="G12" i="158"/>
  <c r="G11" i="158"/>
  <c r="G9" i="158"/>
  <c r="L10" i="158" l="1"/>
  <c r="F300" i="107" s="1"/>
  <c r="F35" i="140"/>
  <c r="F199" i="140"/>
  <c r="F198" i="140"/>
  <c r="F197" i="140"/>
  <c r="F196" i="140"/>
  <c r="F195" i="140"/>
  <c r="F194" i="140"/>
  <c r="F193" i="140"/>
  <c r="F192" i="140"/>
  <c r="F191" i="140"/>
  <c r="F190" i="140"/>
  <c r="F187" i="140"/>
  <c r="F186" i="140"/>
  <c r="F185" i="140"/>
  <c r="F184" i="140"/>
  <c r="F183" i="140"/>
  <c r="F178" i="140"/>
  <c r="F177" i="140"/>
  <c r="F176" i="140"/>
  <c r="F175" i="140"/>
  <c r="F174" i="140"/>
  <c r="F173" i="140"/>
  <c r="F172" i="140"/>
  <c r="F171" i="140"/>
  <c r="F170" i="140"/>
  <c r="F168" i="140"/>
  <c r="F167" i="140"/>
  <c r="F166" i="140"/>
  <c r="F165" i="140"/>
  <c r="G168" i="140"/>
  <c r="X168" i="140" s="1"/>
  <c r="I168" i="140"/>
  <c r="N168" i="140" s="1"/>
  <c r="F244" i="140"/>
  <c r="F243" i="140"/>
  <c r="F242" i="140"/>
  <c r="F241" i="140"/>
  <c r="F239" i="140"/>
  <c r="F238" i="140"/>
  <c r="F237" i="140"/>
  <c r="F234" i="140"/>
  <c r="F233" i="140"/>
  <c r="F231" i="140"/>
  <c r="F230" i="140"/>
  <c r="F229" i="140"/>
  <c r="F227" i="140"/>
  <c r="F223" i="140"/>
  <c r="F216" i="140"/>
  <c r="F215" i="140"/>
  <c r="F214" i="140"/>
  <c r="F213" i="140"/>
  <c r="F212" i="140"/>
  <c r="F211" i="140"/>
  <c r="F203" i="140"/>
  <c r="F202" i="140"/>
  <c r="F201" i="140"/>
  <c r="I213" i="140"/>
  <c r="N213" i="140" s="1"/>
  <c r="G213" i="140"/>
  <c r="F84" i="140"/>
  <c r="F105" i="140"/>
  <c r="F104" i="140"/>
  <c r="F101" i="140"/>
  <c r="F94" i="140"/>
  <c r="F93" i="140"/>
  <c r="F91" i="140"/>
  <c r="F90" i="140"/>
  <c r="F87" i="140"/>
  <c r="F82" i="140"/>
  <c r="F80" i="140"/>
  <c r="F79" i="140"/>
  <c r="F78" i="140"/>
  <c r="F75" i="140"/>
  <c r="F73" i="140"/>
  <c r="F72" i="140"/>
  <c r="F71" i="140"/>
  <c r="F152" i="140"/>
  <c r="F151" i="140"/>
  <c r="F150" i="140"/>
  <c r="F61" i="140"/>
  <c r="F153" i="140"/>
  <c r="F149" i="140"/>
  <c r="F145" i="140"/>
  <c r="F69" i="140"/>
  <c r="F63" i="140"/>
  <c r="F62" i="140"/>
  <c r="F59" i="140"/>
  <c r="F58" i="140"/>
  <c r="F55" i="140"/>
  <c r="F45" i="140"/>
  <c r="F44" i="140"/>
  <c r="F43" i="140"/>
  <c r="F42" i="140"/>
  <c r="F39" i="140"/>
  <c r="F33" i="140"/>
  <c r="F28" i="140"/>
  <c r="F27" i="140"/>
  <c r="F22" i="140"/>
  <c r="F21" i="140"/>
  <c r="F20" i="140"/>
  <c r="F19" i="140"/>
  <c r="F18" i="140"/>
  <c r="F17" i="140"/>
  <c r="F16" i="140"/>
  <c r="F15" i="140"/>
  <c r="F14" i="140"/>
  <c r="F9" i="140"/>
  <c r="K239" i="140" l="1"/>
  <c r="L239" i="140"/>
  <c r="K242" i="140"/>
  <c r="L242" i="140"/>
  <c r="L244" i="140"/>
  <c r="K244" i="140"/>
  <c r="L238" i="140"/>
  <c r="K238" i="140"/>
  <c r="K243" i="140"/>
  <c r="L243" i="140"/>
  <c r="L183" i="140"/>
  <c r="K183" i="140"/>
  <c r="L185" i="140"/>
  <c r="K185" i="140"/>
  <c r="K199" i="140"/>
  <c r="L199" i="140"/>
  <c r="L186" i="140"/>
  <c r="K186" i="140"/>
  <c r="K177" i="140"/>
  <c r="L177" i="140"/>
  <c r="L152" i="140"/>
  <c r="K152" i="140"/>
  <c r="L69" i="140"/>
  <c r="K69" i="140"/>
  <c r="L55" i="140"/>
  <c r="K55" i="140"/>
  <c r="L63" i="140"/>
  <c r="K63" i="140"/>
  <c r="J168" i="140"/>
  <c r="J213" i="140"/>
  <c r="X213" i="140"/>
  <c r="K213" i="140" l="1"/>
  <c r="L213" i="140"/>
  <c r="L168" i="140"/>
  <c r="K168" i="140"/>
  <c r="U168" i="140"/>
  <c r="U213" i="140"/>
  <c r="E997" i="107"/>
  <c r="E996" i="107"/>
  <c r="E995" i="107"/>
  <c r="I453" i="132" l="1"/>
  <c r="I449" i="132"/>
  <c r="I441" i="132"/>
  <c r="C37" i="210"/>
  <c r="F37" i="210" s="1"/>
  <c r="C36" i="210"/>
  <c r="F36" i="210" s="1"/>
  <c r="I99" i="132"/>
  <c r="I98" i="132"/>
  <c r="I97" i="132"/>
  <c r="M37" i="210" l="1"/>
  <c r="S37" i="210"/>
  <c r="M36" i="210"/>
  <c r="S36" i="210"/>
  <c r="I10" i="132"/>
  <c r="I11" i="132" l="1"/>
  <c r="G147" i="140"/>
  <c r="G146" i="140"/>
  <c r="G167" i="140"/>
  <c r="F173" i="190"/>
  <c r="H173" i="190" s="1"/>
  <c r="H171" i="190"/>
  <c r="H170" i="190"/>
  <c r="H169" i="190"/>
  <c r="H168" i="190"/>
  <c r="H167" i="190"/>
  <c r="H166" i="190"/>
  <c r="H162" i="190"/>
  <c r="H163" i="190" s="1"/>
  <c r="F165" i="190" s="1"/>
  <c r="H165" i="190" s="1"/>
  <c r="H160" i="190"/>
  <c r="H159" i="190"/>
  <c r="F135" i="190"/>
  <c r="H135" i="190" s="1"/>
  <c r="H133" i="190"/>
  <c r="H132" i="190"/>
  <c r="H131" i="190"/>
  <c r="H130" i="190"/>
  <c r="H129" i="190"/>
  <c r="H128" i="190"/>
  <c r="H124" i="190"/>
  <c r="H125" i="190" s="1"/>
  <c r="F127" i="190" s="1"/>
  <c r="H127" i="190" s="1"/>
  <c r="H122" i="190"/>
  <c r="H121" i="190"/>
  <c r="H123" i="190" l="1"/>
  <c r="F126" i="190" s="1"/>
  <c r="H126" i="190" s="1"/>
  <c r="H136" i="190" s="1"/>
  <c r="X167" i="140"/>
  <c r="H161" i="190"/>
  <c r="F164" i="190" s="1"/>
  <c r="H164" i="190" s="1"/>
  <c r="H174" i="190" s="1"/>
  <c r="H175" i="190" s="1"/>
  <c r="H176" i="190" s="1"/>
  <c r="K1283" i="132" l="1"/>
  <c r="M1283" i="132" s="1"/>
  <c r="K1275" i="132"/>
  <c r="M1275" i="132" s="1"/>
  <c r="I146" i="140" l="1"/>
  <c r="N146" i="140" s="1"/>
  <c r="I147" i="140"/>
  <c r="N147" i="140" s="1"/>
  <c r="G232" i="140"/>
  <c r="X232" i="140" s="1"/>
  <c r="J146" i="140" l="1"/>
  <c r="J147" i="140"/>
  <c r="K1582" i="132"/>
  <c r="M1582" i="132" l="1"/>
  <c r="I42" i="203"/>
  <c r="K146" i="140"/>
  <c r="L146" i="140"/>
  <c r="K147" i="140"/>
  <c r="L147" i="140"/>
  <c r="I232" i="140"/>
  <c r="N232" i="140" s="1"/>
  <c r="T10" i="109"/>
  <c r="F50" i="205" l="1"/>
  <c r="H50" i="205" s="1"/>
  <c r="E42" i="203"/>
  <c r="J42" i="203"/>
  <c r="J232" i="140"/>
  <c r="U42" i="203" l="1"/>
  <c r="L232" i="140"/>
  <c r="K232" i="140"/>
  <c r="F42" i="203"/>
  <c r="K42" i="203" s="1"/>
  <c r="N42" i="203"/>
  <c r="U232" i="140"/>
  <c r="G123" i="133"/>
  <c r="G124" i="133" s="1"/>
  <c r="K1443" i="132" s="1"/>
  <c r="M1443" i="132" s="1"/>
  <c r="L42" i="203" l="1"/>
  <c r="E24" i="158" l="1"/>
  <c r="F24" i="158" s="1"/>
  <c r="I146" i="132" l="1"/>
  <c r="I145" i="132"/>
  <c r="G209" i="140"/>
  <c r="I190" i="132"/>
  <c r="I189" i="132"/>
  <c r="I188" i="132"/>
  <c r="I187" i="132"/>
  <c r="I115" i="132"/>
  <c r="I114" i="132"/>
  <c r="G172" i="140"/>
  <c r="G171" i="140"/>
  <c r="G169" i="140"/>
  <c r="G166" i="140"/>
  <c r="G165" i="140"/>
  <c r="J158" i="140"/>
  <c r="G142" i="140"/>
  <c r="G141" i="140"/>
  <c r="G140" i="140"/>
  <c r="G139" i="140"/>
  <c r="G138" i="140"/>
  <c r="G137" i="140"/>
  <c r="G136" i="140"/>
  <c r="G135" i="140"/>
  <c r="G134" i="140"/>
  <c r="G133" i="140"/>
  <c r="G132" i="140"/>
  <c r="G131" i="140"/>
  <c r="G130" i="140"/>
  <c r="G129" i="140"/>
  <c r="G128" i="140"/>
  <c r="G126" i="140"/>
  <c r="G125" i="140"/>
  <c r="G123" i="140"/>
  <c r="G121" i="140"/>
  <c r="G119" i="140"/>
  <c r="G118" i="140"/>
  <c r="G117" i="140"/>
  <c r="G116" i="140"/>
  <c r="G115" i="140"/>
  <c r="G114" i="140"/>
  <c r="G113" i="140"/>
  <c r="G112" i="140"/>
  <c r="G105" i="140"/>
  <c r="G104" i="140"/>
  <c r="G103" i="140"/>
  <c r="G102" i="140"/>
  <c r="G101" i="140"/>
  <c r="G98" i="140"/>
  <c r="G97" i="140"/>
  <c r="G96" i="140"/>
  <c r="G95" i="140"/>
  <c r="G92" i="140"/>
  <c r="G91" i="140"/>
  <c r="G89" i="140"/>
  <c r="G88" i="140"/>
  <c r="G86" i="140"/>
  <c r="G85" i="140"/>
  <c r="G82" i="140"/>
  <c r="G81" i="140"/>
  <c r="X81" i="140" s="1"/>
  <c r="G80" i="140"/>
  <c r="G77" i="140"/>
  <c r="X77" i="140" s="1"/>
  <c r="G76" i="140"/>
  <c r="G74" i="140"/>
  <c r="U245" i="140"/>
  <c r="X245" i="140"/>
  <c r="G143" i="140"/>
  <c r="K158" i="140" l="1"/>
  <c r="L158" i="140"/>
  <c r="I60" i="134"/>
  <c r="K1500" i="132" s="1"/>
  <c r="M1500" i="132" s="1"/>
  <c r="X209" i="140"/>
  <c r="G145" i="140"/>
  <c r="X114" i="140"/>
  <c r="X118" i="140"/>
  <c r="X126" i="140"/>
  <c r="X132" i="140"/>
  <c r="X134" i="140"/>
  <c r="X137" i="140"/>
  <c r="X112" i="140"/>
  <c r="X116" i="140"/>
  <c r="X128" i="140"/>
  <c r="X131" i="140"/>
  <c r="X133" i="140"/>
  <c r="X135" i="140"/>
  <c r="X142" i="140"/>
  <c r="X113" i="140"/>
  <c r="X115" i="140"/>
  <c r="X117" i="140"/>
  <c r="X119" i="140"/>
  <c r="X121" i="140"/>
  <c r="X125" i="140"/>
  <c r="X129" i="140"/>
  <c r="X130" i="140"/>
  <c r="X136" i="140"/>
  <c r="X139" i="140"/>
  <c r="X140" i="140"/>
  <c r="X141" i="140"/>
  <c r="X143" i="140"/>
  <c r="X92" i="140"/>
  <c r="I209" i="140" l="1"/>
  <c r="N209" i="140" s="1"/>
  <c r="J209" i="140" l="1"/>
  <c r="K209" i="140" l="1"/>
  <c r="L209" i="140"/>
  <c r="U209" i="140"/>
  <c r="E44" i="109"/>
  <c r="E43" i="109"/>
  <c r="E42" i="109"/>
  <c r="E41" i="109"/>
  <c r="E40" i="109"/>
  <c r="E39" i="109"/>
  <c r="E38" i="109"/>
  <c r="E37" i="109"/>
  <c r="E36" i="109"/>
  <c r="E35" i="109"/>
  <c r="E34" i="109"/>
  <c r="E32" i="109"/>
  <c r="E31" i="109"/>
  <c r="E28" i="109"/>
  <c r="E25" i="109"/>
  <c r="E23" i="109"/>
  <c r="E22" i="109"/>
  <c r="E21" i="109"/>
  <c r="E20" i="109"/>
  <c r="E19" i="109"/>
  <c r="E18" i="109"/>
  <c r="E17" i="109"/>
  <c r="E15" i="109"/>
  <c r="D44" i="109"/>
  <c r="D41" i="109"/>
  <c r="D40" i="109"/>
  <c r="D39" i="109"/>
  <c r="D38" i="109"/>
  <c r="D35" i="109"/>
  <c r="D34" i="109"/>
  <c r="D32" i="109"/>
  <c r="D31" i="109"/>
  <c r="D29" i="109"/>
  <c r="D28" i="109"/>
  <c r="D26" i="109"/>
  <c r="D23" i="109"/>
  <c r="D22" i="109"/>
  <c r="D19" i="109"/>
  <c r="D18" i="109"/>
  <c r="D17" i="109"/>
  <c r="E30" i="109"/>
  <c r="D36" i="109"/>
  <c r="D30" i="109"/>
  <c r="D20" i="109"/>
  <c r="G100" i="140" l="1"/>
  <c r="D43" i="109"/>
  <c r="G99" i="140"/>
  <c r="D42" i="109"/>
  <c r="G94" i="140"/>
  <c r="D37" i="109"/>
  <c r="G93" i="140"/>
  <c r="G120" i="140"/>
  <c r="X120" i="140" s="1"/>
  <c r="E26" i="109"/>
  <c r="G109" i="140"/>
  <c r="X109" i="140" s="1"/>
  <c r="E12" i="109"/>
  <c r="G124" i="140"/>
  <c r="X124" i="140" s="1"/>
  <c r="G90" i="140"/>
  <c r="D33" i="109"/>
  <c r="G87" i="140"/>
  <c r="G111" i="140"/>
  <c r="X111" i="140" s="1"/>
  <c r="E16" i="109"/>
  <c r="G122" i="140"/>
  <c r="X122" i="140" s="1"/>
  <c r="E27" i="109"/>
  <c r="G78" i="140"/>
  <c r="G84" i="140"/>
  <c r="D27" i="109"/>
  <c r="G75" i="140"/>
  <c r="G107" i="140"/>
  <c r="G71" i="140" l="1"/>
  <c r="D12" i="109"/>
  <c r="G72" i="140"/>
  <c r="D14" i="109"/>
  <c r="G110" i="140"/>
  <c r="X110" i="140" s="1"/>
  <c r="E14" i="109"/>
  <c r="E33" i="109"/>
  <c r="G127" i="140"/>
  <c r="X127" i="140" s="1"/>
  <c r="G79" i="140"/>
  <c r="D21" i="109"/>
  <c r="D25" i="109"/>
  <c r="G83" i="140"/>
  <c r="D15" i="109"/>
  <c r="D16" i="109"/>
  <c r="G73" i="140"/>
  <c r="G154" i="140"/>
  <c r="G266" i="190"/>
  <c r="G265" i="190"/>
  <c r="G264" i="190"/>
  <c r="F215" i="190"/>
  <c r="H215" i="190" s="1"/>
  <c r="H213" i="190"/>
  <c r="H212" i="190"/>
  <c r="H211" i="190"/>
  <c r="H210" i="190"/>
  <c r="H209" i="190"/>
  <c r="H208" i="190"/>
  <c r="H203" i="190"/>
  <c r="H202" i="190"/>
  <c r="H192" i="190"/>
  <c r="H191" i="190"/>
  <c r="H190" i="190"/>
  <c r="H189" i="190"/>
  <c r="H188" i="190"/>
  <c r="H187" i="190"/>
  <c r="H183" i="190"/>
  <c r="H184" i="190" s="1"/>
  <c r="F186" i="190" s="1"/>
  <c r="H186" i="190" s="1"/>
  <c r="H181" i="190"/>
  <c r="H180" i="190"/>
  <c r="F116" i="190"/>
  <c r="H116" i="190" s="1"/>
  <c r="H104" i="190"/>
  <c r="H103" i="190"/>
  <c r="H8" i="190"/>
  <c r="H7" i="190"/>
  <c r="D266" i="190"/>
  <c r="D265" i="190"/>
  <c r="D264" i="190"/>
  <c r="H260" i="190"/>
  <c r="H261" i="190" s="1"/>
  <c r="M1306" i="132" s="1"/>
  <c r="H257" i="190"/>
  <c r="H258" i="190" s="1"/>
  <c r="H259" i="190" s="1"/>
  <c r="H255" i="190"/>
  <c r="H256" i="190" s="1"/>
  <c r="H239" i="190"/>
  <c r="H238" i="190"/>
  <c r="H237" i="190"/>
  <c r="H236" i="190"/>
  <c r="H235" i="190"/>
  <c r="F234" i="190"/>
  <c r="H234" i="190" s="1"/>
  <c r="H227" i="190"/>
  <c r="H226" i="190"/>
  <c r="H225" i="190"/>
  <c r="H224" i="190"/>
  <c r="L222" i="190"/>
  <c r="H220" i="190"/>
  <c r="H218" i="190"/>
  <c r="L216" i="190"/>
  <c r="F206" i="190"/>
  <c r="F207" i="190" s="1"/>
  <c r="H207" i="190" s="1"/>
  <c r="H194" i="190"/>
  <c r="H114" i="190"/>
  <c r="H113" i="190"/>
  <c r="H112" i="190"/>
  <c r="H111" i="190"/>
  <c r="H110" i="190"/>
  <c r="H109" i="190"/>
  <c r="F108" i="190"/>
  <c r="H108" i="190" s="1"/>
  <c r="F107" i="190"/>
  <c r="H107" i="190" s="1"/>
  <c r="F3" i="190"/>
  <c r="A2" i="190"/>
  <c r="H228" i="190" l="1"/>
  <c r="H229" i="190" s="1"/>
  <c r="H240" i="190"/>
  <c r="H241" i="190" s="1"/>
  <c r="K1315" i="132"/>
  <c r="I154" i="140" s="1"/>
  <c r="N154" i="140" s="1"/>
  <c r="K1319" i="132"/>
  <c r="M1319" i="132" s="1"/>
  <c r="K1311" i="132"/>
  <c r="M1311" i="132" s="1"/>
  <c r="G65" i="140"/>
  <c r="H9" i="190"/>
  <c r="F10" i="190" s="1"/>
  <c r="H10" i="190" s="1"/>
  <c r="H105" i="190"/>
  <c r="F106" i="190" s="1"/>
  <c r="H106" i="190" s="1"/>
  <c r="H117" i="190" s="1"/>
  <c r="H204" i="190"/>
  <c r="F205" i="190" s="1"/>
  <c r="H205" i="190" s="1"/>
  <c r="H182" i="190"/>
  <c r="F185" i="190" s="1"/>
  <c r="H185" i="190" s="1"/>
  <c r="H195" i="190" s="1"/>
  <c r="H206" i="190"/>
  <c r="H196" i="190" l="1"/>
  <c r="H197" i="190" s="1"/>
  <c r="K1286" i="132" s="1"/>
  <c r="M1286" i="132" s="1"/>
  <c r="H15" i="190"/>
  <c r="I153" i="140"/>
  <c r="N153" i="140" s="1"/>
  <c r="I155" i="140"/>
  <c r="N155" i="140" s="1"/>
  <c r="K1328" i="132"/>
  <c r="M1328" i="132" s="1"/>
  <c r="M1315" i="132"/>
  <c r="I19" i="203"/>
  <c r="K1298" i="132"/>
  <c r="I151" i="140" s="1"/>
  <c r="N151" i="140" s="1"/>
  <c r="K1270" i="132"/>
  <c r="M1270" i="132" s="1"/>
  <c r="J154" i="140"/>
  <c r="H216" i="190"/>
  <c r="K1238" i="132" l="1"/>
  <c r="M1238" i="132" s="1"/>
  <c r="I149" i="140"/>
  <c r="N149" i="140" s="1"/>
  <c r="I157" i="140"/>
  <c r="N157" i="140" s="1"/>
  <c r="I148" i="140"/>
  <c r="N148" i="140" s="1"/>
  <c r="K1292" i="132"/>
  <c r="M1292" i="132" s="1"/>
  <c r="L154" i="140"/>
  <c r="K154" i="140"/>
  <c r="M1298" i="132"/>
  <c r="I18" i="203"/>
  <c r="F27" i="205"/>
  <c r="H27" i="205" s="1"/>
  <c r="J19" i="203"/>
  <c r="E19" i="203"/>
  <c r="G882" i="107"/>
  <c r="G881" i="107"/>
  <c r="G880" i="107"/>
  <c r="G878" i="107"/>
  <c r="G867" i="107"/>
  <c r="G866" i="107"/>
  <c r="G864" i="107"/>
  <c r="G855" i="107"/>
  <c r="G854" i="107"/>
  <c r="G852" i="107"/>
  <c r="G845" i="107"/>
  <c r="G844" i="107"/>
  <c r="G842" i="107"/>
  <c r="I145" i="140" l="1"/>
  <c r="N145" i="140" s="1"/>
  <c r="I150" i="140"/>
  <c r="N150" i="140" s="1"/>
  <c r="F856" i="107"/>
  <c r="G856" i="107" s="1"/>
  <c r="G857" i="107" s="1"/>
  <c r="G858" i="107" s="1"/>
  <c r="F876" i="107" s="1"/>
  <c r="G876" i="107" s="1"/>
  <c r="G883" i="107" s="1"/>
  <c r="G885" i="107" s="1"/>
  <c r="F846" i="107"/>
  <c r="G846" i="107" s="1"/>
  <c r="G847" i="107" s="1"/>
  <c r="G848" i="107" s="1"/>
  <c r="F861" i="107" s="1"/>
  <c r="G861" i="107" s="1"/>
  <c r="G868" i="107" s="1"/>
  <c r="G870" i="107" s="1"/>
  <c r="G872" i="107" s="1"/>
  <c r="N19" i="203"/>
  <c r="F19" i="203"/>
  <c r="L19" i="203" s="1"/>
  <c r="F26" i="205"/>
  <c r="H26" i="205" s="1"/>
  <c r="E18" i="203"/>
  <c r="J18" i="203"/>
  <c r="G871" i="107"/>
  <c r="G886" i="107"/>
  <c r="F886" i="107"/>
  <c r="F871" i="107"/>
  <c r="G887" i="107" l="1"/>
  <c r="G888" i="107" s="1"/>
  <c r="G889" i="107" s="1"/>
  <c r="G873" i="107"/>
  <c r="G874" i="107" s="1"/>
  <c r="K19" i="203"/>
  <c r="N18" i="203"/>
  <c r="F18" i="203"/>
  <c r="K18" i="203" s="1"/>
  <c r="U18" i="203"/>
  <c r="F870" i="107"/>
  <c r="F872" i="107" s="1"/>
  <c r="E870" i="107"/>
  <c r="E872" i="107" s="1"/>
  <c r="F885" i="107"/>
  <c r="F887" i="107" s="1"/>
  <c r="E885" i="107"/>
  <c r="E887" i="107" s="1"/>
  <c r="F888" i="107" l="1"/>
  <c r="F889" i="107" s="1"/>
  <c r="K854" i="132" s="1"/>
  <c r="I105" i="140" s="1"/>
  <c r="N105" i="140" s="1"/>
  <c r="E888" i="107"/>
  <c r="E889" i="107" s="1"/>
  <c r="K428" i="132" s="1"/>
  <c r="M428" i="132" s="1"/>
  <c r="F873" i="107"/>
  <c r="F874" i="107" s="1"/>
  <c r="K846" i="132" s="1"/>
  <c r="I104" i="140" s="1"/>
  <c r="N104" i="140" s="1"/>
  <c r="E873" i="107"/>
  <c r="E874" i="107" s="1"/>
  <c r="K418" i="132" s="1"/>
  <c r="K1217" i="132"/>
  <c r="M1217" i="132" s="1"/>
  <c r="K1228" i="132"/>
  <c r="M1228" i="132" s="1"/>
  <c r="L18" i="203"/>
  <c r="G827" i="107"/>
  <c r="G813" i="107"/>
  <c r="G691" i="107"/>
  <c r="G673" i="107"/>
  <c r="I142" i="140" l="1"/>
  <c r="N142" i="140" s="1"/>
  <c r="I141" i="140"/>
  <c r="N141" i="140" s="1"/>
  <c r="M846" i="132"/>
  <c r="I15" i="203"/>
  <c r="M854" i="132"/>
  <c r="I16" i="203"/>
  <c r="G321" i="107"/>
  <c r="G320" i="107"/>
  <c r="G319" i="107"/>
  <c r="G318" i="107"/>
  <c r="G316" i="107"/>
  <c r="G315" i="107"/>
  <c r="J142" i="140" l="1"/>
  <c r="K142" i="140" s="1"/>
  <c r="J141" i="140"/>
  <c r="L141" i="140" s="1"/>
  <c r="F24" i="205"/>
  <c r="H24" i="205" s="1"/>
  <c r="J16" i="203"/>
  <c r="E16" i="203"/>
  <c r="F23" i="205"/>
  <c r="H23" i="205" s="1"/>
  <c r="J15" i="203"/>
  <c r="E15" i="203"/>
  <c r="F462" i="107"/>
  <c r="G462" i="107" s="1"/>
  <c r="L142" i="140" l="1"/>
  <c r="U142" i="140"/>
  <c r="K141" i="140"/>
  <c r="U141" i="140"/>
  <c r="N15" i="203"/>
  <c r="F15" i="203"/>
  <c r="L15" i="203" s="1"/>
  <c r="U16" i="203"/>
  <c r="U15" i="203"/>
  <c r="N16" i="203"/>
  <c r="F16" i="203"/>
  <c r="L16" i="203" s="1"/>
  <c r="L24" i="158"/>
  <c r="F444" i="107"/>
  <c r="G444" i="107" s="1"/>
  <c r="K15" i="203" l="1"/>
  <c r="K16" i="203"/>
  <c r="I126" i="132"/>
  <c r="I125" i="132"/>
  <c r="I123" i="132"/>
  <c r="I121" i="132"/>
  <c r="I120" i="132"/>
  <c r="G263" i="107"/>
  <c r="F263" i="107"/>
  <c r="G620" i="107"/>
  <c r="K620" i="107" s="1"/>
  <c r="G619" i="107"/>
  <c r="K619" i="107" s="1"/>
  <c r="G618" i="107"/>
  <c r="G616" i="107"/>
  <c r="F624" i="107" l="1"/>
  <c r="K618" i="107"/>
  <c r="K621" i="107" s="1"/>
  <c r="G624" i="107"/>
  <c r="C19" i="109" l="1"/>
  <c r="F19" i="109" s="1"/>
  <c r="G26" i="140"/>
  <c r="X26" i="140" s="1"/>
  <c r="C23" i="109"/>
  <c r="G30" i="140"/>
  <c r="X30" i="140" s="1"/>
  <c r="L19" i="109" l="1"/>
  <c r="I19" i="109"/>
  <c r="F3" i="107"/>
  <c r="G89" i="133" l="1"/>
  <c r="G91" i="133" s="1"/>
  <c r="K1382" i="132" s="1"/>
  <c r="M1382" i="132" s="1"/>
  <c r="X76" i="140"/>
  <c r="G53" i="140"/>
  <c r="I53" i="140"/>
  <c r="N53" i="140" s="1"/>
  <c r="I138" i="134" l="1"/>
  <c r="K1559" i="132" s="1"/>
  <c r="I169" i="140"/>
  <c r="N169" i="140" s="1"/>
  <c r="J53" i="140"/>
  <c r="M1559" i="132" l="1"/>
  <c r="I38" i="203"/>
  <c r="L53" i="140"/>
  <c r="K53" i="140"/>
  <c r="I224" i="140"/>
  <c r="N224" i="140" s="1"/>
  <c r="G15" i="133"/>
  <c r="G16" i="133" s="1"/>
  <c r="K1423" i="132" s="1"/>
  <c r="M1423" i="132" s="1"/>
  <c r="F46" i="205" l="1"/>
  <c r="H46" i="205" s="1"/>
  <c r="E38" i="203"/>
  <c r="J38" i="203"/>
  <c r="G181" i="140"/>
  <c r="J169" i="140"/>
  <c r="G944" i="107"/>
  <c r="G946" i="107" s="1"/>
  <c r="G939" i="107"/>
  <c r="I315" i="132"/>
  <c r="I316" i="132"/>
  <c r="I317" i="132"/>
  <c r="I318" i="132"/>
  <c r="I319" i="132"/>
  <c r="I309" i="132"/>
  <c r="I109" i="132"/>
  <c r="U38" i="203" l="1"/>
  <c r="F38" i="203"/>
  <c r="K38" i="203" s="1"/>
  <c r="N38" i="203"/>
  <c r="K454" i="132"/>
  <c r="I66" i="140" s="1"/>
  <c r="N66" i="140" s="1"/>
  <c r="L169" i="140"/>
  <c r="K169" i="140"/>
  <c r="G151" i="140"/>
  <c r="J151" i="140" s="1"/>
  <c r="C17" i="109"/>
  <c r="G224" i="140"/>
  <c r="L38" i="203" l="1"/>
  <c r="K151" i="140"/>
  <c r="L151" i="140"/>
  <c r="X224" i="140"/>
  <c r="J224" i="140"/>
  <c r="G24" i="140"/>
  <c r="L224" i="140" l="1"/>
  <c r="K224" i="140"/>
  <c r="U224" i="140"/>
  <c r="X24" i="140"/>
  <c r="X98" i="140"/>
  <c r="X97" i="140"/>
  <c r="A2" i="109" l="1"/>
  <c r="X247" i="140"/>
  <c r="U247" i="140"/>
  <c r="J34" i="140"/>
  <c r="G73" i="107"/>
  <c r="K34" i="140" l="1"/>
  <c r="L34" i="140"/>
  <c r="U34" i="140"/>
  <c r="X34" i="140"/>
  <c r="D18" i="158"/>
  <c r="D19" i="158" s="1"/>
  <c r="D20" i="158" s="1"/>
  <c r="D21" i="158" s="1"/>
  <c r="D23" i="158" s="1"/>
  <c r="G228" i="140" l="1"/>
  <c r="X228" i="140" s="1"/>
  <c r="C22" i="109"/>
  <c r="F22" i="109" s="1"/>
  <c r="N22" i="109" s="1"/>
  <c r="G29" i="140"/>
  <c r="S22" i="109" l="1"/>
  <c r="G229" i="140"/>
  <c r="G223" i="140"/>
  <c r="G226" i="140"/>
  <c r="G211" i="140"/>
  <c r="X29" i="140"/>
  <c r="G271" i="107"/>
  <c r="F271" i="107"/>
  <c r="E271" i="107"/>
  <c r="E270" i="107"/>
  <c r="G270" i="107" s="1"/>
  <c r="E263" i="107"/>
  <c r="E262" i="107"/>
  <c r="G262" i="107" s="1"/>
  <c r="G257" i="107"/>
  <c r="G256" i="107"/>
  <c r="G254" i="107"/>
  <c r="K254" i="107" s="1"/>
  <c r="G252" i="107"/>
  <c r="I314" i="132"/>
  <c r="I308" i="132"/>
  <c r="I307" i="132"/>
  <c r="I306" i="132"/>
  <c r="I305" i="132"/>
  <c r="I304" i="132"/>
  <c r="I303" i="132"/>
  <c r="I302" i="132"/>
  <c r="I301" i="132"/>
  <c r="K252" i="107" l="1"/>
  <c r="G52" i="140"/>
  <c r="F262" i="107"/>
  <c r="F270" i="107"/>
  <c r="C44" i="109"/>
  <c r="F44" i="109" s="1"/>
  <c r="M44" i="109" l="1"/>
  <c r="S44" i="109"/>
  <c r="F794" i="107"/>
  <c r="G794" i="107" s="1"/>
  <c r="G803" i="107"/>
  <c r="G802" i="107"/>
  <c r="G801" i="107"/>
  <c r="G789" i="107"/>
  <c r="G788" i="107"/>
  <c r="F807" i="107" l="1"/>
  <c r="G807" i="107"/>
  <c r="G452" i="107"/>
  <c r="G457" i="107"/>
  <c r="G458" i="107"/>
  <c r="G455" i="107"/>
  <c r="G153" i="140" l="1"/>
  <c r="J153" i="140" s="1"/>
  <c r="G60" i="140"/>
  <c r="G392" i="107"/>
  <c r="G391" i="107"/>
  <c r="K153" i="140" l="1"/>
  <c r="L153" i="140"/>
  <c r="X60" i="140"/>
  <c r="L25" i="158"/>
  <c r="F62" i="107" s="1"/>
  <c r="I194" i="132"/>
  <c r="I196" i="132" l="1"/>
  <c r="C29" i="210" s="1"/>
  <c r="F29" i="210" s="1"/>
  <c r="G159" i="140"/>
  <c r="X159" i="140" s="1"/>
  <c r="G37" i="140"/>
  <c r="C28" i="109"/>
  <c r="F28" i="109" s="1"/>
  <c r="C29" i="109" l="1"/>
  <c r="F29" i="109" s="1"/>
  <c r="N29" i="109" s="1"/>
  <c r="S29" i="210"/>
  <c r="N29" i="210"/>
  <c r="N46" i="210" s="1"/>
  <c r="N48" i="210" s="1"/>
  <c r="C18" i="109"/>
  <c r="F18" i="109" s="1"/>
  <c r="G38" i="140"/>
  <c r="G25" i="140"/>
  <c r="G32" i="140"/>
  <c r="S28" i="109"/>
  <c r="M28" i="109"/>
  <c r="Q28" i="109"/>
  <c r="C24" i="109"/>
  <c r="F24" i="109" s="1"/>
  <c r="S29" i="109" l="1"/>
  <c r="L18" i="109"/>
  <c r="I18" i="109"/>
  <c r="X25" i="140"/>
  <c r="X32" i="140"/>
  <c r="M24" i="109"/>
  <c r="K24" i="109"/>
  <c r="S24" i="109"/>
  <c r="G923" i="107"/>
  <c r="G918" i="107"/>
  <c r="G917" i="107"/>
  <c r="G916" i="107"/>
  <c r="G915" i="107"/>
  <c r="G914" i="107"/>
  <c r="G910" i="107"/>
  <c r="G911" i="107" s="1"/>
  <c r="G586" i="107"/>
  <c r="G584" i="107"/>
  <c r="G583" i="107"/>
  <c r="G578" i="107"/>
  <c r="G919" i="107" l="1"/>
  <c r="G920" i="107" s="1"/>
  <c r="G921" i="107" s="1"/>
  <c r="G924" i="107"/>
  <c r="G925" i="107" s="1"/>
  <c r="K447" i="132" s="1"/>
  <c r="M447" i="132" s="1"/>
  <c r="F592" i="107"/>
  <c r="K438" i="132" l="1"/>
  <c r="M438" i="132" s="1"/>
  <c r="X23" i="140"/>
  <c r="X55" i="140"/>
  <c r="X69" i="140"/>
  <c r="X70" i="140"/>
  <c r="X74" i="140"/>
  <c r="X83" i="140"/>
  <c r="X88" i="140"/>
  <c r="X89" i="140"/>
  <c r="X108" i="140"/>
  <c r="X144" i="140"/>
  <c r="X164" i="140"/>
  <c r="X200" i="140"/>
  <c r="X246" i="140"/>
  <c r="X249" i="140"/>
  <c r="X252" i="140"/>
  <c r="X253" i="140"/>
  <c r="X254" i="140"/>
  <c r="U55" i="140"/>
  <c r="U69" i="140"/>
  <c r="U144" i="140"/>
  <c r="U200" i="140"/>
  <c r="U246" i="140"/>
  <c r="I60" i="140" l="1"/>
  <c r="N60" i="140" s="1"/>
  <c r="I359" i="132"/>
  <c r="J60" i="140" l="1"/>
  <c r="K60" i="140" s="1"/>
  <c r="L60" i="140" l="1"/>
  <c r="U60" i="140"/>
  <c r="G59" i="140"/>
  <c r="G58" i="140"/>
  <c r="I58" i="140" l="1"/>
  <c r="N58" i="140" s="1"/>
  <c r="X58" i="140"/>
  <c r="X59" i="140"/>
  <c r="X105" i="140"/>
  <c r="I59" i="140"/>
  <c r="N59" i="140" s="1"/>
  <c r="J105" i="140" l="1"/>
  <c r="L105" i="140" l="1"/>
  <c r="K105" i="140"/>
  <c r="U105" i="140"/>
  <c r="F335" i="107" l="1"/>
  <c r="F340" i="107"/>
  <c r="F339" i="107"/>
  <c r="F337" i="107"/>
  <c r="F336" i="107"/>
  <c r="A2" i="107"/>
  <c r="C157" i="133"/>
  <c r="C156" i="133"/>
  <c r="C155" i="133"/>
  <c r="F157" i="133"/>
  <c r="F156" i="133"/>
  <c r="F155" i="133"/>
  <c r="C318" i="134"/>
  <c r="C317" i="134"/>
  <c r="C316" i="134"/>
  <c r="G318" i="134"/>
  <c r="G317" i="134"/>
  <c r="G316" i="134"/>
  <c r="H263" i="140"/>
  <c r="H262" i="140"/>
  <c r="H261" i="140"/>
  <c r="K263" i="140"/>
  <c r="K262" i="140"/>
  <c r="K261" i="140"/>
  <c r="J108" i="140"/>
  <c r="K108" i="140" l="1"/>
  <c r="L108" i="140"/>
  <c r="U108" i="140"/>
  <c r="F338" i="107"/>
  <c r="G338" i="107" s="1"/>
  <c r="E343" i="107" s="1"/>
  <c r="F341" i="107"/>
  <c r="G341" i="107" s="1"/>
  <c r="E344" i="107" s="1"/>
  <c r="K3" i="140" l="1"/>
  <c r="A2" i="140"/>
  <c r="G948" i="107"/>
  <c r="G950" i="107" s="1"/>
  <c r="K457" i="132" s="1"/>
  <c r="M457" i="132" s="1"/>
  <c r="G935" i="107"/>
  <c r="G937" i="107" s="1"/>
  <c r="G930" i="107"/>
  <c r="I67" i="140" l="1"/>
  <c r="N67" i="140" s="1"/>
  <c r="K450" i="132"/>
  <c r="I65" i="140" s="1"/>
  <c r="N65" i="140" s="1"/>
  <c r="G66" i="140"/>
  <c r="X65" i="140"/>
  <c r="G904" i="107"/>
  <c r="K904" i="107" s="1"/>
  <c r="G903" i="107"/>
  <c r="K903" i="107" s="1"/>
  <c r="G897" i="107"/>
  <c r="K897" i="107" s="1"/>
  <c r="M450" i="132" l="1"/>
  <c r="X66" i="140"/>
  <c r="J66" i="140"/>
  <c r="G67" i="140"/>
  <c r="X67" i="140" s="1"/>
  <c r="M454" i="132"/>
  <c r="J65" i="140"/>
  <c r="K66" i="140" l="1"/>
  <c r="L66" i="140"/>
  <c r="L65" i="140"/>
  <c r="K65" i="140"/>
  <c r="J67" i="140"/>
  <c r="U66" i="140"/>
  <c r="U65" i="140"/>
  <c r="I229" i="134"/>
  <c r="G668" i="107"/>
  <c r="E345" i="107"/>
  <c r="E346" i="107" s="1"/>
  <c r="G346" i="107" s="1"/>
  <c r="G380" i="107"/>
  <c r="G381" i="107"/>
  <c r="F376" i="107"/>
  <c r="F375" i="107"/>
  <c r="G368" i="107"/>
  <c r="G367" i="107"/>
  <c r="G366" i="107"/>
  <c r="G365" i="107"/>
  <c r="F361" i="107"/>
  <c r="F360" i="107"/>
  <c r="L67" i="140" l="1"/>
  <c r="K67" i="140"/>
  <c r="U67" i="140"/>
  <c r="G240" i="140"/>
  <c r="X240" i="140" s="1"/>
  <c r="K1634" i="132"/>
  <c r="M1634" i="132" s="1"/>
  <c r="I248" i="134"/>
  <c r="K1627" i="132" s="1"/>
  <c r="M1627" i="132" s="1"/>
  <c r="I235" i="134"/>
  <c r="K1608" i="132" s="1"/>
  <c r="M1608" i="132" s="1"/>
  <c r="I242" i="134"/>
  <c r="K1621" i="132" s="1"/>
  <c r="M1621" i="132" s="1"/>
  <c r="I230" i="134"/>
  <c r="K1595" i="132" s="1"/>
  <c r="M1595" i="132" s="1"/>
  <c r="K1646" i="132"/>
  <c r="M1646" i="132" s="1"/>
  <c r="G345" i="107"/>
  <c r="G669" i="107"/>
  <c r="F362" i="107"/>
  <c r="E363" i="107" s="1"/>
  <c r="E364" i="107" s="1"/>
  <c r="F377" i="107"/>
  <c r="E378" i="107" s="1"/>
  <c r="G378" i="107" s="1"/>
  <c r="K1363" i="132" l="1"/>
  <c r="M1363" i="132" s="1"/>
  <c r="G163" i="140"/>
  <c r="X163" i="140" s="1"/>
  <c r="I229" i="140"/>
  <c r="N229" i="140" s="1"/>
  <c r="I235" i="140"/>
  <c r="N235" i="140" s="1"/>
  <c r="X223" i="140"/>
  <c r="X226" i="140"/>
  <c r="G230" i="140"/>
  <c r="X230" i="140" s="1"/>
  <c r="G235" i="140"/>
  <c r="X235" i="140" s="1"/>
  <c r="X211" i="140"/>
  <c r="X229" i="140"/>
  <c r="G231" i="140"/>
  <c r="X231" i="140" s="1"/>
  <c r="G233" i="140"/>
  <c r="X233" i="140" s="1"/>
  <c r="I231" i="140"/>
  <c r="N231" i="140" s="1"/>
  <c r="I233" i="140"/>
  <c r="N233" i="140" s="1"/>
  <c r="I240" i="140"/>
  <c r="N240" i="140" s="1"/>
  <c r="I230" i="140"/>
  <c r="N230" i="140" s="1"/>
  <c r="E379" i="107"/>
  <c r="G379" i="107" s="1"/>
  <c r="G382" i="107" s="1"/>
  <c r="G383" i="107" s="1"/>
  <c r="I163" i="140" l="1"/>
  <c r="N163" i="140" s="1"/>
  <c r="J235" i="140"/>
  <c r="J230" i="140"/>
  <c r="J233" i="140"/>
  <c r="J240" i="140"/>
  <c r="J231" i="140"/>
  <c r="J163" i="140" l="1"/>
  <c r="K163" i="140" s="1"/>
  <c r="L233" i="140"/>
  <c r="K233" i="140"/>
  <c r="L240" i="140"/>
  <c r="K240" i="140"/>
  <c r="L235" i="140"/>
  <c r="K235" i="140"/>
  <c r="L230" i="140"/>
  <c r="K230" i="140"/>
  <c r="K231" i="140"/>
  <c r="L231" i="140"/>
  <c r="U240" i="140"/>
  <c r="U235" i="140"/>
  <c r="U231" i="140"/>
  <c r="U233" i="140"/>
  <c r="U230" i="140"/>
  <c r="H70" i="141"/>
  <c r="H69" i="141"/>
  <c r="H68" i="141"/>
  <c r="H5" i="141"/>
  <c r="A4" i="141"/>
  <c r="G25" i="131"/>
  <c r="G23" i="131"/>
  <c r="U163" i="140" l="1"/>
  <c r="L163" i="140"/>
  <c r="T35" i="109"/>
  <c r="T14" i="109"/>
  <c r="T20" i="109"/>
  <c r="T21" i="109" s="1"/>
  <c r="T13" i="109"/>
  <c r="T12" i="109"/>
  <c r="T11" i="109"/>
  <c r="T16" i="109" l="1"/>
  <c r="T17" i="109" s="1"/>
  <c r="T18" i="109" s="1"/>
  <c r="T19" i="109" s="1"/>
  <c r="S19" i="109" s="1"/>
  <c r="T15" i="109"/>
  <c r="S18" i="109" l="1"/>
  <c r="C2" i="132" l="1"/>
  <c r="K46" i="109"/>
  <c r="J46" i="109"/>
  <c r="X107" i="140" l="1"/>
  <c r="M61" i="109" l="1"/>
  <c r="M60" i="109"/>
  <c r="M59" i="109"/>
  <c r="R61" i="109"/>
  <c r="R60" i="109"/>
  <c r="R59" i="109"/>
  <c r="C997" i="107"/>
  <c r="C996" i="107"/>
  <c r="C995" i="107"/>
  <c r="E70" i="141"/>
  <c r="E69" i="141"/>
  <c r="E68" i="141"/>
  <c r="H1667" i="132"/>
  <c r="H1666" i="132"/>
  <c r="H1665" i="132"/>
  <c r="L1667" i="132"/>
  <c r="L1666" i="132"/>
  <c r="L1665" i="132"/>
  <c r="G544" i="107"/>
  <c r="K544" i="107" s="1"/>
  <c r="G543" i="107"/>
  <c r="K543" i="107" s="1"/>
  <c r="G542" i="107"/>
  <c r="M418" i="132"/>
  <c r="I373" i="132"/>
  <c r="I372" i="132"/>
  <c r="I371" i="132"/>
  <c r="I370" i="132"/>
  <c r="I368" i="132"/>
  <c r="I367" i="132"/>
  <c r="I366" i="132"/>
  <c r="I365" i="132"/>
  <c r="I364" i="132"/>
  <c r="I363" i="132"/>
  <c r="I362" i="132"/>
  <c r="I361" i="132"/>
  <c r="I360" i="132"/>
  <c r="I358" i="132"/>
  <c r="I357" i="132"/>
  <c r="I355" i="132"/>
  <c r="I354" i="132"/>
  <c r="I353" i="132"/>
  <c r="I352" i="132"/>
  <c r="I351" i="132"/>
  <c r="I350" i="132"/>
  <c r="I349" i="132"/>
  <c r="I348" i="132"/>
  <c r="I344" i="132"/>
  <c r="I347" i="132"/>
  <c r="I346" i="132"/>
  <c r="I345" i="132"/>
  <c r="I343" i="132"/>
  <c r="G148" i="140" l="1"/>
  <c r="J148" i="140" s="1"/>
  <c r="G155" i="140"/>
  <c r="J155" i="140" s="1"/>
  <c r="G157" i="140"/>
  <c r="J157" i="140" s="1"/>
  <c r="G156" i="140"/>
  <c r="G161" i="140"/>
  <c r="G162" i="140"/>
  <c r="X162" i="140" s="1"/>
  <c r="G61" i="140"/>
  <c r="X61" i="140" s="1"/>
  <c r="K542" i="107"/>
  <c r="K545" i="107" s="1"/>
  <c r="F550" i="107"/>
  <c r="G550" i="107"/>
  <c r="X145" i="140"/>
  <c r="G62" i="140"/>
  <c r="X62" i="140" s="1"/>
  <c r="X153" i="140"/>
  <c r="L157" i="140" l="1"/>
  <c r="K157" i="140"/>
  <c r="K155" i="140"/>
  <c r="L155" i="140"/>
  <c r="K148" i="140"/>
  <c r="L148" i="140"/>
  <c r="G160" i="140"/>
  <c r="X160" i="140" s="1"/>
  <c r="X157" i="140"/>
  <c r="X156" i="140"/>
  <c r="X161" i="140"/>
  <c r="G150" i="140"/>
  <c r="G149" i="140"/>
  <c r="J149" i="140" s="1"/>
  <c r="X155" i="140"/>
  <c r="X151" i="140"/>
  <c r="X99" i="140"/>
  <c r="X100" i="140"/>
  <c r="X96" i="140"/>
  <c r="X94" i="140"/>
  <c r="X91" i="140"/>
  <c r="X87" i="140"/>
  <c r="X82" i="140"/>
  <c r="X79" i="140"/>
  <c r="X73" i="140"/>
  <c r="X71" i="140"/>
  <c r="X72" i="140"/>
  <c r="X75" i="140"/>
  <c r="X102" i="140"/>
  <c r="X95" i="140"/>
  <c r="X93" i="140"/>
  <c r="X90" i="140"/>
  <c r="X84" i="140"/>
  <c r="X80" i="140"/>
  <c r="X78" i="140"/>
  <c r="X104" i="140"/>
  <c r="X103" i="140"/>
  <c r="G56" i="140"/>
  <c r="X56" i="140" s="1"/>
  <c r="G57" i="140"/>
  <c r="X57" i="140" s="1"/>
  <c r="L149" i="140" l="1"/>
  <c r="K149" i="140"/>
  <c r="X149" i="140"/>
  <c r="J150" i="140"/>
  <c r="X150" i="140"/>
  <c r="F23" i="109"/>
  <c r="N23" i="109" s="1"/>
  <c r="L150" i="140" l="1"/>
  <c r="K150" i="140"/>
  <c r="G216" i="140"/>
  <c r="X216" i="140" s="1"/>
  <c r="U150" i="140"/>
  <c r="S23" i="109"/>
  <c r="I202" i="134"/>
  <c r="K1531" i="132" s="1"/>
  <c r="M1531" i="132" s="1"/>
  <c r="I216" i="140" l="1"/>
  <c r="N216" i="140" s="1"/>
  <c r="G830" i="107"/>
  <c r="J216" i="140" l="1"/>
  <c r="G829" i="107"/>
  <c r="L216" i="140" l="1"/>
  <c r="K216" i="140"/>
  <c r="U216" i="140"/>
  <c r="G68" i="140"/>
  <c r="X68" i="140" s="1"/>
  <c r="I21" i="158" l="1"/>
  <c r="I20" i="158"/>
  <c r="I19" i="158"/>
  <c r="I18" i="158"/>
  <c r="I17" i="158"/>
  <c r="E17" i="158"/>
  <c r="E16" i="158"/>
  <c r="F16" i="158" s="1"/>
  <c r="D14" i="158"/>
  <c r="L12" i="158"/>
  <c r="L11" i="158"/>
  <c r="L9" i="158"/>
  <c r="L8" i="158"/>
  <c r="G72" i="190" l="1"/>
  <c r="H72" i="190" s="1"/>
  <c r="G95" i="190"/>
  <c r="H95" i="190" s="1"/>
  <c r="H63" i="190"/>
  <c r="K1254" i="132" s="1"/>
  <c r="M1254" i="132" s="1"/>
  <c r="E18" i="158"/>
  <c r="F18" i="158" s="1"/>
  <c r="L18" i="158" s="1"/>
  <c r="F17" i="158"/>
  <c r="L17" i="158" s="1"/>
  <c r="G219" i="190"/>
  <c r="H219" i="190" s="1"/>
  <c r="H222" i="190" s="1"/>
  <c r="F344" i="107"/>
  <c r="G344" i="107" s="1"/>
  <c r="H30" i="134"/>
  <c r="F343" i="107"/>
  <c r="G343" i="107" s="1"/>
  <c r="F314" i="107"/>
  <c r="G314" i="107" s="1"/>
  <c r="F732" i="107"/>
  <c r="F733" i="107" s="1"/>
  <c r="F416" i="107"/>
  <c r="F85" i="107"/>
  <c r="F99" i="107" s="1"/>
  <c r="F710" i="107"/>
  <c r="F711" i="107" s="1"/>
  <c r="F712" i="107" s="1"/>
  <c r="F114" i="107"/>
  <c r="L26" i="158"/>
  <c r="F72" i="107" s="1"/>
  <c r="L16" i="158"/>
  <c r="F250" i="107"/>
  <c r="F795" i="107"/>
  <c r="F785" i="107"/>
  <c r="G785" i="107" s="1"/>
  <c r="F750" i="107"/>
  <c r="F751" i="107" s="1"/>
  <c r="F387" i="107"/>
  <c r="G387" i="107" s="1"/>
  <c r="F770" i="107"/>
  <c r="F771" i="107" s="1"/>
  <c r="F580" i="107"/>
  <c r="G580" i="107" s="1"/>
  <c r="F399" i="107"/>
  <c r="F150" i="107"/>
  <c r="F27" i="107"/>
  <c r="F17" i="107"/>
  <c r="F7" i="107"/>
  <c r="F536" i="107"/>
  <c r="F434" i="107"/>
  <c r="F179" i="107"/>
  <c r="F631" i="107"/>
  <c r="F632" i="107" s="1"/>
  <c r="F633" i="107" s="1"/>
  <c r="F22" i="107"/>
  <c r="F12" i="107"/>
  <c r="E14" i="158"/>
  <c r="F328" i="107"/>
  <c r="E19" i="158" l="1"/>
  <c r="F19" i="158" s="1"/>
  <c r="L19" i="158" s="1"/>
  <c r="E33" i="107" s="1"/>
  <c r="G347" i="107"/>
  <c r="G348" i="107" s="1"/>
  <c r="G349" i="107" s="1"/>
  <c r="F278" i="107"/>
  <c r="F177" i="107"/>
  <c r="F248" i="107"/>
  <c r="F112" i="107"/>
  <c r="H99" i="190"/>
  <c r="H76" i="190"/>
  <c r="K1258" i="132" s="1"/>
  <c r="M1258" i="132" s="1"/>
  <c r="G322" i="107"/>
  <c r="G323" i="107" s="1"/>
  <c r="G324" i="107" s="1"/>
  <c r="H324" i="107" s="1"/>
  <c r="K1324" i="132"/>
  <c r="I156" i="140" s="1"/>
  <c r="N156" i="140" s="1"/>
  <c r="L15" i="158"/>
  <c r="F54" i="107" s="1"/>
  <c r="F14" i="158"/>
  <c r="L14" i="158" s="1"/>
  <c r="I30" i="134"/>
  <c r="I31" i="134" s="1"/>
  <c r="I32" i="134" s="1"/>
  <c r="I33" i="134" s="1"/>
  <c r="F86" i="107"/>
  <c r="F100" i="107" s="1"/>
  <c r="F400" i="107"/>
  <c r="F417" i="107"/>
  <c r="U155" i="140"/>
  <c r="F435" i="107"/>
  <c r="F557" i="107"/>
  <c r="G536" i="107"/>
  <c r="F539" i="107"/>
  <c r="G539" i="107" s="1"/>
  <c r="F796" i="107"/>
  <c r="G796" i="107" s="1"/>
  <c r="G795" i="107"/>
  <c r="L13" i="158"/>
  <c r="E32" i="107"/>
  <c r="E20" i="158"/>
  <c r="F20" i="158" s="1"/>
  <c r="K1266" i="132" l="1"/>
  <c r="M1266" i="132" s="1"/>
  <c r="I34" i="134"/>
  <c r="K1473" i="132" s="1"/>
  <c r="M1473" i="132" s="1"/>
  <c r="K1340" i="132"/>
  <c r="M1340" i="132" s="1"/>
  <c r="M1324" i="132"/>
  <c r="I20" i="203"/>
  <c r="J156" i="140"/>
  <c r="F249" i="107"/>
  <c r="G249" i="107" s="1"/>
  <c r="F149" i="107"/>
  <c r="F178" i="107"/>
  <c r="F798" i="107"/>
  <c r="F799" i="107" s="1"/>
  <c r="G799" i="107" s="1"/>
  <c r="F713" i="107"/>
  <c r="F714" i="107" s="1"/>
  <c r="F418" i="107"/>
  <c r="F731" i="107"/>
  <c r="F389" i="107"/>
  <c r="G389" i="107" s="1"/>
  <c r="F87" i="107"/>
  <c r="F113" i="107"/>
  <c r="F786" i="107"/>
  <c r="G786" i="107" s="1"/>
  <c r="G790" i="107" s="1"/>
  <c r="F797" i="107" s="1"/>
  <c r="G797" i="107" s="1"/>
  <c r="F769" i="107"/>
  <c r="F753" i="107"/>
  <c r="F537" i="107"/>
  <c r="F401" i="107"/>
  <c r="F634" i="107"/>
  <c r="F651" i="107" s="1"/>
  <c r="F28" i="107"/>
  <c r="F18" i="107"/>
  <c r="F8" i="107"/>
  <c r="F436" i="107"/>
  <c r="F677" i="107"/>
  <c r="F692" i="107" s="1"/>
  <c r="F23" i="107"/>
  <c r="F13" i="107"/>
  <c r="E21" i="158"/>
  <c r="L20" i="158"/>
  <c r="E34" i="107" s="1"/>
  <c r="F21" i="158" l="1"/>
  <c r="L21" i="158" s="1"/>
  <c r="E35" i="107" s="1"/>
  <c r="E23" i="158"/>
  <c r="I160" i="140"/>
  <c r="N160" i="140" s="1"/>
  <c r="K156" i="140"/>
  <c r="L156" i="140"/>
  <c r="F28" i="205"/>
  <c r="H28" i="205" s="1"/>
  <c r="E20" i="203"/>
  <c r="J20" i="203"/>
  <c r="G798" i="107"/>
  <c r="G804" i="107" s="1"/>
  <c r="F101" i="107"/>
  <c r="F23" i="158"/>
  <c r="F558" i="107"/>
  <c r="F540" i="107"/>
  <c r="G540" i="107" s="1"/>
  <c r="G537" i="107"/>
  <c r="J160" i="140" l="1"/>
  <c r="L160" i="140" s="1"/>
  <c r="U20" i="203"/>
  <c r="N20" i="203"/>
  <c r="F20" i="203"/>
  <c r="F22" i="158"/>
  <c r="L22" i="158" s="1"/>
  <c r="F388" i="107" s="1"/>
  <c r="G388" i="107" s="1"/>
  <c r="G393" i="107" s="1"/>
  <c r="F806" i="107"/>
  <c r="F808" i="107" s="1"/>
  <c r="F809" i="107" s="1"/>
  <c r="G806" i="107"/>
  <c r="G808" i="107" s="1"/>
  <c r="G809" i="107" s="1"/>
  <c r="E806" i="107"/>
  <c r="E808" i="107" s="1"/>
  <c r="E809" i="107" s="1"/>
  <c r="L23" i="158"/>
  <c r="G545" i="107"/>
  <c r="G394" i="107" l="1"/>
  <c r="G395" i="107" s="1"/>
  <c r="K153" i="132" s="1"/>
  <c r="I32" i="140" s="1"/>
  <c r="N32" i="140" s="1"/>
  <c r="K160" i="140"/>
  <c r="F630" i="107"/>
  <c r="G630" i="107" s="1"/>
  <c r="K299" i="132"/>
  <c r="M299" i="132" s="1"/>
  <c r="K1153" i="132"/>
  <c r="M1153" i="132" s="1"/>
  <c r="K340" i="132"/>
  <c r="M340" i="132" s="1"/>
  <c r="K758" i="132"/>
  <c r="M758" i="132" s="1"/>
  <c r="K20" i="203"/>
  <c r="L20" i="203"/>
  <c r="E547" i="107"/>
  <c r="F547" i="107"/>
  <c r="F551" i="107" l="1"/>
  <c r="F552" i="107" s="1"/>
  <c r="F553" i="107" s="1"/>
  <c r="E551" i="107"/>
  <c r="E552" i="107" s="1"/>
  <c r="E553" i="107" s="1"/>
  <c r="I52" i="140"/>
  <c r="N52" i="140" s="1"/>
  <c r="I138" i="140"/>
  <c r="N138" i="140" s="1"/>
  <c r="M153" i="132"/>
  <c r="I101" i="140"/>
  <c r="N101" i="140" s="1"/>
  <c r="J32" i="140"/>
  <c r="G547" i="107"/>
  <c r="F581" i="107" l="1"/>
  <c r="G581" i="107" s="1"/>
  <c r="K235" i="132"/>
  <c r="I42" i="140" s="1"/>
  <c r="N42" i="140" s="1"/>
  <c r="G551" i="107"/>
  <c r="G552" i="107" s="1"/>
  <c r="G553" i="107" s="1"/>
  <c r="K1046" i="132" s="1"/>
  <c r="M1046" i="132" s="1"/>
  <c r="J52" i="140"/>
  <c r="K52" i="140" s="1"/>
  <c r="J138" i="140"/>
  <c r="L138" i="140" s="1"/>
  <c r="J101" i="140"/>
  <c r="L101" i="140" s="1"/>
  <c r="K664" i="132"/>
  <c r="K32" i="140"/>
  <c r="L32" i="140"/>
  <c r="U32" i="140"/>
  <c r="L52" i="140" l="1"/>
  <c r="K138" i="140"/>
  <c r="K101" i="140"/>
  <c r="M664" i="132"/>
  <c r="I9" i="203"/>
  <c r="I127" i="140"/>
  <c r="N127" i="140" s="1"/>
  <c r="I90" i="140"/>
  <c r="N90" i="140" s="1"/>
  <c r="F17" i="205" l="1"/>
  <c r="H17" i="205" s="1"/>
  <c r="J9" i="203"/>
  <c r="E9" i="203"/>
  <c r="J127" i="140"/>
  <c r="N9" i="203" l="1"/>
  <c r="F9" i="203"/>
  <c r="K9" i="203" s="1"/>
  <c r="U9" i="203"/>
  <c r="L127" i="140"/>
  <c r="K127" i="140"/>
  <c r="U127" i="140"/>
  <c r="E150" i="107"/>
  <c r="E179" i="107" s="1"/>
  <c r="E250" i="107" s="1"/>
  <c r="L9" i="203" l="1"/>
  <c r="G250" i="107"/>
  <c r="E280" i="107"/>
  <c r="C15" i="109"/>
  <c r="C16" i="109"/>
  <c r="G33" i="140" l="1"/>
  <c r="X33" i="140" s="1"/>
  <c r="C25" i="109"/>
  <c r="C33" i="109"/>
  <c r="F33" i="109" s="1"/>
  <c r="N33" i="109" s="1"/>
  <c r="J90" i="140"/>
  <c r="M235" i="132"/>
  <c r="G42" i="140"/>
  <c r="K90" i="140" l="1"/>
  <c r="L90" i="140"/>
  <c r="U90" i="140"/>
  <c r="J42" i="140"/>
  <c r="X42" i="140"/>
  <c r="S33" i="109"/>
  <c r="K42" i="140" l="1"/>
  <c r="L42" i="140"/>
  <c r="U42" i="140"/>
  <c r="C42" i="210" l="1"/>
  <c r="F42" i="210" s="1"/>
  <c r="S42" i="210" l="1"/>
  <c r="M42" i="210"/>
  <c r="I92" i="134"/>
  <c r="K1638" i="132" s="1"/>
  <c r="M1638" i="132" s="1"/>
  <c r="I77" i="134"/>
  <c r="K1551" i="132" s="1"/>
  <c r="M1551" i="132" s="1"/>
  <c r="I52" i="134"/>
  <c r="K1508" i="132" s="1"/>
  <c r="M1508" i="132" s="1"/>
  <c r="I237" i="140" l="1"/>
  <c r="N237" i="140" s="1"/>
  <c r="I220" i="140"/>
  <c r="N220" i="140" s="1"/>
  <c r="G207" i="140"/>
  <c r="X207" i="140" s="1"/>
  <c r="G237" i="140"/>
  <c r="X237" i="140" s="1"/>
  <c r="I207" i="140"/>
  <c r="N207" i="140" s="1"/>
  <c r="G220" i="140" l="1"/>
  <c r="X220" i="140" s="1"/>
  <c r="J207" i="140"/>
  <c r="J237" i="140"/>
  <c r="K237" i="140" l="1"/>
  <c r="L237" i="140"/>
  <c r="K207" i="140"/>
  <c r="L207" i="140"/>
  <c r="U237" i="140"/>
  <c r="U207" i="140"/>
  <c r="J220" i="140"/>
  <c r="L220" i="140" l="1"/>
  <c r="K220" i="140"/>
  <c r="U220" i="140"/>
  <c r="G151" i="133" l="1"/>
  <c r="G152" i="133" s="1"/>
  <c r="K1429" i="132" s="1"/>
  <c r="M1429" i="132" l="1"/>
  <c r="I30" i="203"/>
  <c r="I182" i="140"/>
  <c r="N182" i="140" s="1"/>
  <c r="J23" i="140"/>
  <c r="F38" i="205" l="1"/>
  <c r="H38" i="205" s="1"/>
  <c r="E30" i="203"/>
  <c r="J30" i="203"/>
  <c r="L23" i="140"/>
  <c r="K23" i="140"/>
  <c r="G182" i="140"/>
  <c r="X182" i="140" s="1"/>
  <c r="U23" i="140"/>
  <c r="U30" i="203" l="1"/>
  <c r="N30" i="203"/>
  <c r="F30" i="203"/>
  <c r="L30" i="203" s="1"/>
  <c r="J182" i="140"/>
  <c r="K1642" i="132"/>
  <c r="M1642" i="132" s="1"/>
  <c r="G236" i="140"/>
  <c r="X236" i="140" s="1"/>
  <c r="G364" i="107"/>
  <c r="G363" i="107"/>
  <c r="G369" i="107" l="1"/>
  <c r="G370" i="107" s="1"/>
  <c r="G371" i="107" s="1"/>
  <c r="G372" i="107" s="1"/>
  <c r="K30" i="203"/>
  <c r="L182" i="140"/>
  <c r="K182" i="140"/>
  <c r="U182" i="140"/>
  <c r="I236" i="140"/>
  <c r="N236" i="140" s="1"/>
  <c r="K1352" i="132" l="1"/>
  <c r="M1352" i="132" s="1"/>
  <c r="J236" i="140"/>
  <c r="I162" i="140" l="1"/>
  <c r="N162" i="140" s="1"/>
  <c r="L236" i="140"/>
  <c r="K236" i="140"/>
  <c r="U236" i="140"/>
  <c r="U151" i="140"/>
  <c r="J162" i="140" l="1"/>
  <c r="L162" i="140" s="1"/>
  <c r="I74" i="134"/>
  <c r="K1543" i="132" s="1"/>
  <c r="M1543" i="132" s="1"/>
  <c r="I49" i="134"/>
  <c r="K1493" i="132" s="1"/>
  <c r="M1493" i="132" s="1"/>
  <c r="G58" i="133"/>
  <c r="G60" i="133" s="1"/>
  <c r="K1394" i="132" s="1"/>
  <c r="M1394" i="132" s="1"/>
  <c r="X172" i="140"/>
  <c r="K162" i="140" l="1"/>
  <c r="U162" i="140"/>
  <c r="I219" i="140"/>
  <c r="N219" i="140" s="1"/>
  <c r="I206" i="140"/>
  <c r="N206" i="140" s="1"/>
  <c r="G219" i="140" l="1"/>
  <c r="G206" i="140"/>
  <c r="U153" i="140" l="1"/>
  <c r="J219" i="140"/>
  <c r="X219" i="140"/>
  <c r="J206" i="140"/>
  <c r="X206" i="140"/>
  <c r="K219" i="140" l="1"/>
  <c r="L219" i="140"/>
  <c r="L206" i="140"/>
  <c r="K206" i="140"/>
  <c r="U206" i="140"/>
  <c r="U219" i="140"/>
  <c r="G927" i="107" l="1"/>
  <c r="G928" i="107" s="1"/>
  <c r="G699" i="107"/>
  <c r="G698" i="107"/>
  <c r="G697" i="107"/>
  <c r="G695" i="107"/>
  <c r="G680" i="107"/>
  <c r="G654" i="107"/>
  <c r="K443" i="132" l="1"/>
  <c r="I61" i="140" s="1"/>
  <c r="N61" i="140" s="1"/>
  <c r="F703" i="107"/>
  <c r="K680" i="107"/>
  <c r="G703" i="107"/>
  <c r="G679" i="107"/>
  <c r="K679" i="107" s="1"/>
  <c r="G681" i="107"/>
  <c r="M443" i="132" l="1"/>
  <c r="K681" i="107"/>
  <c r="K682" i="107" s="1"/>
  <c r="G685" i="107"/>
  <c r="F685" i="107"/>
  <c r="G72" i="107" l="1"/>
  <c r="I37" i="132"/>
  <c r="H54" i="132"/>
  <c r="I54" i="132" s="1"/>
  <c r="H50" i="132"/>
  <c r="I50" i="132" s="1"/>
  <c r="I51" i="132"/>
  <c r="I52" i="132"/>
  <c r="I53" i="132"/>
  <c r="I49" i="132"/>
  <c r="I34" i="132"/>
  <c r="I31" i="132"/>
  <c r="J61" i="140" l="1"/>
  <c r="L61" i="140" l="1"/>
  <c r="K61" i="140"/>
  <c r="U61" i="140"/>
  <c r="C7" i="109"/>
  <c r="G13" i="140"/>
  <c r="X13" i="140" s="1"/>
  <c r="C39" i="109"/>
  <c r="G47" i="140"/>
  <c r="X47" i="140" s="1"/>
  <c r="C41" i="109"/>
  <c r="G49" i="140"/>
  <c r="X49" i="140" s="1"/>
  <c r="C21" i="109"/>
  <c r="F21" i="109" s="1"/>
  <c r="G28" i="140"/>
  <c r="X28" i="140" s="1"/>
  <c r="C38" i="109"/>
  <c r="G46" i="140"/>
  <c r="X46" i="140" s="1"/>
  <c r="C40" i="109"/>
  <c r="G48" i="140"/>
  <c r="X48" i="140" s="1"/>
  <c r="L21" i="109" l="1"/>
  <c r="I21" i="109"/>
  <c r="S21" i="109"/>
  <c r="F40" i="109"/>
  <c r="S40" i="109" s="1"/>
  <c r="F38" i="109"/>
  <c r="F41" i="109"/>
  <c r="S41" i="109" s="1"/>
  <c r="F39" i="109"/>
  <c r="F7" i="109"/>
  <c r="R7" i="109" s="1"/>
  <c r="C5" i="109"/>
  <c r="F5" i="109" s="1"/>
  <c r="G14" i="140"/>
  <c r="X14" i="140" s="1"/>
  <c r="C27" i="109"/>
  <c r="F27" i="109" s="1"/>
  <c r="M27" i="109" s="1"/>
  <c r="G36" i="140"/>
  <c r="X36" i="140" s="1"/>
  <c r="N7" i="140"/>
  <c r="L7" i="140"/>
  <c r="K7" i="140"/>
  <c r="G179" i="140"/>
  <c r="X179" i="140" s="1"/>
  <c r="Q27" i="109" l="1"/>
  <c r="M40" i="109"/>
  <c r="S27" i="109"/>
  <c r="M39" i="109"/>
  <c r="S39" i="109"/>
  <c r="M38" i="109"/>
  <c r="S38" i="109"/>
  <c r="M41" i="109"/>
  <c r="G355" i="107" l="1"/>
  <c r="G354" i="107"/>
  <c r="G353" i="107"/>
  <c r="G356" i="107" l="1"/>
  <c r="G357" i="107" s="1"/>
  <c r="K1345" i="132" s="1"/>
  <c r="M1345" i="132" s="1"/>
  <c r="K1570" i="132"/>
  <c r="G221" i="140"/>
  <c r="X221" i="140" s="1"/>
  <c r="G218" i="140"/>
  <c r="X218" i="140" s="1"/>
  <c r="G208" i="140"/>
  <c r="X208" i="140" s="1"/>
  <c r="K1539" i="132"/>
  <c r="K1489" i="132"/>
  <c r="G205" i="140"/>
  <c r="X205" i="140" s="1"/>
  <c r="G12" i="133"/>
  <c r="G13" i="133" s="1"/>
  <c r="K1419" i="132" s="1"/>
  <c r="M1419" i="132" s="1"/>
  <c r="F17" i="109"/>
  <c r="G129" i="133"/>
  <c r="G130" i="133" s="1"/>
  <c r="K1446" i="132" s="1"/>
  <c r="M1446" i="132" s="1"/>
  <c r="L17" i="109" l="1"/>
  <c r="I17" i="109"/>
  <c r="I161" i="140"/>
  <c r="N161" i="140" s="1"/>
  <c r="M1539" i="132"/>
  <c r="I36" i="203"/>
  <c r="M1570" i="132"/>
  <c r="I39" i="203"/>
  <c r="M1489" i="132"/>
  <c r="I31" i="203"/>
  <c r="I226" i="140"/>
  <c r="N226" i="140" s="1"/>
  <c r="G225" i="140"/>
  <c r="X225" i="140" s="1"/>
  <c r="I146" i="134"/>
  <c r="K1566" i="132" s="1"/>
  <c r="M1566" i="132" s="1"/>
  <c r="G180" i="140"/>
  <c r="X180" i="140" s="1"/>
  <c r="S17" i="109"/>
  <c r="I179" i="140"/>
  <c r="N179" i="140" s="1"/>
  <c r="I218" i="140"/>
  <c r="N218" i="140" s="1"/>
  <c r="I205" i="140"/>
  <c r="N205" i="140" s="1"/>
  <c r="I81" i="134"/>
  <c r="K1547" i="132" s="1"/>
  <c r="M1547" i="132" s="1"/>
  <c r="I56" i="134"/>
  <c r="K1504" i="132" s="1"/>
  <c r="M1504" i="132" s="1"/>
  <c r="J161" i="140" l="1"/>
  <c r="L161" i="140" s="1"/>
  <c r="F39" i="205"/>
  <c r="H39" i="205" s="1"/>
  <c r="E31" i="203"/>
  <c r="J31" i="203"/>
  <c r="F47" i="205"/>
  <c r="H47" i="205" s="1"/>
  <c r="E39" i="203"/>
  <c r="J39" i="203"/>
  <c r="F44" i="205"/>
  <c r="H44" i="205" s="1"/>
  <c r="E36" i="203"/>
  <c r="J36" i="203"/>
  <c r="J179" i="140"/>
  <c r="J205" i="140"/>
  <c r="J218" i="140"/>
  <c r="J226" i="140"/>
  <c r="I221" i="140"/>
  <c r="N221" i="140" s="1"/>
  <c r="I208" i="140"/>
  <c r="N208" i="140" s="1"/>
  <c r="G147" i="133"/>
  <c r="G148" i="133" s="1"/>
  <c r="K1464" i="132" s="1"/>
  <c r="M1464" i="132" s="1"/>
  <c r="G144" i="133"/>
  <c r="G145" i="133" s="1"/>
  <c r="K1461" i="132" s="1"/>
  <c r="M1461" i="132" s="1"/>
  <c r="G141" i="133"/>
  <c r="G142" i="133" s="1"/>
  <c r="K1455" i="132" s="1"/>
  <c r="M1455" i="132" s="1"/>
  <c r="G138" i="133"/>
  <c r="G139" i="133" s="1"/>
  <c r="K1452" i="132" s="1"/>
  <c r="M1452" i="132" s="1"/>
  <c r="G135" i="133"/>
  <c r="G136" i="133" s="1"/>
  <c r="K1449" i="132" s="1"/>
  <c r="M1449" i="132" s="1"/>
  <c r="G132" i="133"/>
  <c r="G133" i="133" s="1"/>
  <c r="K1458" i="132" s="1"/>
  <c r="M1458" i="132" s="1"/>
  <c r="G126" i="133"/>
  <c r="G127" i="133" s="1"/>
  <c r="K1440" i="132" s="1"/>
  <c r="M1440" i="132" s="1"/>
  <c r="G120" i="133"/>
  <c r="G121" i="133" s="1"/>
  <c r="G117" i="133"/>
  <c r="K1436" i="132" s="1"/>
  <c r="M1436" i="132" s="1"/>
  <c r="G115" i="133"/>
  <c r="K1435" i="132" s="1"/>
  <c r="M1435" i="132" s="1"/>
  <c r="G113" i="133"/>
  <c r="K1434" i="132" s="1"/>
  <c r="M1434" i="132" s="1"/>
  <c r="K161" i="140" l="1"/>
  <c r="U161" i="140"/>
  <c r="L218" i="140"/>
  <c r="K218" i="140"/>
  <c r="U36" i="203"/>
  <c r="F39" i="203"/>
  <c r="L39" i="203" s="1"/>
  <c r="N39" i="203"/>
  <c r="U31" i="203"/>
  <c r="L226" i="140"/>
  <c r="K226" i="140"/>
  <c r="K205" i="140"/>
  <c r="L205" i="140"/>
  <c r="F36" i="203"/>
  <c r="L36" i="203" s="1"/>
  <c r="N36" i="203"/>
  <c r="U39" i="203"/>
  <c r="N31" i="203"/>
  <c r="F31" i="203"/>
  <c r="K31" i="203" s="1"/>
  <c r="K179" i="140"/>
  <c r="L179" i="140"/>
  <c r="U218" i="140"/>
  <c r="U179" i="140"/>
  <c r="U205" i="140"/>
  <c r="U226" i="140"/>
  <c r="I187" i="140"/>
  <c r="N187" i="140" s="1"/>
  <c r="I189" i="140"/>
  <c r="N189" i="140" s="1"/>
  <c r="I193" i="140"/>
  <c r="N193" i="140" s="1"/>
  <c r="I195" i="140"/>
  <c r="N195" i="140" s="1"/>
  <c r="I198" i="140"/>
  <c r="N198" i="140" s="1"/>
  <c r="I188" i="140"/>
  <c r="N188" i="140" s="1"/>
  <c r="I191" i="140"/>
  <c r="N191" i="140" s="1"/>
  <c r="I196" i="140"/>
  <c r="N196" i="140" s="1"/>
  <c r="I194" i="140"/>
  <c r="N194" i="140" s="1"/>
  <c r="I197" i="140"/>
  <c r="N197" i="140" s="1"/>
  <c r="I192" i="140"/>
  <c r="N192" i="140" s="1"/>
  <c r="J221" i="140"/>
  <c r="I225" i="140"/>
  <c r="N225" i="140" s="1"/>
  <c r="J208" i="140"/>
  <c r="K39" i="203" l="1"/>
  <c r="L31" i="203"/>
  <c r="K36" i="203"/>
  <c r="K221" i="140"/>
  <c r="L221" i="140"/>
  <c r="L208" i="140"/>
  <c r="K208" i="140"/>
  <c r="U208" i="140"/>
  <c r="U221" i="140"/>
  <c r="G198" i="140"/>
  <c r="X198" i="140" s="1"/>
  <c r="G197" i="140"/>
  <c r="G196" i="140"/>
  <c r="X196" i="140" s="1"/>
  <c r="G195" i="140"/>
  <c r="G194" i="140"/>
  <c r="X194" i="140" s="1"/>
  <c r="G193" i="140"/>
  <c r="G192" i="140"/>
  <c r="X192" i="140" s="1"/>
  <c r="J225" i="140"/>
  <c r="K225" i="140" l="1"/>
  <c r="L225" i="140"/>
  <c r="J194" i="140"/>
  <c r="U225" i="140"/>
  <c r="J192" i="140"/>
  <c r="J196" i="140"/>
  <c r="J198" i="140"/>
  <c r="J193" i="140"/>
  <c r="X193" i="140"/>
  <c r="J195" i="140"/>
  <c r="X195" i="140"/>
  <c r="J197" i="140"/>
  <c r="X197" i="140"/>
  <c r="G191" i="140"/>
  <c r="C6" i="109"/>
  <c r="F6" i="109" s="1"/>
  <c r="G12" i="140"/>
  <c r="X12" i="140" s="1"/>
  <c r="C32" i="109"/>
  <c r="G41" i="140"/>
  <c r="X41" i="140" s="1"/>
  <c r="C43" i="210"/>
  <c r="F43" i="210" s="1"/>
  <c r="S43" i="210" l="1"/>
  <c r="S46" i="210" s="1"/>
  <c r="S47" i="210" s="1"/>
  <c r="M43" i="210"/>
  <c r="M46" i="210" s="1"/>
  <c r="M48" i="210" s="1"/>
  <c r="H49" i="210" s="1"/>
  <c r="K197" i="140"/>
  <c r="L197" i="140"/>
  <c r="K198" i="140"/>
  <c r="L198" i="140"/>
  <c r="L192" i="140"/>
  <c r="K192" i="140"/>
  <c r="L194" i="140"/>
  <c r="K194" i="140"/>
  <c r="K195" i="140"/>
  <c r="L195" i="140"/>
  <c r="K193" i="140"/>
  <c r="L193" i="140"/>
  <c r="K196" i="140"/>
  <c r="L196" i="140"/>
  <c r="U194" i="140"/>
  <c r="U198" i="140"/>
  <c r="U192" i="140"/>
  <c r="U197" i="140"/>
  <c r="U195" i="140"/>
  <c r="U196" i="140"/>
  <c r="J191" i="140"/>
  <c r="X191" i="140"/>
  <c r="U193" i="140"/>
  <c r="F32" i="109"/>
  <c r="N32" i="109" s="1"/>
  <c r="G188" i="140"/>
  <c r="G189" i="140"/>
  <c r="K191" i="140" l="1"/>
  <c r="L191" i="140"/>
  <c r="U149" i="140"/>
  <c r="J189" i="140"/>
  <c r="X189" i="140"/>
  <c r="J188" i="140"/>
  <c r="X188" i="140"/>
  <c r="U191" i="140"/>
  <c r="S32" i="109"/>
  <c r="C37" i="109"/>
  <c r="F37" i="109" s="1"/>
  <c r="S37" i="109" s="1"/>
  <c r="G45" i="140"/>
  <c r="X45" i="140" s="1"/>
  <c r="C43" i="109"/>
  <c r="F43" i="109" s="1"/>
  <c r="S43" i="109" s="1"/>
  <c r="G51" i="140"/>
  <c r="X51" i="140" s="1"/>
  <c r="L189" i="140" l="1"/>
  <c r="K189" i="140"/>
  <c r="L188" i="140"/>
  <c r="K188" i="140"/>
  <c r="U188" i="140"/>
  <c r="U189" i="140"/>
  <c r="C36" i="109"/>
  <c r="F36" i="109" s="1"/>
  <c r="S36" i="109" s="1"/>
  <c r="G44" i="140"/>
  <c r="X44" i="140" s="1"/>
  <c r="U157" i="140" l="1"/>
  <c r="G35" i="140"/>
  <c r="X35" i="140" s="1"/>
  <c r="C26" i="109"/>
  <c r="F26" i="109" s="1"/>
  <c r="G201" i="140"/>
  <c r="X201" i="140" s="1"/>
  <c r="C20" i="109"/>
  <c r="F20" i="109" s="1"/>
  <c r="G27" i="140"/>
  <c r="X27" i="140" s="1"/>
  <c r="C30" i="109"/>
  <c r="F30" i="109" s="1"/>
  <c r="N30" i="109" s="1"/>
  <c r="G39" i="140"/>
  <c r="X39" i="140" s="1"/>
  <c r="C31" i="109"/>
  <c r="F31" i="109" s="1"/>
  <c r="N31" i="109" s="1"/>
  <c r="G40" i="140"/>
  <c r="X40" i="140" s="1"/>
  <c r="F25" i="109"/>
  <c r="C34" i="109"/>
  <c r="F34" i="109" s="1"/>
  <c r="S34" i="109" s="1"/>
  <c r="G43" i="140"/>
  <c r="X43" i="140" s="1"/>
  <c r="L20" i="109" l="1"/>
  <c r="I20" i="109"/>
  <c r="S31" i="109"/>
  <c r="S30" i="109"/>
  <c r="Q26" i="109"/>
  <c r="S26" i="109"/>
  <c r="S20" i="109"/>
  <c r="Q25" i="109"/>
  <c r="S25" i="109"/>
  <c r="Q46" i="109" l="1"/>
  <c r="Q48" i="109" l="1"/>
  <c r="J70" i="140"/>
  <c r="G174" i="140"/>
  <c r="X174" i="140" s="1"/>
  <c r="J164" i="140"/>
  <c r="K70" i="140" l="1"/>
  <c r="L70" i="140"/>
  <c r="L164" i="140"/>
  <c r="K164" i="140"/>
  <c r="U164" i="140"/>
  <c r="U70" i="140"/>
  <c r="U254" i="140"/>
  <c r="U253" i="140"/>
  <c r="G184" i="140" l="1"/>
  <c r="X184" i="140" s="1"/>
  <c r="G187" i="140"/>
  <c r="X187" i="140" s="1"/>
  <c r="G222" i="140"/>
  <c r="X222" i="140" s="1"/>
  <c r="I84" i="134"/>
  <c r="K1555" i="132" s="1"/>
  <c r="M1555" i="132" s="1"/>
  <c r="K1535" i="132"/>
  <c r="M1535" i="132" s="1"/>
  <c r="I63" i="134"/>
  <c r="K1511" i="132" s="1"/>
  <c r="M1511" i="132" s="1"/>
  <c r="K1485" i="132"/>
  <c r="M1485" i="132" s="1"/>
  <c r="G210" i="140"/>
  <c r="X210" i="140" s="1"/>
  <c r="G173" i="140" l="1"/>
  <c r="X173" i="140" s="1"/>
  <c r="G190" i="140"/>
  <c r="X190" i="140" s="1"/>
  <c r="K1563" i="132"/>
  <c r="G241" i="140"/>
  <c r="X241" i="140" s="1"/>
  <c r="I210" i="140"/>
  <c r="N210" i="140" s="1"/>
  <c r="I222" i="140"/>
  <c r="N222" i="140" s="1"/>
  <c r="I204" i="140"/>
  <c r="N204" i="140" s="1"/>
  <c r="I217" i="140"/>
  <c r="N217" i="140" s="1"/>
  <c r="G214" i="140"/>
  <c r="X214" i="140" s="1"/>
  <c r="G212" i="140"/>
  <c r="X212" i="140" s="1"/>
  <c r="G217" i="140"/>
  <c r="X217" i="140" s="1"/>
  <c r="G50" i="140"/>
  <c r="X50" i="140" s="1"/>
  <c r="C42" i="109"/>
  <c r="F42" i="109" s="1"/>
  <c r="S42" i="109" s="1"/>
  <c r="G234" i="140"/>
  <c r="X234" i="140" s="1"/>
  <c r="G227" i="140"/>
  <c r="X227" i="140" s="1"/>
  <c r="G203" i="140"/>
  <c r="X203" i="140" s="1"/>
  <c r="M1563" i="132" l="1"/>
  <c r="I37" i="203"/>
  <c r="G178" i="140"/>
  <c r="X178" i="140" s="1"/>
  <c r="I119" i="134"/>
  <c r="K1520" i="132" s="1"/>
  <c r="G175" i="140"/>
  <c r="X175" i="140" s="1"/>
  <c r="X171" i="140"/>
  <c r="J210" i="140"/>
  <c r="J222" i="140"/>
  <c r="J217" i="140"/>
  <c r="G215" i="140"/>
  <c r="X215" i="140" s="1"/>
  <c r="G202" i="140"/>
  <c r="X202" i="140" s="1"/>
  <c r="G204" i="140"/>
  <c r="M1520" i="132" l="1"/>
  <c r="I33" i="203"/>
  <c r="F45" i="205"/>
  <c r="H45" i="205" s="1"/>
  <c r="E37" i="203"/>
  <c r="J37" i="203"/>
  <c r="L222" i="140"/>
  <c r="K222" i="140"/>
  <c r="K217" i="140"/>
  <c r="L217" i="140"/>
  <c r="L210" i="140"/>
  <c r="K210" i="140"/>
  <c r="I223" i="140"/>
  <c r="N223" i="140" s="1"/>
  <c r="U217" i="140"/>
  <c r="U222" i="140"/>
  <c r="U210" i="140"/>
  <c r="J204" i="140"/>
  <c r="X204" i="140"/>
  <c r="G176" i="140"/>
  <c r="X176" i="140" s="1"/>
  <c r="I212" i="140"/>
  <c r="N212" i="140" s="1"/>
  <c r="U37" i="203" l="1"/>
  <c r="N37" i="203"/>
  <c r="F37" i="203"/>
  <c r="K37" i="203" s="1"/>
  <c r="F41" i="205"/>
  <c r="H41" i="205" s="1"/>
  <c r="E33" i="203"/>
  <c r="J33" i="203"/>
  <c r="L204" i="140"/>
  <c r="K204" i="140"/>
  <c r="U204" i="140"/>
  <c r="X165" i="140"/>
  <c r="J223" i="140"/>
  <c r="J212" i="140"/>
  <c r="K223" i="140" l="1"/>
  <c r="L223" i="140"/>
  <c r="F33" i="203"/>
  <c r="K33" i="203" s="1"/>
  <c r="N33" i="203"/>
  <c r="L212" i="140"/>
  <c r="K212" i="140"/>
  <c r="U33" i="203"/>
  <c r="L37" i="203"/>
  <c r="U212" i="140"/>
  <c r="U223" i="140"/>
  <c r="X166" i="140"/>
  <c r="L33" i="203" l="1"/>
  <c r="G170" i="140"/>
  <c r="I223" i="134"/>
  <c r="I224" i="134" s="1"/>
  <c r="I38" i="134"/>
  <c r="K1481" i="132" s="1"/>
  <c r="M1481" i="132" s="1"/>
  <c r="G107" i="133"/>
  <c r="G106" i="133"/>
  <c r="G105" i="133"/>
  <c r="G104" i="133"/>
  <c r="G103" i="133"/>
  <c r="G102" i="133"/>
  <c r="G97" i="133"/>
  <c r="G99" i="133" s="1"/>
  <c r="G93" i="133"/>
  <c r="G95" i="133" s="1"/>
  <c r="K1386" i="132" s="1"/>
  <c r="G85" i="133"/>
  <c r="G87" i="133" s="1"/>
  <c r="K1368" i="132" s="1"/>
  <c r="M1368" i="132" s="1"/>
  <c r="G82" i="133"/>
  <c r="G84" i="133" s="1"/>
  <c r="K1372" i="132" s="1"/>
  <c r="G79" i="133"/>
  <c r="G81" i="133" s="1"/>
  <c r="K1378" i="132" s="1"/>
  <c r="M1378" i="132" s="1"/>
  <c r="G76" i="133"/>
  <c r="G78" i="133" s="1"/>
  <c r="G71" i="133"/>
  <c r="G70" i="133"/>
  <c r="G66" i="133"/>
  <c r="G68" i="133" s="1"/>
  <c r="G62" i="133"/>
  <c r="G64" i="133" s="1"/>
  <c r="K1390" i="132" s="1"/>
  <c r="G54" i="133"/>
  <c r="G56" i="133" s="1"/>
  <c r="K1412" i="132" s="1"/>
  <c r="G49" i="133"/>
  <c r="G51" i="133" s="1"/>
  <c r="G52" i="133" s="1"/>
  <c r="K1407" i="132" s="1"/>
  <c r="G43" i="133"/>
  <c r="G45" i="133" s="1"/>
  <c r="G46" i="133" s="1"/>
  <c r="K1403" i="132" s="1"/>
  <c r="M1403" i="132" s="1"/>
  <c r="G37" i="133"/>
  <c r="G39" i="133" s="1"/>
  <c r="G40" i="133" s="1"/>
  <c r="K1399" i="132" s="1"/>
  <c r="G32" i="133"/>
  <c r="G34" i="133" s="1"/>
  <c r="G27" i="133"/>
  <c r="G26" i="133"/>
  <c r="G21" i="133"/>
  <c r="G20" i="133"/>
  <c r="G19" i="133"/>
  <c r="G18" i="133"/>
  <c r="G7" i="133"/>
  <c r="G6" i="133"/>
  <c r="G5" i="133"/>
  <c r="I225" i="134" l="1"/>
  <c r="I226" i="134" s="1"/>
  <c r="K1578" i="132" s="1"/>
  <c r="M1412" i="132"/>
  <c r="I27" i="203"/>
  <c r="M1399" i="132"/>
  <c r="I25" i="203"/>
  <c r="M1407" i="132"/>
  <c r="I26" i="203"/>
  <c r="M1390" i="132"/>
  <c r="I24" i="203"/>
  <c r="M1372" i="132"/>
  <c r="I22" i="203"/>
  <c r="M1386" i="132"/>
  <c r="I23" i="203"/>
  <c r="I167" i="140"/>
  <c r="N167" i="140" s="1"/>
  <c r="I171" i="140"/>
  <c r="N171" i="140" s="1"/>
  <c r="K1574" i="132"/>
  <c r="I181" i="140"/>
  <c r="N181" i="140" s="1"/>
  <c r="X170" i="140"/>
  <c r="I157" i="134"/>
  <c r="I104" i="134"/>
  <c r="K1516" i="132" s="1"/>
  <c r="I17" i="134"/>
  <c r="K1469" i="132" s="1"/>
  <c r="M1469" i="132" s="1"/>
  <c r="K1631" i="132"/>
  <c r="I189" i="134"/>
  <c r="K1528" i="132" s="1"/>
  <c r="H307" i="134"/>
  <c r="I307" i="134" s="1"/>
  <c r="I203" i="140"/>
  <c r="N203" i="140" s="1"/>
  <c r="G22" i="133"/>
  <c r="G24" i="133" s="1"/>
  <c r="K1426" i="132" s="1"/>
  <c r="G28" i="133"/>
  <c r="G30" i="133" s="1"/>
  <c r="G72" i="133"/>
  <c r="G74" i="133" s="1"/>
  <c r="K1432" i="132" s="1"/>
  <c r="M1432" i="132" s="1"/>
  <c r="I176" i="140"/>
  <c r="N176" i="140" s="1"/>
  <c r="I190" i="140"/>
  <c r="N190" i="140" s="1"/>
  <c r="G108" i="133"/>
  <c r="G110" i="133" s="1"/>
  <c r="G111" i="133" s="1"/>
  <c r="G8" i="133"/>
  <c r="G10" i="133" s="1"/>
  <c r="K1415" i="132" s="1"/>
  <c r="M1426" i="132" l="1"/>
  <c r="I29" i="203"/>
  <c r="M1528" i="132"/>
  <c r="I35" i="203"/>
  <c r="M1578" i="132"/>
  <c r="I41" i="203"/>
  <c r="M1516" i="132"/>
  <c r="I32" i="203"/>
  <c r="M1574" i="132"/>
  <c r="I40" i="203"/>
  <c r="M1415" i="132"/>
  <c r="I28" i="203"/>
  <c r="M1631" i="132"/>
  <c r="I43" i="203"/>
  <c r="F31" i="205"/>
  <c r="H31" i="205" s="1"/>
  <c r="E23" i="203"/>
  <c r="J23" i="203"/>
  <c r="F30" i="205"/>
  <c r="H30" i="205" s="1"/>
  <c r="E22" i="203"/>
  <c r="J22" i="203"/>
  <c r="F32" i="205"/>
  <c r="H32" i="205" s="1"/>
  <c r="E24" i="203"/>
  <c r="J24" i="203"/>
  <c r="F34" i="205"/>
  <c r="H34" i="205" s="1"/>
  <c r="E26" i="203"/>
  <c r="J26" i="203"/>
  <c r="F33" i="205"/>
  <c r="H33" i="205" s="1"/>
  <c r="E25" i="203"/>
  <c r="J25" i="203"/>
  <c r="F35" i="205"/>
  <c r="H35" i="205" s="1"/>
  <c r="E27" i="203"/>
  <c r="J27" i="203"/>
  <c r="I177" i="134"/>
  <c r="K1524" i="132" s="1"/>
  <c r="I308" i="134"/>
  <c r="K1649" i="132" s="1"/>
  <c r="M1649" i="132" s="1"/>
  <c r="J167" i="140"/>
  <c r="J171" i="140"/>
  <c r="I201" i="140"/>
  <c r="N201" i="140" s="1"/>
  <c r="I173" i="140"/>
  <c r="N173" i="140" s="1"/>
  <c r="I172" i="140"/>
  <c r="N172" i="140" s="1"/>
  <c r="I165" i="140"/>
  <c r="N165" i="140" s="1"/>
  <c r="I166" i="140"/>
  <c r="N166" i="140" s="1"/>
  <c r="I170" i="140"/>
  <c r="N170" i="140" s="1"/>
  <c r="J181" i="140"/>
  <c r="I227" i="140"/>
  <c r="N227" i="140" s="1"/>
  <c r="I184" i="140"/>
  <c r="N184" i="140" s="1"/>
  <c r="I180" i="140"/>
  <c r="N180" i="140" s="1"/>
  <c r="I215" i="140"/>
  <c r="N215" i="140" s="1"/>
  <c r="J203" i="140"/>
  <c r="I178" i="140"/>
  <c r="N178" i="140" s="1"/>
  <c r="J190" i="140"/>
  <c r="J176" i="140"/>
  <c r="I175" i="140"/>
  <c r="N175" i="140" s="1"/>
  <c r="J187" i="140"/>
  <c r="I174" i="140"/>
  <c r="N174" i="140" s="1"/>
  <c r="L176" i="140" l="1"/>
  <c r="K176" i="140"/>
  <c r="M1524" i="132"/>
  <c r="I34" i="203"/>
  <c r="N27" i="203"/>
  <c r="F27" i="203"/>
  <c r="K27" i="203" s="1"/>
  <c r="U25" i="203"/>
  <c r="N26" i="203"/>
  <c r="F26" i="203"/>
  <c r="L26" i="203" s="1"/>
  <c r="U24" i="203"/>
  <c r="N22" i="203"/>
  <c r="F22" i="203"/>
  <c r="K22" i="203" s="1"/>
  <c r="U23" i="203"/>
  <c r="K171" i="140"/>
  <c r="L171" i="140"/>
  <c r="U27" i="203"/>
  <c r="N25" i="203"/>
  <c r="F25" i="203"/>
  <c r="K25" i="203" s="1"/>
  <c r="U26" i="203"/>
  <c r="N24" i="203"/>
  <c r="F24" i="203"/>
  <c r="L24" i="203" s="1"/>
  <c r="U22" i="203"/>
  <c r="N23" i="203"/>
  <c r="F23" i="203"/>
  <c r="K23" i="203" s="1"/>
  <c r="F51" i="205"/>
  <c r="H51" i="205" s="1"/>
  <c r="E43" i="203"/>
  <c r="J43" i="203"/>
  <c r="F36" i="205"/>
  <c r="H36" i="205" s="1"/>
  <c r="E28" i="203"/>
  <c r="J28" i="203"/>
  <c r="E40" i="203"/>
  <c r="F48" i="205"/>
  <c r="H48" i="205" s="1"/>
  <c r="J40" i="203"/>
  <c r="E32" i="203"/>
  <c r="F40" i="205"/>
  <c r="H40" i="205" s="1"/>
  <c r="J32" i="203"/>
  <c r="F49" i="205"/>
  <c r="H49" i="205" s="1"/>
  <c r="E41" i="203"/>
  <c r="J41" i="203"/>
  <c r="E35" i="203"/>
  <c r="F43" i="205"/>
  <c r="H43" i="205" s="1"/>
  <c r="J35" i="203"/>
  <c r="F37" i="205"/>
  <c r="H37" i="205" s="1"/>
  <c r="E29" i="203"/>
  <c r="J29" i="203"/>
  <c r="L190" i="140"/>
  <c r="K190" i="140"/>
  <c r="L187" i="140"/>
  <c r="K187" i="140"/>
  <c r="K203" i="140"/>
  <c r="L203" i="140"/>
  <c r="K181" i="140"/>
  <c r="L181" i="140"/>
  <c r="K167" i="140"/>
  <c r="L167" i="140"/>
  <c r="J170" i="140"/>
  <c r="J165" i="140"/>
  <c r="I214" i="140"/>
  <c r="N214" i="140" s="1"/>
  <c r="U171" i="140"/>
  <c r="U167" i="140"/>
  <c r="J166" i="140"/>
  <c r="J201" i="140"/>
  <c r="I228" i="140"/>
  <c r="N228" i="140" s="1"/>
  <c r="I211" i="140"/>
  <c r="N211" i="140" s="1"/>
  <c r="J172" i="140"/>
  <c r="U176" i="140"/>
  <c r="U187" i="140"/>
  <c r="U190" i="140"/>
  <c r="U203" i="140"/>
  <c r="J227" i="140"/>
  <c r="J184" i="140"/>
  <c r="J180" i="140"/>
  <c r="I234" i="140"/>
  <c r="N234" i="140" s="1"/>
  <c r="I241" i="140"/>
  <c r="N241" i="140" s="1"/>
  <c r="J215" i="140"/>
  <c r="J174" i="140"/>
  <c r="J173" i="140"/>
  <c r="J175" i="140"/>
  <c r="J178" i="140"/>
  <c r="G563" i="107"/>
  <c r="K26" i="203" l="1"/>
  <c r="L27" i="203"/>
  <c r="L22" i="203"/>
  <c r="K175" i="140"/>
  <c r="L175" i="140"/>
  <c r="L178" i="140"/>
  <c r="K178" i="140"/>
  <c r="K173" i="140"/>
  <c r="L173" i="140"/>
  <c r="K215" i="140"/>
  <c r="L215" i="140"/>
  <c r="U166" i="140"/>
  <c r="L166" i="140"/>
  <c r="K166" i="140"/>
  <c r="U29" i="203"/>
  <c r="U41" i="203"/>
  <c r="U40" i="203"/>
  <c r="N40" i="203"/>
  <c r="F40" i="203"/>
  <c r="L40" i="203" s="1"/>
  <c r="N28" i="203"/>
  <c r="F28" i="203"/>
  <c r="K28" i="203" s="1"/>
  <c r="U43" i="203"/>
  <c r="L23" i="203"/>
  <c r="K24" i="203"/>
  <c r="L180" i="140"/>
  <c r="K180" i="140"/>
  <c r="K227" i="140"/>
  <c r="L227" i="140"/>
  <c r="U170" i="140"/>
  <c r="L170" i="140"/>
  <c r="K170" i="140"/>
  <c r="N29" i="203"/>
  <c r="F29" i="203"/>
  <c r="K29" i="203" s="1"/>
  <c r="U35" i="203"/>
  <c r="N35" i="203"/>
  <c r="F35" i="203"/>
  <c r="L35" i="203" s="1"/>
  <c r="N41" i="203"/>
  <c r="F41" i="203"/>
  <c r="K41" i="203" s="1"/>
  <c r="U32" i="203"/>
  <c r="N32" i="203"/>
  <c r="F32" i="203"/>
  <c r="L32" i="203" s="1"/>
  <c r="U28" i="203"/>
  <c r="F43" i="203"/>
  <c r="K43" i="203" s="1"/>
  <c r="N43" i="203"/>
  <c r="F42" i="205"/>
  <c r="H42" i="205" s="1"/>
  <c r="E34" i="203"/>
  <c r="J34" i="203"/>
  <c r="L25" i="203"/>
  <c r="L184" i="140"/>
  <c r="K184" i="140"/>
  <c r="K201" i="140"/>
  <c r="L201" i="140"/>
  <c r="L174" i="140"/>
  <c r="K174" i="140"/>
  <c r="L172" i="140"/>
  <c r="K172" i="140"/>
  <c r="K165" i="140"/>
  <c r="L165" i="140"/>
  <c r="U165" i="140"/>
  <c r="J214" i="140"/>
  <c r="U201" i="140"/>
  <c r="J228" i="140"/>
  <c r="K563" i="107"/>
  <c r="U172" i="140"/>
  <c r="U174" i="140"/>
  <c r="U178" i="140"/>
  <c r="U173" i="140"/>
  <c r="U180" i="140"/>
  <c r="U175" i="140"/>
  <c r="U184" i="140"/>
  <c r="U227" i="140"/>
  <c r="U215" i="140"/>
  <c r="J229" i="140"/>
  <c r="J234" i="140"/>
  <c r="J241" i="140"/>
  <c r="J211" i="140"/>
  <c r="L28" i="203" l="1"/>
  <c r="K35" i="203"/>
  <c r="L234" i="140"/>
  <c r="K234" i="140"/>
  <c r="L228" i="140"/>
  <c r="K228" i="140"/>
  <c r="U34" i="203"/>
  <c r="K32" i="203"/>
  <c r="L43" i="203"/>
  <c r="K40" i="203"/>
  <c r="L41" i="203"/>
  <c r="L29" i="203"/>
  <c r="K211" i="140"/>
  <c r="L211" i="140"/>
  <c r="U214" i="140"/>
  <c r="L214" i="140"/>
  <c r="K214" i="140"/>
  <c r="F34" i="203"/>
  <c r="K34" i="203" s="1"/>
  <c r="N34" i="203"/>
  <c r="K241" i="140"/>
  <c r="L241" i="140"/>
  <c r="K229" i="140"/>
  <c r="L229" i="140"/>
  <c r="U228" i="140"/>
  <c r="U241" i="140"/>
  <c r="U234" i="140"/>
  <c r="U229" i="140"/>
  <c r="U211" i="140"/>
  <c r="L34" i="203" l="1"/>
  <c r="F292" i="107"/>
  <c r="G292" i="107" s="1"/>
  <c r="F291" i="107"/>
  <c r="G291" i="107" s="1"/>
  <c r="G77" i="107" l="1"/>
  <c r="G78" i="107"/>
  <c r="G79" i="107" l="1"/>
  <c r="G80" i="107" s="1"/>
  <c r="G81" i="107" s="1"/>
  <c r="G82" i="107" s="1"/>
  <c r="G41" i="107"/>
  <c r="K70" i="132" l="1"/>
  <c r="I15" i="140" s="1"/>
  <c r="N15" i="140" s="1"/>
  <c r="K12" i="132"/>
  <c r="I8" i="140" s="1"/>
  <c r="N8" i="140" s="1"/>
  <c r="N34" i="109" l="1"/>
  <c r="G15" i="140"/>
  <c r="J15" i="140" l="1"/>
  <c r="X15" i="140"/>
  <c r="C13" i="109"/>
  <c r="F13" i="109" s="1"/>
  <c r="G19" i="140"/>
  <c r="X19" i="140" s="1"/>
  <c r="F15" i="109"/>
  <c r="G22" i="140"/>
  <c r="X22" i="140" s="1"/>
  <c r="F16" i="109"/>
  <c r="G21" i="140"/>
  <c r="X21" i="140" s="1"/>
  <c r="C14" i="109"/>
  <c r="F14" i="109" s="1"/>
  <c r="G20" i="140"/>
  <c r="X20" i="140" s="1"/>
  <c r="C35" i="109"/>
  <c r="F35" i="109" s="1"/>
  <c r="G31" i="140"/>
  <c r="X31" i="140" s="1"/>
  <c r="C9" i="109"/>
  <c r="G11" i="140"/>
  <c r="X11" i="140" s="1"/>
  <c r="M70" i="132"/>
  <c r="L14" i="109" l="1"/>
  <c r="I14" i="109"/>
  <c r="L16" i="109"/>
  <c r="I16" i="109"/>
  <c r="L13" i="109"/>
  <c r="I13" i="109"/>
  <c r="L15" i="109"/>
  <c r="I15" i="109"/>
  <c r="L15" i="140"/>
  <c r="K15" i="140"/>
  <c r="S16" i="109"/>
  <c r="S35" i="109"/>
  <c r="I35" i="109"/>
  <c r="L35" i="109"/>
  <c r="U15" i="140"/>
  <c r="S14" i="109"/>
  <c r="S15" i="109"/>
  <c r="S13" i="109"/>
  <c r="F9" i="109"/>
  <c r="L9" i="109" s="1"/>
  <c r="C12" i="109"/>
  <c r="F12" i="109" s="1"/>
  <c r="G18" i="140"/>
  <c r="X18" i="140" s="1"/>
  <c r="C11" i="109"/>
  <c r="F11" i="109" s="1"/>
  <c r="G17" i="140"/>
  <c r="X17" i="140" s="1"/>
  <c r="L11" i="109" l="1"/>
  <c r="I11" i="109"/>
  <c r="L12" i="109"/>
  <c r="I12" i="109"/>
  <c r="S11" i="109"/>
  <c r="S12" i="109"/>
  <c r="H9" i="109"/>
  <c r="S9" i="109"/>
  <c r="G9" i="140"/>
  <c r="X9" i="140" s="1"/>
  <c r="C8" i="109"/>
  <c r="F8" i="109" s="1"/>
  <c r="G10" i="140"/>
  <c r="X10" i="140" s="1"/>
  <c r="C10" i="109"/>
  <c r="F10" i="109" s="1"/>
  <c r="G16" i="140"/>
  <c r="X16" i="140" s="1"/>
  <c r="L10" i="109" l="1"/>
  <c r="I10" i="109"/>
  <c r="S8" i="109"/>
  <c r="L8" i="109"/>
  <c r="S10" i="109"/>
  <c r="M12" i="132" l="1"/>
  <c r="G8" i="140"/>
  <c r="J8" i="140" s="1"/>
  <c r="U8" i="140" s="1"/>
  <c r="X8" i="140" l="1"/>
  <c r="L8" i="140"/>
  <c r="K8" i="140"/>
  <c r="K48" i="109" l="1"/>
  <c r="J48" i="109"/>
  <c r="F4" i="109"/>
  <c r="R4" i="109" s="1"/>
  <c r="R46" i="109" s="1"/>
  <c r="R48" i="109" s="1"/>
  <c r="G440" i="107"/>
  <c r="E7" i="107"/>
  <c r="G9" i="107"/>
  <c r="E12" i="107"/>
  <c r="G14" i="107"/>
  <c r="E17" i="107"/>
  <c r="E22" i="107"/>
  <c r="G24" i="107"/>
  <c r="E27" i="107"/>
  <c r="G29" i="107"/>
  <c r="G52" i="107"/>
  <c r="G438" i="107"/>
  <c r="G93" i="107"/>
  <c r="G456" i="107"/>
  <c r="G107" i="107"/>
  <c r="G117" i="107"/>
  <c r="G118" i="107"/>
  <c r="G121" i="107"/>
  <c r="G154" i="107"/>
  <c r="K154" i="107" s="1"/>
  <c r="F162" i="107"/>
  <c r="G162" i="107"/>
  <c r="F169" i="107"/>
  <c r="G169" i="107"/>
  <c r="G183" i="107"/>
  <c r="K183" i="107" s="1"/>
  <c r="F191" i="107"/>
  <c r="G191" i="107"/>
  <c r="F199" i="107"/>
  <c r="G199" i="107"/>
  <c r="F207" i="107"/>
  <c r="G207" i="107"/>
  <c r="F215" i="107"/>
  <c r="G215" i="107"/>
  <c r="F223" i="107"/>
  <c r="G223" i="107"/>
  <c r="G301" i="107"/>
  <c r="G303" i="107"/>
  <c r="G328" i="107"/>
  <c r="G329" i="107"/>
  <c r="G330" i="107"/>
  <c r="G422" i="107"/>
  <c r="K422" i="107" s="1"/>
  <c r="G473" i="107"/>
  <c r="K473" i="107" s="1"/>
  <c r="G477" i="107"/>
  <c r="G490" i="107"/>
  <c r="G600" i="107"/>
  <c r="G604" i="107"/>
  <c r="K604" i="107" s="1"/>
  <c r="G709" i="107"/>
  <c r="G718" i="107"/>
  <c r="G730" i="107"/>
  <c r="G734" i="107"/>
  <c r="G738" i="107"/>
  <c r="G749" i="107"/>
  <c r="G752" i="107"/>
  <c r="G757" i="107"/>
  <c r="G768" i="107"/>
  <c r="G772" i="107"/>
  <c r="G775" i="107"/>
  <c r="G816" i="107"/>
  <c r="G894" i="107"/>
  <c r="G901" i="107"/>
  <c r="G62" i="107"/>
  <c r="G331" i="107" l="1"/>
  <c r="G332" i="107" s="1"/>
  <c r="G333" i="107" s="1"/>
  <c r="K19" i="132"/>
  <c r="M19" i="132" s="1"/>
  <c r="G716" i="107"/>
  <c r="K303" i="107"/>
  <c r="F464" i="107"/>
  <c r="G464" i="107"/>
  <c r="G304" i="107"/>
  <c r="K304" i="107" s="1"/>
  <c r="G19" i="107"/>
  <c r="G831" i="107"/>
  <c r="F477" i="107"/>
  <c r="G404" i="107"/>
  <c r="G755" i="107"/>
  <c r="G421" i="107"/>
  <c r="G717" i="107"/>
  <c r="G152" i="107"/>
  <c r="G116" i="107"/>
  <c r="G153" i="107"/>
  <c r="K153" i="107" s="1"/>
  <c r="G439" i="107"/>
  <c r="F446" i="107" s="1"/>
  <c r="G287" i="107"/>
  <c r="G88" i="107"/>
  <c r="G602" i="107"/>
  <c r="K602" i="107" s="1"/>
  <c r="G774" i="107"/>
  <c r="G286" i="107"/>
  <c r="G756" i="107"/>
  <c r="G157" i="107"/>
  <c r="G489" i="107"/>
  <c r="G603" i="107"/>
  <c r="K603" i="107" s="1"/>
  <c r="G737" i="107"/>
  <c r="G472" i="107"/>
  <c r="K472" i="107" s="1"/>
  <c r="G158" i="107"/>
  <c r="G488" i="107"/>
  <c r="G92" i="107"/>
  <c r="G403" i="107"/>
  <c r="G736" i="107"/>
  <c r="G471" i="107"/>
  <c r="G282" i="107"/>
  <c r="G505" i="107"/>
  <c r="G522" i="107"/>
  <c r="G507" i="107"/>
  <c r="K507" i="107" s="1"/>
  <c r="G60" i="107"/>
  <c r="G63" i="107" s="1"/>
  <c r="G120" i="107"/>
  <c r="G896" i="107"/>
  <c r="F898" i="107" s="1"/>
  <c r="G405" i="107"/>
  <c r="G815" i="107"/>
  <c r="G821" i="107" s="1"/>
  <c r="G185" i="107"/>
  <c r="G285" i="107"/>
  <c r="G122" i="107"/>
  <c r="G102" i="107"/>
  <c r="G420" i="107"/>
  <c r="G156" i="107"/>
  <c r="G90" i="107"/>
  <c r="G106" i="107"/>
  <c r="O5" i="109"/>
  <c r="P6" i="109"/>
  <c r="M26" i="109"/>
  <c r="G771" i="107"/>
  <c r="G770" i="107"/>
  <c r="G750" i="107"/>
  <c r="G732" i="107"/>
  <c r="G416" i="107"/>
  <c r="G150" i="107"/>
  <c r="G114" i="107"/>
  <c r="G99" i="107"/>
  <c r="G12" i="107"/>
  <c r="G751" i="107"/>
  <c r="G733" i="107"/>
  <c r="G712" i="107"/>
  <c r="G711" i="107"/>
  <c r="G710" i="107"/>
  <c r="G300" i="107"/>
  <c r="G85" i="107"/>
  <c r="G54" i="107"/>
  <c r="G55" i="107" s="1"/>
  <c r="G56" i="107" s="1"/>
  <c r="G22" i="107"/>
  <c r="G17" i="107"/>
  <c r="G7" i="107"/>
  <c r="G434" i="107"/>
  <c r="G64" i="107" l="1"/>
  <c r="G65" i="107" s="1"/>
  <c r="I9" i="140"/>
  <c r="N9" i="140" s="1"/>
  <c r="K1333" i="132"/>
  <c r="G305" i="107"/>
  <c r="E307" i="107" s="1"/>
  <c r="E309" i="107" s="1"/>
  <c r="F723" i="107"/>
  <c r="F779" i="107"/>
  <c r="G779" i="107"/>
  <c r="K522" i="107"/>
  <c r="K505" i="107"/>
  <c r="F496" i="107"/>
  <c r="G496" i="107"/>
  <c r="K471" i="107"/>
  <c r="K474" i="107" s="1"/>
  <c r="F479" i="107"/>
  <c r="G479" i="107"/>
  <c r="G428" i="107"/>
  <c r="K420" i="107"/>
  <c r="F428" i="107"/>
  <c r="K421" i="107"/>
  <c r="K305" i="107"/>
  <c r="K282" i="107"/>
  <c r="F411" i="107"/>
  <c r="G411" i="107"/>
  <c r="F308" i="107"/>
  <c r="K152" i="107"/>
  <c r="K159" i="107" s="1"/>
  <c r="G164" i="107"/>
  <c r="F171" i="107"/>
  <c r="F164" i="107"/>
  <c r="G171" i="107"/>
  <c r="G308" i="107"/>
  <c r="G446" i="107"/>
  <c r="G898" i="107"/>
  <c r="G905" i="107" s="1"/>
  <c r="K896" i="107"/>
  <c r="K907" i="107" s="1"/>
  <c r="K908" i="107" s="1"/>
  <c r="K605" i="107"/>
  <c r="F608" i="107"/>
  <c r="G608" i="107"/>
  <c r="F761" i="107"/>
  <c r="G506" i="107"/>
  <c r="K506" i="107" s="1"/>
  <c r="P46" i="109"/>
  <c r="O46" i="109"/>
  <c r="F836" i="107"/>
  <c r="G836" i="107" s="1"/>
  <c r="F832" i="107"/>
  <c r="G832" i="107" s="1"/>
  <c r="G833" i="107" s="1"/>
  <c r="E835" i="107" s="1"/>
  <c r="F817" i="107"/>
  <c r="G817" i="107" s="1"/>
  <c r="G818" i="107" s="1"/>
  <c r="E820" i="107" s="1"/>
  <c r="F821" i="107"/>
  <c r="G761" i="107"/>
  <c r="G723" i="107"/>
  <c r="G181" i="107"/>
  <c r="F742" i="107"/>
  <c r="G187" i="107"/>
  <c r="G524" i="107"/>
  <c r="K524" i="107" s="1"/>
  <c r="G182" i="107"/>
  <c r="K182" i="107" s="1"/>
  <c r="G186" i="107"/>
  <c r="G742" i="107"/>
  <c r="G86" i="107"/>
  <c r="G100" i="107"/>
  <c r="F33" i="107"/>
  <c r="F35" i="107"/>
  <c r="F32" i="107"/>
  <c r="F34" i="107"/>
  <c r="G658" i="107"/>
  <c r="K658" i="107" s="1"/>
  <c r="G638" i="107"/>
  <c r="K638" i="107" s="1"/>
  <c r="G657" i="107"/>
  <c r="K657" i="107" s="1"/>
  <c r="G637" i="107"/>
  <c r="K637" i="107" s="1"/>
  <c r="G656" i="107"/>
  <c r="G636" i="107"/>
  <c r="G70" i="107"/>
  <c r="G399" i="107"/>
  <c r="G557" i="107"/>
  <c r="F560" i="107"/>
  <c r="G560" i="107" s="1"/>
  <c r="G27" i="107"/>
  <c r="G565" i="107"/>
  <c r="K565" i="107" s="1"/>
  <c r="G179" i="107"/>
  <c r="F280" i="107"/>
  <c r="G280" i="107" s="1"/>
  <c r="G104" i="107"/>
  <c r="M42" i="109"/>
  <c r="M37" i="109"/>
  <c r="M43" i="109"/>
  <c r="M36" i="109"/>
  <c r="H8" i="109"/>
  <c r="H46" i="109" s="1"/>
  <c r="M25" i="109"/>
  <c r="G906" i="107" l="1"/>
  <c r="G907" i="107" s="1"/>
  <c r="G908" i="107" s="1"/>
  <c r="G66" i="107"/>
  <c r="K46" i="132" s="1"/>
  <c r="E310" i="107"/>
  <c r="K460" i="132" s="1"/>
  <c r="I68" i="140" s="1"/>
  <c r="N68" i="140" s="1"/>
  <c r="J9" i="140"/>
  <c r="L9" i="140" s="1"/>
  <c r="K62" i="132"/>
  <c r="I14" i="140" s="1"/>
  <c r="N14" i="140" s="1"/>
  <c r="M1333" i="132"/>
  <c r="I21" i="203"/>
  <c r="F307" i="107"/>
  <c r="F309" i="107" s="1"/>
  <c r="I159" i="140"/>
  <c r="N159" i="140" s="1"/>
  <c r="O48" i="109"/>
  <c r="K508" i="107"/>
  <c r="K656" i="107"/>
  <c r="K660" i="107" s="1"/>
  <c r="G663" i="107"/>
  <c r="F663" i="107"/>
  <c r="K636" i="107"/>
  <c r="K640" i="107" s="1"/>
  <c r="F643" i="107"/>
  <c r="G643" i="107"/>
  <c r="G513" i="107"/>
  <c r="F513" i="107"/>
  <c r="K423" i="107"/>
  <c r="K181" i="107"/>
  <c r="K188" i="107" s="1"/>
  <c r="G242" i="107"/>
  <c r="G233" i="107"/>
  <c r="G225" i="107"/>
  <c r="G217" i="107"/>
  <c r="G209" i="107"/>
  <c r="G193" i="107"/>
  <c r="F242" i="107"/>
  <c r="F233" i="107"/>
  <c r="F225" i="107"/>
  <c r="F217" i="107"/>
  <c r="F209" i="107"/>
  <c r="F201" i="107"/>
  <c r="F193" i="107"/>
  <c r="G201" i="107"/>
  <c r="P48" i="109"/>
  <c r="U156" i="140"/>
  <c r="G74" i="107"/>
  <c r="M46" i="109"/>
  <c r="E837" i="107"/>
  <c r="E838" i="107" s="1"/>
  <c r="F835" i="107"/>
  <c r="E822" i="107"/>
  <c r="E823" i="107" s="1"/>
  <c r="F820" i="107"/>
  <c r="F36" i="107"/>
  <c r="I202" i="140"/>
  <c r="N202" i="140" s="1"/>
  <c r="F650" i="107"/>
  <c r="G650" i="107" s="1"/>
  <c r="G692" i="107"/>
  <c r="G677" i="107"/>
  <c r="G651" i="107"/>
  <c r="G713" i="107"/>
  <c r="G436" i="107"/>
  <c r="G714" i="107"/>
  <c r="G23" i="107"/>
  <c r="G25" i="107" s="1"/>
  <c r="G731" i="107"/>
  <c r="G739" i="107" s="1"/>
  <c r="E741" i="107" s="1"/>
  <c r="E743" i="107" s="1"/>
  <c r="G769" i="107"/>
  <c r="G776" i="107" s="1"/>
  <c r="E778" i="107" s="1"/>
  <c r="E780" i="107" s="1"/>
  <c r="E781" i="107" s="1"/>
  <c r="G28" i="107"/>
  <c r="G30" i="107" s="1"/>
  <c r="G418" i="107"/>
  <c r="G753" i="107"/>
  <c r="G758" i="107" s="1"/>
  <c r="G760" i="107" s="1"/>
  <c r="G101" i="107"/>
  <c r="G108" i="107" s="1"/>
  <c r="G113" i="107"/>
  <c r="G149" i="107"/>
  <c r="G87" i="107"/>
  <c r="G94" i="107" s="1"/>
  <c r="G18" i="107"/>
  <c r="G20" i="107" s="1"/>
  <c r="F503" i="107" s="1"/>
  <c r="G503" i="107" s="1"/>
  <c r="G508" i="107" s="1"/>
  <c r="G13" i="107"/>
  <c r="G15" i="107" s="1"/>
  <c r="G8" i="107"/>
  <c r="G10" i="107" s="1"/>
  <c r="G632" i="107"/>
  <c r="F653" i="107"/>
  <c r="G653" i="107" s="1"/>
  <c r="G631" i="107"/>
  <c r="F652" i="107"/>
  <c r="G633" i="107"/>
  <c r="G564" i="107"/>
  <c r="H48" i="109"/>
  <c r="S46" i="109"/>
  <c r="G762" i="107" l="1"/>
  <c r="G763" i="107" s="1"/>
  <c r="G764" i="107" s="1"/>
  <c r="K1139" i="132" s="1"/>
  <c r="M1139" i="132" s="1"/>
  <c r="I12" i="140"/>
  <c r="N12" i="140" s="1"/>
  <c r="M46" i="132"/>
  <c r="G95" i="107"/>
  <c r="G96" i="107" s="1"/>
  <c r="K29" i="132" s="1"/>
  <c r="E744" i="107"/>
  <c r="E745" i="107" s="1"/>
  <c r="K277" i="132" s="1"/>
  <c r="M277" i="132" s="1"/>
  <c r="G307" i="107"/>
  <c r="G309" i="107" s="1"/>
  <c r="F310" i="107"/>
  <c r="K9" i="140"/>
  <c r="U9" i="140"/>
  <c r="M62" i="132"/>
  <c r="K40" i="132"/>
  <c r="M40" i="132" s="1"/>
  <c r="K375" i="132"/>
  <c r="M375" i="132" s="1"/>
  <c r="K403" i="132"/>
  <c r="M403" i="132" s="1"/>
  <c r="K56" i="132"/>
  <c r="I13" i="140" s="1"/>
  <c r="N13" i="140" s="1"/>
  <c r="F29" i="205"/>
  <c r="H29" i="205" s="1"/>
  <c r="E21" i="203"/>
  <c r="J21" i="203"/>
  <c r="J159" i="140"/>
  <c r="F520" i="107"/>
  <c r="G520" i="107" s="1"/>
  <c r="F579" i="107"/>
  <c r="G579" i="107" s="1"/>
  <c r="G587" i="107" s="1"/>
  <c r="G571" i="107"/>
  <c r="F571" i="107"/>
  <c r="M460" i="132"/>
  <c r="G248" i="107"/>
  <c r="F453" i="107"/>
  <c r="G453" i="107" s="1"/>
  <c r="G459" i="107" s="1"/>
  <c r="F615" i="107"/>
  <c r="G615" i="107" s="1"/>
  <c r="G621" i="107" s="1"/>
  <c r="K564" i="107"/>
  <c r="K566" i="107" s="1"/>
  <c r="F148" i="107"/>
  <c r="F719" i="107"/>
  <c r="G719" i="107" s="1"/>
  <c r="G720" i="107" s="1"/>
  <c r="G722" i="107" s="1"/>
  <c r="G724" i="107" s="1"/>
  <c r="K335" i="132"/>
  <c r="N46" i="109"/>
  <c r="K433" i="132"/>
  <c r="S47" i="109"/>
  <c r="J68" i="140"/>
  <c r="F837" i="107"/>
  <c r="F838" i="107" s="1"/>
  <c r="G835" i="107"/>
  <c r="G837" i="107" s="1"/>
  <c r="G838" i="107" s="1"/>
  <c r="F822" i="107"/>
  <c r="F823" i="107" s="1"/>
  <c r="G820" i="107"/>
  <c r="G822" i="107" s="1"/>
  <c r="G823" i="107" s="1"/>
  <c r="G177" i="107"/>
  <c r="E760" i="107"/>
  <c r="F469" i="107"/>
  <c r="G469" i="107" s="1"/>
  <c r="G474" i="107" s="1"/>
  <c r="G476" i="107" s="1"/>
  <c r="G480" i="107" s="1"/>
  <c r="F486" i="107"/>
  <c r="G486" i="107" s="1"/>
  <c r="G491" i="107" s="1"/>
  <c r="E493" i="107" s="1"/>
  <c r="J202" i="140"/>
  <c r="J14" i="140"/>
  <c r="F741" i="107"/>
  <c r="F743" i="107" s="1"/>
  <c r="F599" i="107"/>
  <c r="G599" i="107" s="1"/>
  <c r="G605" i="107" s="1"/>
  <c r="F778" i="107"/>
  <c r="F780" i="107" s="1"/>
  <c r="F781" i="107" s="1"/>
  <c r="G778" i="107"/>
  <c r="G780" i="107" s="1"/>
  <c r="G781" i="107" s="1"/>
  <c r="G741" i="107"/>
  <c r="G743" i="107" s="1"/>
  <c r="F760" i="107"/>
  <c r="F279" i="107"/>
  <c r="G279" i="107" s="1"/>
  <c r="G178" i="107"/>
  <c r="G634" i="107"/>
  <c r="G558" i="107"/>
  <c r="F561" i="107"/>
  <c r="G561" i="107" s="1"/>
  <c r="G401" i="107"/>
  <c r="G652" i="107"/>
  <c r="F674" i="107"/>
  <c r="J145" i="140"/>
  <c r="J59" i="140"/>
  <c r="G283" i="107"/>
  <c r="I46" i="109"/>
  <c r="E510" i="107"/>
  <c r="G510" i="107"/>
  <c r="F510" i="107"/>
  <c r="F762" i="107" l="1"/>
  <c r="F763" i="107" s="1"/>
  <c r="F764" i="107" s="1"/>
  <c r="K744" i="132" s="1"/>
  <c r="E762" i="107"/>
  <c r="E763" i="107" s="1"/>
  <c r="E764" i="107" s="1"/>
  <c r="K328" i="132" s="1"/>
  <c r="M328" i="132" s="1"/>
  <c r="J12" i="140"/>
  <c r="L12" i="140" s="1"/>
  <c r="I136" i="140"/>
  <c r="N136" i="140" s="1"/>
  <c r="G744" i="107"/>
  <c r="G745" i="107" s="1"/>
  <c r="K1080" i="132" s="1"/>
  <c r="M1080" i="132" s="1"/>
  <c r="F744" i="107"/>
  <c r="F745" i="107" s="1"/>
  <c r="K701" i="132" s="1"/>
  <c r="G725" i="107"/>
  <c r="G726" i="107" s="1"/>
  <c r="K1071" i="132" s="1"/>
  <c r="M1071" i="132" s="1"/>
  <c r="G515" i="107"/>
  <c r="G516" i="107" s="1"/>
  <c r="K1039" i="132" s="1"/>
  <c r="M1039" i="132" s="1"/>
  <c r="F515" i="107"/>
  <c r="F516" i="107" s="1"/>
  <c r="K639" i="132" s="1"/>
  <c r="M639" i="132" s="1"/>
  <c r="E515" i="107"/>
  <c r="E516" i="107" s="1"/>
  <c r="K226" i="132" s="1"/>
  <c r="I41" i="140" s="1"/>
  <c r="N41" i="140" s="1"/>
  <c r="E498" i="107"/>
  <c r="E499" i="107" s="1"/>
  <c r="K221" i="132" s="1"/>
  <c r="G481" i="107"/>
  <c r="G482" i="107" s="1"/>
  <c r="K993" i="132" s="1"/>
  <c r="M993" i="132" s="1"/>
  <c r="G310" i="107"/>
  <c r="K1233" i="132" s="1"/>
  <c r="I56" i="140"/>
  <c r="N56" i="140" s="1"/>
  <c r="M56" i="132"/>
  <c r="I11" i="140"/>
  <c r="N11" i="140" s="1"/>
  <c r="I45" i="140"/>
  <c r="N45" i="140" s="1"/>
  <c r="I57" i="140"/>
  <c r="N57" i="140" s="1"/>
  <c r="K1145" i="132"/>
  <c r="M1145" i="132" s="1"/>
  <c r="K1188" i="132"/>
  <c r="M1188" i="132" s="1"/>
  <c r="K1204" i="132"/>
  <c r="M1204" i="132" s="1"/>
  <c r="L159" i="140"/>
  <c r="K159" i="140"/>
  <c r="K750" i="132"/>
  <c r="K793" i="132"/>
  <c r="M793" i="132" s="1"/>
  <c r="K815" i="132"/>
  <c r="I103" i="140" s="1"/>
  <c r="N103" i="140" s="1"/>
  <c r="K865" i="132"/>
  <c r="M865" i="132" s="1"/>
  <c r="U21" i="203"/>
  <c r="N21" i="203"/>
  <c r="F21" i="203"/>
  <c r="K21" i="203" s="1"/>
  <c r="L202" i="140"/>
  <c r="K202" i="140"/>
  <c r="K145" i="140"/>
  <c r="L145" i="140"/>
  <c r="K14" i="140"/>
  <c r="L14" i="140"/>
  <c r="L59" i="140"/>
  <c r="K59" i="140"/>
  <c r="K68" i="140"/>
  <c r="L68" i="140"/>
  <c r="I51" i="140"/>
  <c r="N51" i="140" s="1"/>
  <c r="E589" i="107"/>
  <c r="F589" i="107"/>
  <c r="G293" i="107"/>
  <c r="F293" i="107"/>
  <c r="G112" i="107"/>
  <c r="G123" i="107" s="1"/>
  <c r="F125" i="107" s="1"/>
  <c r="G125" i="107" s="1"/>
  <c r="G128" i="107" s="1"/>
  <c r="G129" i="107" s="1"/>
  <c r="G461" i="107"/>
  <c r="G465" i="107" s="1"/>
  <c r="E461" i="107"/>
  <c r="E465" i="107" s="1"/>
  <c r="F461" i="107"/>
  <c r="F465" i="107" s="1"/>
  <c r="F623" i="107"/>
  <c r="F625" i="107" s="1"/>
  <c r="F626" i="107" s="1"/>
  <c r="G623" i="107"/>
  <c r="G625" i="107" s="1"/>
  <c r="G626" i="107" s="1"/>
  <c r="E623" i="107"/>
  <c r="E625" i="107" s="1"/>
  <c r="E626" i="107" s="1"/>
  <c r="K283" i="107"/>
  <c r="K288" i="107" s="1"/>
  <c r="F607" i="107"/>
  <c r="E607" i="107"/>
  <c r="G148" i="107"/>
  <c r="G159" i="107" s="1"/>
  <c r="J13" i="140"/>
  <c r="U145" i="140"/>
  <c r="U14" i="140"/>
  <c r="U202" i="140"/>
  <c r="U59" i="140"/>
  <c r="U160" i="140"/>
  <c r="U68" i="140"/>
  <c r="U159" i="140"/>
  <c r="G188" i="107"/>
  <c r="E229" i="107" s="1"/>
  <c r="G278" i="107"/>
  <c r="G288" i="107" s="1"/>
  <c r="M335" i="132"/>
  <c r="F675" i="107"/>
  <c r="F676" i="107" s="1"/>
  <c r="G676" i="107" s="1"/>
  <c r="F693" i="107"/>
  <c r="M433" i="132"/>
  <c r="I62" i="140"/>
  <c r="N62" i="140" s="1"/>
  <c r="L46" i="109"/>
  <c r="E476" i="107"/>
  <c r="E480" i="107" s="1"/>
  <c r="F476" i="107"/>
  <c r="F480" i="107" s="1"/>
  <c r="F639" i="107"/>
  <c r="G639" i="107" s="1"/>
  <c r="K639" i="107" s="1"/>
  <c r="F659" i="107"/>
  <c r="G659" i="107" s="1"/>
  <c r="K659" i="107" s="1"/>
  <c r="G493" i="107"/>
  <c r="F493" i="107"/>
  <c r="I48" i="109"/>
  <c r="I10" i="140"/>
  <c r="N10" i="140" s="1"/>
  <c r="G674" i="107"/>
  <c r="M29" i="132"/>
  <c r="G607" i="107"/>
  <c r="G566" i="107"/>
  <c r="F568" i="107" s="1"/>
  <c r="F572" i="107" s="1"/>
  <c r="F573" i="107" s="1"/>
  <c r="E722" i="107"/>
  <c r="E724" i="107" s="1"/>
  <c r="F722" i="107"/>
  <c r="F724" i="107" s="1"/>
  <c r="G523" i="107"/>
  <c r="J58" i="140"/>
  <c r="U12" i="140" l="1"/>
  <c r="K12" i="140"/>
  <c r="E593" i="107"/>
  <c r="E594" i="107" s="1"/>
  <c r="E595" i="107" s="1"/>
  <c r="K196" i="132" s="1"/>
  <c r="I38" i="140" s="1"/>
  <c r="N38" i="140" s="1"/>
  <c r="F593" i="107"/>
  <c r="F594" i="107" s="1"/>
  <c r="F595" i="107" s="1"/>
  <c r="K613" i="132" s="1"/>
  <c r="M613" i="132" s="1"/>
  <c r="E609" i="107"/>
  <c r="E610" i="107" s="1"/>
  <c r="E611" i="107" s="1"/>
  <c r="K142" i="132" s="1"/>
  <c r="F609" i="107"/>
  <c r="F610" i="107" s="1"/>
  <c r="F611" i="107" s="1"/>
  <c r="K526" i="132" s="1"/>
  <c r="I80" i="140" s="1"/>
  <c r="N80" i="140" s="1"/>
  <c r="G609" i="107"/>
  <c r="G610" i="107" s="1"/>
  <c r="G611" i="107" s="1"/>
  <c r="K935" i="132" s="1"/>
  <c r="M935" i="132" s="1"/>
  <c r="F168" i="107"/>
  <c r="F172" i="107" s="1"/>
  <c r="F173" i="107" s="1"/>
  <c r="K516" i="132" s="1"/>
  <c r="M516" i="132" s="1"/>
  <c r="E161" i="107"/>
  <c r="E165" i="107" s="1"/>
  <c r="J136" i="140"/>
  <c r="L136" i="140" s="1"/>
  <c r="J56" i="140"/>
  <c r="L56" i="140" s="1"/>
  <c r="I139" i="140"/>
  <c r="N139" i="140" s="1"/>
  <c r="I140" i="140"/>
  <c r="N140" i="140" s="1"/>
  <c r="F725" i="107"/>
  <c r="F726" i="107" s="1"/>
  <c r="K686" i="132" s="1"/>
  <c r="E725" i="107"/>
  <c r="E726" i="107" s="1"/>
  <c r="K268" i="132" s="1"/>
  <c r="I44" i="140" s="1"/>
  <c r="N44" i="140" s="1"/>
  <c r="G498" i="107"/>
  <c r="G499" i="107" s="1"/>
  <c r="K1034" i="132" s="1"/>
  <c r="M1034" i="132" s="1"/>
  <c r="F498" i="107"/>
  <c r="F499" i="107" s="1"/>
  <c r="K631" i="132" s="1"/>
  <c r="M631" i="132" s="1"/>
  <c r="F481" i="107"/>
  <c r="F482" i="107" s="1"/>
  <c r="K621" i="132" s="1"/>
  <c r="M621" i="132" s="1"/>
  <c r="E481" i="107"/>
  <c r="E482" i="107" s="1"/>
  <c r="K205" i="132" s="1"/>
  <c r="M1233" i="132"/>
  <c r="I143" i="140"/>
  <c r="N143" i="140" s="1"/>
  <c r="G130" i="107"/>
  <c r="K74" i="132" s="1"/>
  <c r="M74" i="132" s="1"/>
  <c r="M226" i="132"/>
  <c r="J11" i="140"/>
  <c r="L11" i="140" s="1"/>
  <c r="J57" i="140"/>
  <c r="K57" i="140" s="1"/>
  <c r="I131" i="140"/>
  <c r="N131" i="140" s="1"/>
  <c r="I130" i="140"/>
  <c r="N130" i="140" s="1"/>
  <c r="I102" i="140"/>
  <c r="N102" i="140" s="1"/>
  <c r="I50" i="140"/>
  <c r="N50" i="140" s="1"/>
  <c r="J45" i="140"/>
  <c r="L45" i="140" s="1"/>
  <c r="I124" i="140"/>
  <c r="N124" i="140" s="1"/>
  <c r="I89" i="140"/>
  <c r="N89" i="140" s="1"/>
  <c r="I107" i="140"/>
  <c r="N107" i="140" s="1"/>
  <c r="I137" i="140"/>
  <c r="N137" i="140" s="1"/>
  <c r="I126" i="140"/>
  <c r="N126" i="140" s="1"/>
  <c r="L21" i="203"/>
  <c r="K941" i="132"/>
  <c r="M941" i="132" s="1"/>
  <c r="K607" i="132"/>
  <c r="M607" i="132" s="1"/>
  <c r="K983" i="132"/>
  <c r="M983" i="132" s="1"/>
  <c r="M815" i="132"/>
  <c r="I14" i="203"/>
  <c r="M750" i="132"/>
  <c r="I13" i="203"/>
  <c r="M701" i="132"/>
  <c r="I11" i="203"/>
  <c r="M744" i="132"/>
  <c r="I12" i="203"/>
  <c r="K148" i="132"/>
  <c r="I30" i="140" s="1"/>
  <c r="N30" i="140" s="1"/>
  <c r="K532" i="132"/>
  <c r="M532" i="132" s="1"/>
  <c r="K192" i="132"/>
  <c r="M192" i="132" s="1"/>
  <c r="K58" i="140"/>
  <c r="L58" i="140"/>
  <c r="L13" i="140"/>
  <c r="K13" i="140"/>
  <c r="J51" i="140"/>
  <c r="I94" i="140"/>
  <c r="N94" i="140" s="1"/>
  <c r="I99" i="140"/>
  <c r="N99" i="140" s="1"/>
  <c r="I100" i="140"/>
  <c r="N100" i="140" s="1"/>
  <c r="G168" i="107"/>
  <c r="G172" i="107" s="1"/>
  <c r="F132" i="107"/>
  <c r="G132" i="107" s="1"/>
  <c r="F139" i="107"/>
  <c r="G139" i="107" s="1"/>
  <c r="G142" i="107" s="1"/>
  <c r="G143" i="107" s="1"/>
  <c r="E168" i="107"/>
  <c r="E172" i="107" s="1"/>
  <c r="G161" i="107"/>
  <c r="G165" i="107" s="1"/>
  <c r="F161" i="107"/>
  <c r="F165" i="107" s="1"/>
  <c r="G675" i="107"/>
  <c r="G682" i="107" s="1"/>
  <c r="K523" i="107"/>
  <c r="K525" i="107" s="1"/>
  <c r="F530" i="107"/>
  <c r="G530" i="107"/>
  <c r="U13" i="140"/>
  <c r="U58" i="140"/>
  <c r="G253" i="107"/>
  <c r="H49" i="109"/>
  <c r="G693" i="107"/>
  <c r="F694" i="107"/>
  <c r="G694" i="107" s="1"/>
  <c r="J62" i="140"/>
  <c r="J103" i="140"/>
  <c r="F574" i="107"/>
  <c r="G568" i="107"/>
  <c r="G572" i="107" s="1"/>
  <c r="G573" i="107" s="1"/>
  <c r="G660" i="107"/>
  <c r="E662" i="107" s="1"/>
  <c r="G640" i="107"/>
  <c r="E238" i="107"/>
  <c r="E239" i="107" s="1"/>
  <c r="E243" i="107" s="1"/>
  <c r="F229" i="107"/>
  <c r="E230" i="107"/>
  <c r="J10" i="140"/>
  <c r="E568" i="107"/>
  <c r="E205" i="107"/>
  <c r="E206" i="107" s="1"/>
  <c r="E210" i="107" s="1"/>
  <c r="G213" i="107"/>
  <c r="G214" i="107" s="1"/>
  <c r="F205" i="107"/>
  <c r="F206" i="107" s="1"/>
  <c r="F210" i="107" s="1"/>
  <c r="F197" i="107"/>
  <c r="F198" i="107" s="1"/>
  <c r="G197" i="107"/>
  <c r="G198" i="107" s="1"/>
  <c r="E190" i="107"/>
  <c r="E194" i="107" s="1"/>
  <c r="F213" i="107"/>
  <c r="F214" i="107" s="1"/>
  <c r="F221" i="107"/>
  <c r="F222" i="107" s="1"/>
  <c r="E197" i="107"/>
  <c r="E198" i="107" s="1"/>
  <c r="G205" i="107"/>
  <c r="G206" i="107" s="1"/>
  <c r="G210" i="107" s="1"/>
  <c r="G190" i="107"/>
  <c r="G194" i="107" s="1"/>
  <c r="G221" i="107"/>
  <c r="G222" i="107" s="1"/>
  <c r="F190" i="107"/>
  <c r="F194" i="107" s="1"/>
  <c r="E213" i="107"/>
  <c r="E214" i="107" s="1"/>
  <c r="E221" i="107"/>
  <c r="E222" i="107" s="1"/>
  <c r="G525" i="107"/>
  <c r="M221" i="132"/>
  <c r="I40" i="140"/>
  <c r="N40" i="140" s="1"/>
  <c r="J41" i="140"/>
  <c r="E290" i="107"/>
  <c r="F290" i="107"/>
  <c r="H52" i="109" l="1"/>
  <c r="H51" i="109"/>
  <c r="H50" i="109"/>
  <c r="H53" i="109"/>
  <c r="U136" i="140"/>
  <c r="K136" i="140"/>
  <c r="E572" i="107"/>
  <c r="E573" i="107" s="1"/>
  <c r="E574" i="107" s="1"/>
  <c r="K245" i="132" s="1"/>
  <c r="M245" i="132" s="1"/>
  <c r="K56" i="140"/>
  <c r="J139" i="140"/>
  <c r="K139" i="140" s="1"/>
  <c r="J89" i="140"/>
  <c r="K89" i="140" s="1"/>
  <c r="J140" i="140"/>
  <c r="L140" i="140" s="1"/>
  <c r="J102" i="140"/>
  <c r="K102" i="140" s="1"/>
  <c r="J143" i="140"/>
  <c r="L143" i="140" s="1"/>
  <c r="E665" i="107"/>
  <c r="E666" i="107" s="1"/>
  <c r="K291" i="132" s="1"/>
  <c r="E642" i="107"/>
  <c r="U56" i="140"/>
  <c r="F294" i="107"/>
  <c r="F295" i="107" s="1"/>
  <c r="E294" i="107"/>
  <c r="E295" i="107" s="1"/>
  <c r="K262" i="132" s="1"/>
  <c r="M262" i="132" s="1"/>
  <c r="E244" i="107"/>
  <c r="K137" i="132" s="1"/>
  <c r="E234" i="107"/>
  <c r="E235" i="107" s="1"/>
  <c r="E226" i="107"/>
  <c r="E227" i="107" s="1"/>
  <c r="G226" i="107"/>
  <c r="G227" i="107" s="1"/>
  <c r="F226" i="107"/>
  <c r="F227" i="107" s="1"/>
  <c r="F218" i="107"/>
  <c r="F219" i="107" s="1"/>
  <c r="K480" i="132" s="1"/>
  <c r="M480" i="132" s="1"/>
  <c r="E218" i="107"/>
  <c r="E219" i="107" s="1"/>
  <c r="K101" i="132" s="1"/>
  <c r="G218" i="107"/>
  <c r="G219" i="107" s="1"/>
  <c r="K885" i="132" s="1"/>
  <c r="M885" i="132" s="1"/>
  <c r="F211" i="107"/>
  <c r="K484" i="132" s="1"/>
  <c r="M484" i="132" s="1"/>
  <c r="E211" i="107"/>
  <c r="K106" i="132" s="1"/>
  <c r="G211" i="107"/>
  <c r="K890" i="132" s="1"/>
  <c r="M890" i="132" s="1"/>
  <c r="E203" i="107"/>
  <c r="K111" i="132" s="1"/>
  <c r="I24" i="140" s="1"/>
  <c r="N24" i="140" s="1"/>
  <c r="E202" i="107"/>
  <c r="G203" i="107"/>
  <c r="K895" i="132" s="1"/>
  <c r="M895" i="132" s="1"/>
  <c r="G202" i="107"/>
  <c r="F203" i="107"/>
  <c r="K489" i="132" s="1"/>
  <c r="M489" i="132" s="1"/>
  <c r="F202" i="107"/>
  <c r="F195" i="107"/>
  <c r="K472" i="132" s="1"/>
  <c r="M472" i="132" s="1"/>
  <c r="G195" i="107"/>
  <c r="K877" i="132" s="1"/>
  <c r="M877" i="132" s="1"/>
  <c r="E195" i="107"/>
  <c r="K95" i="132" s="1"/>
  <c r="E173" i="107"/>
  <c r="K132" i="132" s="1"/>
  <c r="G173" i="107"/>
  <c r="K925" i="132" s="1"/>
  <c r="M925" i="132" s="1"/>
  <c r="F166" i="107"/>
  <c r="K466" i="132" s="1"/>
  <c r="M466" i="132" s="1"/>
  <c r="E166" i="107"/>
  <c r="K84" i="132" s="1"/>
  <c r="G166" i="107"/>
  <c r="K871" i="132" s="1"/>
  <c r="M871" i="132" s="1"/>
  <c r="G144" i="107"/>
  <c r="K89" i="132" s="1"/>
  <c r="I19" i="140" s="1"/>
  <c r="N19" i="140" s="1"/>
  <c r="G135" i="107"/>
  <c r="U11" i="140"/>
  <c r="J131" i="140"/>
  <c r="L131" i="140" s="1"/>
  <c r="K11" i="140"/>
  <c r="L57" i="140"/>
  <c r="U57" i="140"/>
  <c r="J130" i="140"/>
  <c r="L130" i="140" s="1"/>
  <c r="I125" i="140"/>
  <c r="N125" i="140" s="1"/>
  <c r="I87" i="140"/>
  <c r="N87" i="140" s="1"/>
  <c r="J50" i="140"/>
  <c r="K50" i="140" s="1"/>
  <c r="J124" i="140"/>
  <c r="L124" i="140" s="1"/>
  <c r="I16" i="140"/>
  <c r="N16" i="140" s="1"/>
  <c r="J107" i="140"/>
  <c r="L107" i="140" s="1"/>
  <c r="J252" i="140"/>
  <c r="I81" i="140"/>
  <c r="N81" i="140" s="1"/>
  <c r="M268" i="132"/>
  <c r="M196" i="132"/>
  <c r="M148" i="132"/>
  <c r="J137" i="140"/>
  <c r="K137" i="140" s="1"/>
  <c r="I86" i="140"/>
  <c r="N86" i="140" s="1"/>
  <c r="K45" i="140"/>
  <c r="U45" i="140"/>
  <c r="J100" i="140"/>
  <c r="L100" i="140" s="1"/>
  <c r="I37" i="140"/>
  <c r="N37" i="140" s="1"/>
  <c r="I85" i="140"/>
  <c r="N85" i="140" s="1"/>
  <c r="I88" i="140"/>
  <c r="N88" i="140" s="1"/>
  <c r="J126" i="140"/>
  <c r="L126" i="140" s="1"/>
  <c r="I123" i="140"/>
  <c r="N123" i="140" s="1"/>
  <c r="I119" i="140"/>
  <c r="N119" i="140" s="1"/>
  <c r="I118" i="140"/>
  <c r="N118" i="140" s="1"/>
  <c r="K672" i="132"/>
  <c r="M672" i="132" s="1"/>
  <c r="M526" i="132"/>
  <c r="I8" i="203"/>
  <c r="M686" i="132"/>
  <c r="I10" i="203"/>
  <c r="L103" i="140"/>
  <c r="K103" i="140"/>
  <c r="F20" i="205"/>
  <c r="H20" i="205" s="1"/>
  <c r="J12" i="203"/>
  <c r="E12" i="203"/>
  <c r="F19" i="205"/>
  <c r="H19" i="205" s="1"/>
  <c r="E11" i="203"/>
  <c r="J11" i="203"/>
  <c r="F21" i="205"/>
  <c r="H21" i="205" s="1"/>
  <c r="J13" i="203"/>
  <c r="E13" i="203"/>
  <c r="F22" i="205"/>
  <c r="H22" i="205" s="1"/>
  <c r="E14" i="203"/>
  <c r="J14" i="203"/>
  <c r="L41" i="140"/>
  <c r="K41" i="140"/>
  <c r="K10" i="140"/>
  <c r="L10" i="140"/>
  <c r="K62" i="140"/>
  <c r="L62" i="140"/>
  <c r="L51" i="140"/>
  <c r="K51" i="140"/>
  <c r="J94" i="140"/>
  <c r="U51" i="140"/>
  <c r="I93" i="140"/>
  <c r="N93" i="140" s="1"/>
  <c r="I78" i="140"/>
  <c r="N78" i="140" s="1"/>
  <c r="J30" i="140"/>
  <c r="J38" i="140"/>
  <c r="G574" i="107"/>
  <c r="F684" i="107"/>
  <c r="F686" i="107" s="1"/>
  <c r="F687" i="107" s="1"/>
  <c r="G684" i="107"/>
  <c r="G686" i="107" s="1"/>
  <c r="G687" i="107" s="1"/>
  <c r="E684" i="107"/>
  <c r="E686" i="107" s="1"/>
  <c r="E687" i="107" s="1"/>
  <c r="G290" i="107"/>
  <c r="K253" i="107"/>
  <c r="K258" i="107" s="1"/>
  <c r="G272" i="107"/>
  <c r="F272" i="107"/>
  <c r="F264" i="107"/>
  <c r="G264" i="107"/>
  <c r="I39" i="140"/>
  <c r="N39" i="140" s="1"/>
  <c r="M205" i="132"/>
  <c r="U10" i="140"/>
  <c r="U103" i="140"/>
  <c r="U41" i="140"/>
  <c r="U62" i="140"/>
  <c r="M142" i="132"/>
  <c r="I29" i="140"/>
  <c r="N29" i="140" s="1"/>
  <c r="G258" i="107"/>
  <c r="E268" i="107" s="1"/>
  <c r="F268" i="107" s="1"/>
  <c r="G268" i="107" s="1"/>
  <c r="G700" i="107"/>
  <c r="J104" i="140"/>
  <c r="F662" i="107"/>
  <c r="G662" i="107"/>
  <c r="G642" i="107"/>
  <c r="F642" i="107"/>
  <c r="G229" i="107"/>
  <c r="F238" i="107"/>
  <c r="F239" i="107" s="1"/>
  <c r="F243" i="107" s="1"/>
  <c r="F230" i="107"/>
  <c r="J44" i="140"/>
  <c r="J99" i="140"/>
  <c r="G527" i="107"/>
  <c r="G531" i="107" s="1"/>
  <c r="G532" i="107" s="1"/>
  <c r="F527" i="107"/>
  <c r="F531" i="107" s="1"/>
  <c r="F532" i="107" s="1"/>
  <c r="E527" i="107"/>
  <c r="E531" i="107" s="1"/>
  <c r="E532" i="107" s="1"/>
  <c r="J40" i="140"/>
  <c r="G136" i="107" l="1"/>
  <c r="G137" i="107" s="1"/>
  <c r="K78" i="132" s="1"/>
  <c r="K140" i="140"/>
  <c r="U139" i="140"/>
  <c r="L139" i="140"/>
  <c r="U140" i="140"/>
  <c r="K143" i="140"/>
  <c r="U89" i="140"/>
  <c r="J16" i="140"/>
  <c r="L16" i="140" s="1"/>
  <c r="L50" i="140"/>
  <c r="L102" i="140"/>
  <c r="K130" i="140"/>
  <c r="L89" i="140"/>
  <c r="U102" i="140"/>
  <c r="U143" i="140"/>
  <c r="I74" i="140"/>
  <c r="N74" i="140" s="1"/>
  <c r="F645" i="107"/>
  <c r="F646" i="107" s="1"/>
  <c r="G665" i="107"/>
  <c r="G666" i="107" s="1"/>
  <c r="K1100" i="132" s="1"/>
  <c r="M1100" i="132" s="1"/>
  <c r="E645" i="107"/>
  <c r="E646" i="107" s="1"/>
  <c r="K284" i="132" s="1"/>
  <c r="G645" i="107"/>
  <c r="G646" i="107" s="1"/>
  <c r="K1091" i="132" s="1"/>
  <c r="M1091" i="132" s="1"/>
  <c r="F665" i="107"/>
  <c r="F666" i="107" s="1"/>
  <c r="K714" i="132" s="1"/>
  <c r="M714" i="132" s="1"/>
  <c r="I43" i="140"/>
  <c r="N43" i="140" s="1"/>
  <c r="U131" i="140"/>
  <c r="K131" i="140"/>
  <c r="G294" i="107"/>
  <c r="G295" i="107" s="1"/>
  <c r="K1061" i="132" s="1"/>
  <c r="M1061" i="132" s="1"/>
  <c r="F244" i="107"/>
  <c r="K520" i="132" s="1"/>
  <c r="M520" i="132" s="1"/>
  <c r="F234" i="107"/>
  <c r="F235" i="107" s="1"/>
  <c r="I18" i="140"/>
  <c r="N18" i="140" s="1"/>
  <c r="M84" i="132"/>
  <c r="J125" i="140"/>
  <c r="K125" i="140" s="1"/>
  <c r="U50" i="140"/>
  <c r="U107" i="140"/>
  <c r="U130" i="140"/>
  <c r="K107" i="140"/>
  <c r="K124" i="140"/>
  <c r="J47" i="203"/>
  <c r="U47" i="203" s="1"/>
  <c r="U124" i="140"/>
  <c r="L137" i="140"/>
  <c r="J123" i="140"/>
  <c r="K123" i="140" s="1"/>
  <c r="U100" i="140"/>
  <c r="J85" i="140"/>
  <c r="K85" i="140" s="1"/>
  <c r="U137" i="140"/>
  <c r="J81" i="140"/>
  <c r="K81" i="140" s="1"/>
  <c r="K100" i="140"/>
  <c r="J46" i="203"/>
  <c r="J251" i="140"/>
  <c r="K126" i="140"/>
  <c r="I116" i="140"/>
  <c r="N116" i="140" s="1"/>
  <c r="I109" i="140"/>
  <c r="N109" i="140" s="1"/>
  <c r="M89" i="132"/>
  <c r="M111" i="132"/>
  <c r="J86" i="140"/>
  <c r="L86" i="140" s="1"/>
  <c r="J88" i="140"/>
  <c r="L88" i="140" s="1"/>
  <c r="J118" i="140"/>
  <c r="L118" i="140" s="1"/>
  <c r="J37" i="140"/>
  <c r="K37" i="140" s="1"/>
  <c r="I112" i="140"/>
  <c r="N112" i="140" s="1"/>
  <c r="I91" i="140"/>
  <c r="N91" i="140" s="1"/>
  <c r="I31" i="140"/>
  <c r="N31" i="140" s="1"/>
  <c r="J119" i="140"/>
  <c r="L119" i="140" s="1"/>
  <c r="U126" i="140"/>
  <c r="I110" i="140"/>
  <c r="N110" i="140" s="1"/>
  <c r="I113" i="140"/>
  <c r="N113" i="140" s="1"/>
  <c r="I111" i="140"/>
  <c r="N111" i="140" s="1"/>
  <c r="F47" i="203"/>
  <c r="L252" i="140"/>
  <c r="K252" i="140"/>
  <c r="K104" i="140"/>
  <c r="L104" i="140"/>
  <c r="K311" i="132"/>
  <c r="I48" i="140" s="1"/>
  <c r="N48" i="140" s="1"/>
  <c r="K729" i="132"/>
  <c r="M729" i="132" s="1"/>
  <c r="U14" i="203"/>
  <c r="U13" i="203"/>
  <c r="U11" i="203"/>
  <c r="U12" i="203"/>
  <c r="F18" i="205"/>
  <c r="H18" i="205" s="1"/>
  <c r="E10" i="203"/>
  <c r="J10" i="203"/>
  <c r="F16" i="205"/>
  <c r="H16" i="205" s="1"/>
  <c r="E8" i="203"/>
  <c r="J8" i="203"/>
  <c r="L99" i="140"/>
  <c r="K99" i="140"/>
  <c r="K678" i="132"/>
  <c r="M678" i="132" s="1"/>
  <c r="K1115" i="132"/>
  <c r="M1115" i="132" s="1"/>
  <c r="K1055" i="132"/>
  <c r="M1055" i="132" s="1"/>
  <c r="K94" i="140"/>
  <c r="L94" i="140"/>
  <c r="N14" i="203"/>
  <c r="F14" i="203"/>
  <c r="L14" i="203" s="1"/>
  <c r="N13" i="203"/>
  <c r="F13" i="203"/>
  <c r="L13" i="203" s="1"/>
  <c r="N11" i="203"/>
  <c r="F11" i="203"/>
  <c r="L11" i="203" s="1"/>
  <c r="N12" i="203"/>
  <c r="F12" i="203"/>
  <c r="L12" i="203" s="1"/>
  <c r="K40" i="140"/>
  <c r="L40" i="140"/>
  <c r="K44" i="140"/>
  <c r="L44" i="140"/>
  <c r="K38" i="140"/>
  <c r="L38" i="140"/>
  <c r="K30" i="140"/>
  <c r="L30" i="140"/>
  <c r="U94" i="140"/>
  <c r="J78" i="140"/>
  <c r="J93" i="140"/>
  <c r="J39" i="140"/>
  <c r="M132" i="132"/>
  <c r="I73" i="140"/>
  <c r="N73" i="140" s="1"/>
  <c r="I72" i="140"/>
  <c r="N72" i="140" s="1"/>
  <c r="I71" i="140"/>
  <c r="N71" i="140" s="1"/>
  <c r="I75" i="140"/>
  <c r="N75" i="140" s="1"/>
  <c r="U30" i="140"/>
  <c r="I27" i="140"/>
  <c r="N27" i="140" s="1"/>
  <c r="F702" i="107"/>
  <c r="F704" i="107" s="1"/>
  <c r="F705" i="107" s="1"/>
  <c r="G702" i="107"/>
  <c r="G704" i="107" s="1"/>
  <c r="G705" i="107" s="1"/>
  <c r="E702" i="107"/>
  <c r="E704" i="107" s="1"/>
  <c r="E705" i="107" s="1"/>
  <c r="J24" i="140"/>
  <c r="J87" i="140"/>
  <c r="U40" i="140"/>
  <c r="U252" i="140"/>
  <c r="U104" i="140"/>
  <c r="U99" i="140"/>
  <c r="U44" i="140"/>
  <c r="J29" i="140"/>
  <c r="M101" i="132"/>
  <c r="M95" i="132"/>
  <c r="M106" i="132"/>
  <c r="F260" i="107"/>
  <c r="G260" i="107"/>
  <c r="E260" i="107"/>
  <c r="M291" i="132"/>
  <c r="I47" i="140"/>
  <c r="N47" i="140" s="1"/>
  <c r="G238" i="107"/>
  <c r="G239" i="107" s="1"/>
  <c r="G243" i="107" s="1"/>
  <c r="G230" i="107"/>
  <c r="I28" i="140"/>
  <c r="N28" i="140" s="1"/>
  <c r="M137" i="132"/>
  <c r="J80" i="140"/>
  <c r="J19" i="140"/>
  <c r="I20" i="140"/>
  <c r="N20" i="140" s="1"/>
  <c r="I22" i="140"/>
  <c r="N22" i="140" s="1"/>
  <c r="I21" i="140"/>
  <c r="N21" i="140" s="1"/>
  <c r="I17" i="140" l="1"/>
  <c r="M78" i="132"/>
  <c r="K16" i="140"/>
  <c r="U16" i="140"/>
  <c r="J74" i="140"/>
  <c r="K74" i="140" s="1"/>
  <c r="J18" i="140"/>
  <c r="L18" i="140" s="1"/>
  <c r="L125" i="140"/>
  <c r="M284" i="132"/>
  <c r="I46" i="140"/>
  <c r="N46" i="140" s="1"/>
  <c r="J43" i="140"/>
  <c r="L43" i="140" s="1"/>
  <c r="G244" i="107"/>
  <c r="K930" i="132" s="1"/>
  <c r="M930" i="132" s="1"/>
  <c r="G234" i="107"/>
  <c r="G235" i="107" s="1"/>
  <c r="U125" i="140"/>
  <c r="L123" i="140"/>
  <c r="L85" i="140"/>
  <c r="K118" i="140"/>
  <c r="K47" i="203"/>
  <c r="U81" i="140"/>
  <c r="L37" i="140"/>
  <c r="L81" i="140"/>
  <c r="J109" i="140"/>
  <c r="L109" i="140" s="1"/>
  <c r="J31" i="140"/>
  <c r="K31" i="140" s="1"/>
  <c r="J112" i="140"/>
  <c r="K112" i="140" s="1"/>
  <c r="U118" i="140"/>
  <c r="J116" i="140"/>
  <c r="K116" i="140" s="1"/>
  <c r="K86" i="140"/>
  <c r="K251" i="140"/>
  <c r="F46" i="203"/>
  <c r="L46" i="203" s="1"/>
  <c r="L251" i="140"/>
  <c r="K88" i="140"/>
  <c r="I96" i="140"/>
  <c r="N96" i="140" s="1"/>
  <c r="U88" i="140"/>
  <c r="J111" i="140"/>
  <c r="K111" i="140" s="1"/>
  <c r="U119" i="140"/>
  <c r="I129" i="140"/>
  <c r="N129" i="140" s="1"/>
  <c r="I132" i="140"/>
  <c r="N132" i="140" s="1"/>
  <c r="K119" i="140"/>
  <c r="M311" i="132"/>
  <c r="J110" i="140"/>
  <c r="K110" i="140" s="1"/>
  <c r="I128" i="140"/>
  <c r="N128" i="140" s="1"/>
  <c r="I92" i="140"/>
  <c r="N92" i="140" s="1"/>
  <c r="I134" i="140"/>
  <c r="N134" i="140" s="1"/>
  <c r="I133" i="140"/>
  <c r="N133" i="140" s="1"/>
  <c r="J113" i="140"/>
  <c r="K113" i="140" s="1"/>
  <c r="H79" i="205"/>
  <c r="H81" i="205" s="1"/>
  <c r="I81" i="205" s="1"/>
  <c r="L47" i="203"/>
  <c r="L80" i="140"/>
  <c r="K80" i="140"/>
  <c r="K321" i="132"/>
  <c r="M321" i="132" s="1"/>
  <c r="L93" i="140"/>
  <c r="K93" i="140"/>
  <c r="U8" i="203"/>
  <c r="K739" i="132"/>
  <c r="M739" i="132" s="1"/>
  <c r="N10" i="203"/>
  <c r="F10" i="203"/>
  <c r="L10" i="203" s="1"/>
  <c r="K708" i="132"/>
  <c r="M708" i="132" s="1"/>
  <c r="K1125" i="132"/>
  <c r="M1125" i="132" s="1"/>
  <c r="N8" i="203"/>
  <c r="F8" i="203"/>
  <c r="L8" i="203" s="1"/>
  <c r="U10" i="203"/>
  <c r="K12" i="203"/>
  <c r="K13" i="203"/>
  <c r="K14" i="203"/>
  <c r="K11" i="203"/>
  <c r="L87" i="140"/>
  <c r="K87" i="140"/>
  <c r="L78" i="140"/>
  <c r="K78" i="140"/>
  <c r="L74" i="140"/>
  <c r="L19" i="140"/>
  <c r="K19" i="140"/>
  <c r="L29" i="140"/>
  <c r="K29" i="140"/>
  <c r="K24" i="140"/>
  <c r="L24" i="140"/>
  <c r="L39" i="140"/>
  <c r="K39" i="140"/>
  <c r="U78" i="140"/>
  <c r="U39" i="140"/>
  <c r="U93" i="140"/>
  <c r="J71" i="140"/>
  <c r="J27" i="140"/>
  <c r="I79" i="140"/>
  <c r="N79" i="140" s="1"/>
  <c r="I97" i="140"/>
  <c r="N97" i="140" s="1"/>
  <c r="U24" i="140"/>
  <c r="U87" i="140"/>
  <c r="J91" i="140"/>
  <c r="J48" i="140"/>
  <c r="U19" i="140"/>
  <c r="U80" i="140"/>
  <c r="U29" i="140"/>
  <c r="E261" i="107"/>
  <c r="F261" i="107"/>
  <c r="G261" i="107"/>
  <c r="J47" i="140"/>
  <c r="J28" i="140"/>
  <c r="J75" i="140"/>
  <c r="J21" i="140"/>
  <c r="J22" i="140"/>
  <c r="J20" i="140"/>
  <c r="J73" i="140"/>
  <c r="J72" i="140"/>
  <c r="N17" i="140" l="1"/>
  <c r="J17" i="140"/>
  <c r="K18" i="140"/>
  <c r="U18" i="140"/>
  <c r="U74" i="140"/>
  <c r="J46" i="140"/>
  <c r="K46" i="140" s="1"/>
  <c r="K43" i="140"/>
  <c r="I135" i="140"/>
  <c r="N135" i="140" s="1"/>
  <c r="U43" i="140"/>
  <c r="F265" i="107"/>
  <c r="F266" i="107" s="1"/>
  <c r="K500" i="132" s="1"/>
  <c r="M500" i="132" s="1"/>
  <c r="G265" i="107"/>
  <c r="G266" i="107" s="1"/>
  <c r="K906" i="132" s="1"/>
  <c r="M906" i="132" s="1"/>
  <c r="E265" i="107"/>
  <c r="E266" i="107" s="1"/>
  <c r="K117" i="132" s="1"/>
  <c r="J92" i="140"/>
  <c r="L92" i="140" s="1"/>
  <c r="K109" i="140"/>
  <c r="U31" i="140"/>
  <c r="L31" i="140"/>
  <c r="J96" i="140"/>
  <c r="K96" i="140" s="1"/>
  <c r="U116" i="140"/>
  <c r="U110" i="140"/>
  <c r="L116" i="140"/>
  <c r="L112" i="140"/>
  <c r="U112" i="140"/>
  <c r="U109" i="140"/>
  <c r="K46" i="203"/>
  <c r="U113" i="140"/>
  <c r="J132" i="140"/>
  <c r="K132" i="140" s="1"/>
  <c r="L111" i="140"/>
  <c r="U111" i="140"/>
  <c r="J129" i="140"/>
  <c r="K129" i="140" s="1"/>
  <c r="L110" i="140"/>
  <c r="L113" i="140"/>
  <c r="I98" i="140"/>
  <c r="N98" i="140" s="1"/>
  <c r="J128" i="140"/>
  <c r="L128" i="140" s="1"/>
  <c r="I117" i="140"/>
  <c r="N117" i="140" s="1"/>
  <c r="I49" i="140"/>
  <c r="N49" i="140" s="1"/>
  <c r="J133" i="140"/>
  <c r="K133" i="140" s="1"/>
  <c r="I95" i="140"/>
  <c r="N95" i="140" s="1"/>
  <c r="J134" i="140"/>
  <c r="K134" i="140" s="1"/>
  <c r="K10" i="203"/>
  <c r="K8" i="203"/>
  <c r="K91" i="140"/>
  <c r="L91" i="140"/>
  <c r="K72" i="140"/>
  <c r="L72" i="140"/>
  <c r="K73" i="140"/>
  <c r="L73" i="140"/>
  <c r="K75" i="140"/>
  <c r="L75" i="140"/>
  <c r="K71" i="140"/>
  <c r="L71" i="140"/>
  <c r="L21" i="140"/>
  <c r="K21" i="140"/>
  <c r="K28" i="140"/>
  <c r="L28" i="140"/>
  <c r="K22" i="140"/>
  <c r="L22" i="140"/>
  <c r="K20" i="140"/>
  <c r="L20" i="140"/>
  <c r="L47" i="140"/>
  <c r="K47" i="140"/>
  <c r="K48" i="140"/>
  <c r="L48" i="140"/>
  <c r="L27" i="140"/>
  <c r="K27" i="140"/>
  <c r="U27" i="140"/>
  <c r="U71" i="140"/>
  <c r="J97" i="140"/>
  <c r="U91" i="140"/>
  <c r="U48" i="140"/>
  <c r="U22" i="140"/>
  <c r="U72" i="140"/>
  <c r="U20" i="140"/>
  <c r="U21" i="140"/>
  <c r="U28" i="140"/>
  <c r="U47" i="140"/>
  <c r="U73" i="140"/>
  <c r="U75" i="140"/>
  <c r="F269" i="107"/>
  <c r="F273" i="107" s="1"/>
  <c r="F274" i="107" s="1"/>
  <c r="G269" i="107"/>
  <c r="G273" i="107" s="1"/>
  <c r="G274" i="107" s="1"/>
  <c r="E269" i="107"/>
  <c r="E273" i="107" s="1"/>
  <c r="E274" i="107" s="1"/>
  <c r="J79" i="140"/>
  <c r="U17" i="140" l="1"/>
  <c r="L17" i="140"/>
  <c r="K17" i="140"/>
  <c r="J135" i="140"/>
  <c r="L135" i="140" s="1"/>
  <c r="L46" i="140"/>
  <c r="U46" i="140"/>
  <c r="L132" i="140"/>
  <c r="L96" i="140"/>
  <c r="U132" i="140"/>
  <c r="I114" i="140"/>
  <c r="N114" i="140" s="1"/>
  <c r="K92" i="140"/>
  <c r="U92" i="140"/>
  <c r="U96" i="140"/>
  <c r="J95" i="140"/>
  <c r="K95" i="140" s="1"/>
  <c r="J98" i="140"/>
  <c r="K98" i="140" s="1"/>
  <c r="U128" i="140"/>
  <c r="L129" i="140"/>
  <c r="J49" i="140"/>
  <c r="K49" i="140" s="1"/>
  <c r="U129" i="140"/>
  <c r="K128" i="140"/>
  <c r="L133" i="140"/>
  <c r="J117" i="140"/>
  <c r="K117" i="140" s="1"/>
  <c r="L134" i="140"/>
  <c r="U133" i="140"/>
  <c r="I76" i="140"/>
  <c r="N76" i="140" s="1"/>
  <c r="U134" i="140"/>
  <c r="K128" i="132"/>
  <c r="I26" i="140" s="1"/>
  <c r="N26" i="140" s="1"/>
  <c r="K917" i="132"/>
  <c r="M917" i="132" s="1"/>
  <c r="K511" i="132"/>
  <c r="M511" i="132" s="1"/>
  <c r="K97" i="140"/>
  <c r="L97" i="140"/>
  <c r="K79" i="140"/>
  <c r="L79" i="140"/>
  <c r="U97" i="140"/>
  <c r="M117" i="132"/>
  <c r="I25" i="140"/>
  <c r="N25" i="140" s="1"/>
  <c r="U79" i="140"/>
  <c r="L98" i="140" l="1"/>
  <c r="L117" i="140"/>
  <c r="L95" i="140"/>
  <c r="K135" i="140"/>
  <c r="U135" i="140"/>
  <c r="J114" i="140"/>
  <c r="L114" i="140" s="1"/>
  <c r="U95" i="140"/>
  <c r="U98" i="140"/>
  <c r="L49" i="140"/>
  <c r="U49" i="140"/>
  <c r="U117" i="140"/>
  <c r="M128" i="132"/>
  <c r="J76" i="140"/>
  <c r="L76" i="140" s="1"/>
  <c r="I77" i="140"/>
  <c r="N77" i="140" s="1"/>
  <c r="I115" i="140"/>
  <c r="N115" i="140" s="1"/>
  <c r="J26" i="140"/>
  <c r="J25" i="140"/>
  <c r="U114" i="140" l="1"/>
  <c r="K114" i="140"/>
  <c r="J77" i="140"/>
  <c r="L77" i="140" s="1"/>
  <c r="U76" i="140"/>
  <c r="K76" i="140"/>
  <c r="J115" i="140"/>
  <c r="L115" i="140" s="1"/>
  <c r="K26" i="140"/>
  <c r="L26" i="140"/>
  <c r="L25" i="140"/>
  <c r="K25" i="140"/>
  <c r="U26" i="140"/>
  <c r="U25" i="140"/>
  <c r="G435" i="107"/>
  <c r="G441" i="107" s="1"/>
  <c r="G417" i="107"/>
  <c r="G423" i="107" s="1"/>
  <c r="E425" i="107" s="1"/>
  <c r="E429" i="107" s="1"/>
  <c r="E430" i="107" l="1"/>
  <c r="K173" i="132" s="1"/>
  <c r="M173" i="132" s="1"/>
  <c r="K77" i="140"/>
  <c r="U77" i="140"/>
  <c r="K115" i="140"/>
  <c r="U115" i="140"/>
  <c r="F425" i="107"/>
  <c r="F429" i="107" s="1"/>
  <c r="F443" i="107"/>
  <c r="F447" i="107" s="1"/>
  <c r="F448" i="107" s="1"/>
  <c r="G443" i="107"/>
  <c r="E443" i="107"/>
  <c r="E447" i="107" s="1"/>
  <c r="E448" i="107" s="1"/>
  <c r="G400" i="107"/>
  <c r="G406" i="107" s="1"/>
  <c r="E408" i="107" s="1"/>
  <c r="F430" i="107" l="1"/>
  <c r="K184" i="132"/>
  <c r="M184" i="132" s="1"/>
  <c r="K596" i="132"/>
  <c r="M596" i="132" s="1"/>
  <c r="G425" i="107"/>
  <c r="G429" i="107" s="1"/>
  <c r="F408" i="107"/>
  <c r="G408" i="107" s="1"/>
  <c r="G412" i="107" s="1"/>
  <c r="E412" i="107"/>
  <c r="G447" i="107"/>
  <c r="G448" i="107" s="1"/>
  <c r="G430" i="107" l="1"/>
  <c r="K958" i="132" s="1"/>
  <c r="M958" i="132" s="1"/>
  <c r="I36" i="140"/>
  <c r="N36" i="140" s="1"/>
  <c r="I84" i="140"/>
  <c r="N84" i="140" s="1"/>
  <c r="K972" i="132"/>
  <c r="M972" i="132" s="1"/>
  <c r="K178" i="132"/>
  <c r="K544" i="132"/>
  <c r="M544" i="132" s="1"/>
  <c r="K967" i="132"/>
  <c r="M967" i="132" s="1"/>
  <c r="F412" i="107"/>
  <c r="I33" i="140"/>
  <c r="N33" i="140" s="1"/>
  <c r="J36" i="140" l="1"/>
  <c r="L36" i="140" s="1"/>
  <c r="I121" i="140"/>
  <c r="N121" i="140" s="1"/>
  <c r="I83" i="140"/>
  <c r="N83" i="140" s="1"/>
  <c r="I122" i="140"/>
  <c r="N122" i="140" s="1"/>
  <c r="I120" i="140"/>
  <c r="N120" i="140" s="1"/>
  <c r="K569" i="132"/>
  <c r="M569" i="132" s="1"/>
  <c r="M178" i="132"/>
  <c r="I35" i="140"/>
  <c r="N35" i="140" s="1"/>
  <c r="J84" i="140"/>
  <c r="J33" i="140"/>
  <c r="J121" i="140" l="1"/>
  <c r="L121" i="140" s="1"/>
  <c r="K36" i="140"/>
  <c r="U36" i="140"/>
  <c r="J120" i="140"/>
  <c r="L120" i="140" s="1"/>
  <c r="J83" i="140"/>
  <c r="K83" i="140" s="1"/>
  <c r="J122" i="140"/>
  <c r="K122" i="140" s="1"/>
  <c r="I82" i="140"/>
  <c r="N82" i="140" s="1"/>
  <c r="K84" i="140"/>
  <c r="L84" i="140"/>
  <c r="L33" i="140"/>
  <c r="K33" i="140"/>
  <c r="M1653" i="132"/>
  <c r="I1657" i="132" s="1"/>
  <c r="U33" i="140"/>
  <c r="U84" i="140"/>
  <c r="J35" i="140"/>
  <c r="U121" i="140" l="1"/>
  <c r="K120" i="140"/>
  <c r="L83" i="140"/>
  <c r="K121" i="140"/>
  <c r="L122" i="140"/>
  <c r="U120" i="140"/>
  <c r="U83" i="140"/>
  <c r="J82" i="140"/>
  <c r="L82" i="140" s="1"/>
  <c r="U122" i="140"/>
  <c r="I1656" i="132"/>
  <c r="M1655" i="132"/>
  <c r="L35" i="140"/>
  <c r="K35" i="140"/>
  <c r="M1656" i="132"/>
  <c r="U35" i="140"/>
  <c r="K82" i="140" l="1"/>
  <c r="U82" i="140"/>
  <c r="J44" i="203"/>
  <c r="J249" i="140"/>
  <c r="F256" i="140"/>
  <c r="P20" i="140"/>
  <c r="M1657" i="132" l="1"/>
  <c r="N1658" i="132" s="1"/>
  <c r="M1658" i="132" s="1"/>
  <c r="U44" i="203"/>
  <c r="L249" i="140"/>
  <c r="K249" i="140"/>
  <c r="F44" i="203"/>
  <c r="J250" i="140" l="1"/>
  <c r="L250" i="140" s="1"/>
  <c r="J45" i="203"/>
  <c r="J49" i="203" s="1"/>
  <c r="F50" i="203" s="1"/>
  <c r="M1660" i="132"/>
  <c r="P1258" i="132"/>
  <c r="J255" i="140"/>
  <c r="K255" i="140" s="1"/>
  <c r="K44" i="203"/>
  <c r="L44" i="203"/>
  <c r="U249" i="140"/>
  <c r="K250" i="140" l="1"/>
  <c r="K256" i="140" s="1"/>
  <c r="L257" i="140" s="1"/>
  <c r="F45" i="203"/>
  <c r="L45" i="203" s="1"/>
  <c r="L255" i="140"/>
  <c r="L256" i="140" s="1"/>
  <c r="F48" i="203"/>
  <c r="K48" i="203" s="1"/>
  <c r="J256" i="140"/>
  <c r="F257" i="140" s="1"/>
  <c r="F258" i="140" s="1"/>
  <c r="U255" i="140"/>
  <c r="K45" i="203" l="1"/>
  <c r="K49" i="203" s="1"/>
  <c r="L50" i="203" s="1"/>
  <c r="F49" i="203"/>
  <c r="F51" i="203" s="1"/>
  <c r="L48" i="203"/>
  <c r="L49" i="203" s="1"/>
  <c r="L258" i="140"/>
  <c r="L51" i="203" l="1"/>
</calcChain>
</file>

<file path=xl/sharedStrings.xml><?xml version="1.0" encoding="utf-8"?>
<sst xmlns="http://schemas.openxmlformats.org/spreadsheetml/2006/main" count="8530" uniqueCount="2353">
  <si>
    <t xml:space="preserve"> </t>
  </si>
  <si>
    <t>Frames : Sal Wood</t>
  </si>
  <si>
    <t>Vertical posts</t>
  </si>
  <si>
    <t>Local</t>
  </si>
  <si>
    <t>Kg</t>
  </si>
  <si>
    <t>Cum</t>
  </si>
  <si>
    <t>Quantity</t>
  </si>
  <si>
    <t>Description of the work</t>
  </si>
  <si>
    <t>Rate</t>
  </si>
  <si>
    <t>Per</t>
  </si>
  <si>
    <t>Amount</t>
  </si>
  <si>
    <t>No's</t>
  </si>
  <si>
    <t>L</t>
  </si>
  <si>
    <t>B</t>
  </si>
  <si>
    <t>D</t>
  </si>
  <si>
    <t>-</t>
  </si>
  <si>
    <t>Unit</t>
  </si>
  <si>
    <t>Blasting charges</t>
  </si>
  <si>
    <t>a)</t>
  </si>
  <si>
    <t>Mazdoor (Un-Skilled)</t>
  </si>
  <si>
    <t>b)</t>
  </si>
  <si>
    <t>hour</t>
  </si>
  <si>
    <t>Material</t>
  </si>
  <si>
    <t>S No</t>
  </si>
  <si>
    <t>Index Code</t>
  </si>
  <si>
    <t>Description of the Work</t>
  </si>
  <si>
    <t xml:space="preserve">Labour </t>
  </si>
  <si>
    <t>day</t>
  </si>
  <si>
    <t>Rate per 1 Cum</t>
  </si>
  <si>
    <t>MT</t>
  </si>
  <si>
    <t>Lit</t>
  </si>
  <si>
    <t>Unit = Cum</t>
  </si>
  <si>
    <t>Sand for filling</t>
  </si>
  <si>
    <t xml:space="preserve">Cement  </t>
  </si>
  <si>
    <t>t</t>
  </si>
  <si>
    <t>cum</t>
  </si>
  <si>
    <t>Unit = tonne</t>
  </si>
  <si>
    <t>HYSD Bars including 5% for overlaps &amp; wastage</t>
  </si>
  <si>
    <t>Binding wire</t>
  </si>
  <si>
    <t>Rate per 1.000 tonne</t>
  </si>
  <si>
    <t>Taking Output 1.000 tonne</t>
  </si>
  <si>
    <t>Bricks</t>
  </si>
  <si>
    <t>Unit = 10 Sqm</t>
  </si>
  <si>
    <t>Cement Mortar (1:3)</t>
  </si>
  <si>
    <t xml:space="preserve">Cost of Cement  </t>
  </si>
  <si>
    <t>Man Mazdoor for mixing mortar</t>
  </si>
  <si>
    <t>BLD-CSTN    -1-4</t>
  </si>
  <si>
    <t>Cement Mortar (1:4)</t>
  </si>
  <si>
    <t>Cement Mortar (1:5)</t>
  </si>
  <si>
    <t>Cement Mortar (1:6)</t>
  </si>
  <si>
    <t>Cement Mortar (1:8)</t>
  </si>
  <si>
    <t>BLD-CSTN    -1-5</t>
  </si>
  <si>
    <t>BLD-CSTN    -1-6</t>
  </si>
  <si>
    <t>BLD-CSTN    -1-7</t>
  </si>
  <si>
    <t>BLD-CSTN    -1-8</t>
  </si>
  <si>
    <t>Filling with Sand in trenches, sides of foundations &amp; basement by watering and ramming including all operational, incidental, labour charges, hire charges of T&amp;P etc complete including cost and conveyance of material and labour charges etc complete for finished item of the work (APSS No 309&amp; 310) per 1 Cum</t>
  </si>
  <si>
    <t>Coarse aggregate 40mm metal</t>
  </si>
  <si>
    <t>water (including for curing)</t>
  </si>
  <si>
    <t>kl</t>
  </si>
  <si>
    <t>Kl</t>
  </si>
  <si>
    <t>A. Materials</t>
  </si>
  <si>
    <t>B. Machinery</t>
  </si>
  <si>
    <t>Concrete mixer 10/7 cft (0.2/0.8cum) capacity</t>
  </si>
  <si>
    <t>C. Labour</t>
  </si>
  <si>
    <t>Mason 1st class</t>
  </si>
  <si>
    <t>BLD-CSTN-2-7</t>
  </si>
  <si>
    <t>BLD-CSTN-2-13-A</t>
  </si>
  <si>
    <t xml:space="preserve">Plain Cement Concrete (1:5:10) proportion Nominal mix for foundations using 40mm size SS-5 metal including cost and conveyance of all materials and curing charges, labour charges, machine mixing and laying concrete in foundations ramming etc complete for Bed Concrete  (APSS No 402)  </t>
  </si>
  <si>
    <t>B. Labour</t>
  </si>
  <si>
    <t>Mason 2nd class</t>
  </si>
  <si>
    <t>Mazdoor (both Men and Women)</t>
  </si>
  <si>
    <t>Basic Cost for 1.00 Cum</t>
  </si>
  <si>
    <t>Columns Footings</t>
  </si>
  <si>
    <t>Rate for M-20 Nominal Basic Cost 1.00 Cum</t>
  </si>
  <si>
    <t>Columns Pedastals</t>
  </si>
  <si>
    <t>Plinth Beams</t>
  </si>
  <si>
    <t>BLD-CSTN-2-13-B</t>
  </si>
  <si>
    <t>sqm</t>
  </si>
  <si>
    <t>BLD-CSTN-2-13-C</t>
  </si>
  <si>
    <t>Roof Slabs and Beams</t>
  </si>
  <si>
    <t>Columns, Lintels and  RCC Walls in Buildings</t>
  </si>
  <si>
    <t>Foundations, plinth Beams and  Pedastals</t>
  </si>
  <si>
    <t>RM</t>
  </si>
  <si>
    <t>BLD-CSTN-    3-1a (iv)</t>
  </si>
  <si>
    <t>Unit = 1 Cum</t>
  </si>
  <si>
    <t>Mazdoor (un-skilled)</t>
  </si>
  <si>
    <t>Rate per 1.00 Cum</t>
  </si>
  <si>
    <t>BLD-CSTN-6-1</t>
  </si>
  <si>
    <t>Rate per 10.00 Sqm</t>
  </si>
  <si>
    <t>BLD-CSTN-6-3</t>
  </si>
  <si>
    <t>kg</t>
  </si>
  <si>
    <t>Cement for CM (1:8) proportion for basecoat</t>
  </si>
  <si>
    <t>Cement for slurry</t>
  </si>
  <si>
    <t>Cement for jointing</t>
  </si>
  <si>
    <t>Painter 1st class</t>
  </si>
  <si>
    <t>Sundries including brushes @ 1% overall above</t>
  </si>
  <si>
    <t>BLD-CSTN -10-6 &amp; 10-12 (iii)</t>
  </si>
  <si>
    <t>Primary Coat on New Wood Work</t>
  </si>
  <si>
    <t>Painting Two Coats on New Wood Work</t>
  </si>
  <si>
    <t>Total Rate per Primary &amp;Two coats 10.00 Sqm</t>
  </si>
  <si>
    <t>Unit = Each</t>
  </si>
  <si>
    <t>Earthwork Excavation</t>
  </si>
  <si>
    <t>Sqm</t>
  </si>
  <si>
    <t>Total Qty</t>
  </si>
  <si>
    <t>Rs</t>
  </si>
  <si>
    <t>Cement for CM (1:3) for basecoat</t>
  </si>
  <si>
    <t>a) Material</t>
  </si>
  <si>
    <t xml:space="preserve">Cement </t>
  </si>
  <si>
    <t>Day</t>
  </si>
  <si>
    <t>Sand for Plastering including 5% wastage</t>
  </si>
  <si>
    <t>Sand for Mortar including 5% wastage</t>
  </si>
  <si>
    <t xml:space="preserve">Sand for Concrete </t>
  </si>
  <si>
    <t xml:space="preserve">Fine aggregate (Sand) for Mortar </t>
  </si>
  <si>
    <t xml:space="preserve">Sand for Mortar CM (1:8) proportion </t>
  </si>
  <si>
    <t>No</t>
  </si>
  <si>
    <t>Total</t>
  </si>
  <si>
    <t xml:space="preserve">Mazdoor (Un-Skilled) </t>
  </si>
  <si>
    <t xml:space="preserve">Rate per 1 Cum </t>
  </si>
  <si>
    <t xml:space="preserve">Bar bender  </t>
  </si>
  <si>
    <t>Rate per 1.00 Sqm</t>
  </si>
  <si>
    <t>Unskilled Labour Charges</t>
  </si>
  <si>
    <t>Measurements</t>
  </si>
  <si>
    <t xml:space="preserve">Supplying, fitting &amp; placing HYSD bar reinforcement in foundation complete including labour charges for cutting, bending to required sizes and shapes, placing in position and tying with binding wire, forming grills for reinforcement work including c/c of steel bars below 36mm dia including overlaps and wastage, where they are not welded </t>
  </si>
  <si>
    <t xml:space="preserve">Ceiling Plastering to Ceiling in CM (1:3) 12mm thick with dubara sponge finishing  including c/c of all materials including labour charges such as mixing cement mortar and curing etc complete for finished item of work (APSS 901 &amp; 903) </t>
  </si>
  <si>
    <t xml:space="preserve">Plastering in CM (1:5) 12mm thick  single coat including c/c of all materials and labour charges such as mixing cement mortar etc and curing etc complete for finished item of work (APSS 901,  903 &amp; 904) </t>
  </si>
  <si>
    <t>RCC  Columns</t>
  </si>
  <si>
    <t xml:space="preserve">RCC  Plinth Beam </t>
  </si>
  <si>
    <t>RCC Lintels</t>
  </si>
  <si>
    <t>RCC  Sunshades</t>
  </si>
  <si>
    <t>RCC  Roof Beams</t>
  </si>
  <si>
    <t>RCC Footings</t>
  </si>
  <si>
    <t>RCC Pedastals</t>
  </si>
  <si>
    <t>BM CM (1:8) Super</t>
  </si>
  <si>
    <t>Sand Filling</t>
  </si>
  <si>
    <t>Cement required</t>
  </si>
  <si>
    <t>Ceiling Plaster CM (1:3) 12mm</t>
  </si>
  <si>
    <t>Qty</t>
  </si>
  <si>
    <t>Metal</t>
  </si>
  <si>
    <t xml:space="preserve">Total  </t>
  </si>
  <si>
    <t>Kgs</t>
  </si>
  <si>
    <t>Bags</t>
  </si>
  <si>
    <t>BLD-CSTN- 8 -25</t>
  </si>
  <si>
    <t>Deputy Executive Engineer</t>
  </si>
  <si>
    <t>Painter</t>
  </si>
  <si>
    <t xml:space="preserve">Providing impervious coat to exposed RCC Roof Slab surface with CM (1:3) 12mm thick with 1Kg of water proof compound per bag of Cement laid over roof when it is green including c/c of all materials and labour charges for mixing mortar, laying, rendering smooth and thread lining of wall &amp; slab etc complete for finished item of work (APSS 901,903) </t>
  </si>
  <si>
    <t>Footings</t>
  </si>
  <si>
    <t>20mm HBG Machine Crushed Chips</t>
  </si>
  <si>
    <t>Man / Women Mazdoor</t>
  </si>
  <si>
    <t>1 KLt</t>
  </si>
  <si>
    <t>Skilled Electrician</t>
  </si>
  <si>
    <t>Mate, Semi Skilled Electrician</t>
  </si>
  <si>
    <t>Helper</t>
  </si>
  <si>
    <t>F 12</t>
  </si>
  <si>
    <t>F 66</t>
  </si>
  <si>
    <t>Concrete Mixer 0.28 Cum</t>
  </si>
  <si>
    <t>Hour</t>
  </si>
  <si>
    <t>F 68</t>
  </si>
  <si>
    <t>F 70</t>
  </si>
  <si>
    <t>BLD-CSTN-2-5</t>
  </si>
  <si>
    <t xml:space="preserve">Plain Cement Concrete (1:4:8) proportion Nominal mix for foundations using 40mm size SS-5 metal including cost and conveyance of all materials and curing charges, labour charges, machine mixing and laying concrete in foundations ramming etc complete for Bed Concrete  (APSS No 402)  </t>
  </si>
  <si>
    <t>F 93</t>
  </si>
  <si>
    <t>Needle Vibrator 40mm (Petrole)</t>
  </si>
  <si>
    <t>F 97</t>
  </si>
  <si>
    <t>GF</t>
  </si>
  <si>
    <t>FF</t>
  </si>
  <si>
    <t>SF</t>
  </si>
  <si>
    <t xml:space="preserve">Centering charges for Columns material hire charges </t>
  </si>
  <si>
    <t xml:space="preserve">Centering charges for Columns Labour charges </t>
  </si>
  <si>
    <t xml:space="preserve">Centering charges for Lintels material hire charges </t>
  </si>
  <si>
    <t xml:space="preserve">Centering charges for Lintels Labour charges </t>
  </si>
  <si>
    <t>Basic Rate Chajja 1.00 Cum</t>
  </si>
  <si>
    <t>2.0M X 0.5M X 0.05M = 0.05Cum / 1.00 Sqm</t>
  </si>
  <si>
    <t>Add Lift Charges @ 10%, 20% on Labour charges on B</t>
  </si>
  <si>
    <t xml:space="preserve">Centering charges for Chajja material hire charges </t>
  </si>
  <si>
    <t xml:space="preserve">Centering charges for Chajja Labour charges </t>
  </si>
  <si>
    <t>Sunshades of 0.60M width with 3" &amp; 2" thick</t>
  </si>
  <si>
    <t>Basic Rate Sunshade 1.00 Cum</t>
  </si>
  <si>
    <t xml:space="preserve"> 1.00 Sqm</t>
  </si>
  <si>
    <t xml:space="preserve"> 1.00 RM</t>
  </si>
  <si>
    <t xml:space="preserve">Centering charges for Beams material hire charges </t>
  </si>
  <si>
    <t xml:space="preserve">Centering charges for Beams Labour charges </t>
  </si>
  <si>
    <t xml:space="preserve">Centering charges for Roof Slab material hire charges </t>
  </si>
  <si>
    <t xml:space="preserve">Centering charges for Roof Slab Labour charges </t>
  </si>
  <si>
    <t>1.00 Sqm</t>
  </si>
  <si>
    <t>1.00 Cum</t>
  </si>
  <si>
    <t xml:space="preserve">Centering charges for Waist Slab material hire charges </t>
  </si>
  <si>
    <t xml:space="preserve">Centering charges for Waist Slab Labour charges </t>
  </si>
  <si>
    <t>F 212</t>
  </si>
  <si>
    <t>Supplying  &amp; fixing of Iron Doors and Windows Grills including labour charges for fabricating steel including cost of welding rods, power charges &amp; fixing the grill in position etc complete</t>
  </si>
  <si>
    <t>Unit = Kg</t>
  </si>
  <si>
    <t>Structural steel angles for grills including wastage</t>
  </si>
  <si>
    <t>Labour charge  fabricating steel grills BMM.V.14</t>
  </si>
  <si>
    <t>Labour charg fixing grill in position BMM.V.15</t>
  </si>
  <si>
    <t>Rate per 1.00 Kg</t>
  </si>
  <si>
    <t>Basic Rate for Walls</t>
  </si>
  <si>
    <t>10.00 Sqm</t>
  </si>
  <si>
    <t>BLD-CSTN-7-5</t>
  </si>
  <si>
    <t>Cement for pointing with CM (1:3)</t>
  </si>
  <si>
    <t xml:space="preserve">Sand for Mortar for CM (1:8) proportion </t>
  </si>
  <si>
    <t>Sand for Moratr for pointing</t>
  </si>
  <si>
    <t>BLD-CSTN-7-20</t>
  </si>
  <si>
    <t xml:space="preserve">Sand for Mortar for CM (1:5) proportion </t>
  </si>
  <si>
    <t>Cement for CM (1:5) base coat</t>
  </si>
  <si>
    <t>Cement for Slurry</t>
  </si>
  <si>
    <t>Vitrified tiles  600X600X8mm th BMT-C.09</t>
  </si>
  <si>
    <t>White Cement jointing &amp; pointing BMS.W.68</t>
  </si>
  <si>
    <t>BLD-CSTN-7-6</t>
  </si>
  <si>
    <t>BLD-CSTN-7-18</t>
  </si>
  <si>
    <t>Glazed Ceramic wall tiles 6mm BMT.C.21</t>
  </si>
  <si>
    <t xml:space="preserve">Sand for Mortar CM (1:3) proportion </t>
  </si>
  <si>
    <t>Cement for CM (1:3) base coat</t>
  </si>
  <si>
    <t xml:space="preserve">Flooring with Ceramic non skid tiles of not less than 7-8mm thick 1st quality laid over floor bed / VRCC slab set over base coat of CM (1:8), 12mm thick and neat grey Cement slurry of honey like consistency spread @ 3.30 Kgs per Sqm &amp; jointed with neat white Cement paste to full depth mixed with pigment of matching shade including c/c of all materials to site including cost of mixing of mortar and watering and levelling to proper slope and curing including all labour charges etc for finished item of work  </t>
  </si>
  <si>
    <t xml:space="preserve">Flooring with Porcelain Vitrified tiles stain free double charged of 1st quality and of size not less than 600X600X8mm thickness glossy finish premium colours, set over base coat of CM (1:8), 12mm thick over already laid CC bed / RCC Roof slab, including neat Cement slurry of honey like consistency spread @ 3.30 Kgs per Sqm &amp; jointed with neat white Cement paste to full depth mixed with pigment of matching shade including c/c of all materials like Cement, Sand and Water and tiles etc complete including labour charges etc complete for finished item of work </t>
  </si>
  <si>
    <t xml:space="preserve">Providing Skirting to internal walls to 15cm height / risers of steps with Porcelain Vitrified tiles length equal to flooring stones, set over base coat of CM (1:5) 12mm thick with Cement slurry of honey like consistency spread @ 3.30 Kgs per Sqm &amp; jointed with white Cement paste mixed with pigment of matching shade to full depth, including c/c of materials like Cement, Sand and Water and tiles etc complete for finished item of work </t>
  </si>
  <si>
    <t xml:space="preserve">Providing Daddooing to walls with 5 to 7mm thick Glazed Ceramic wall tiles of 1st quality of 6mm thick set over base coat of CM (1:3) 12mm thick with Cement slurry of honey like consistency spread @ 3.30 Kgs per Sqm &amp; jointed with neat white Cement paste to full depth mixed with pigment of matching shade including c/c of all materials to site, cost of all materials like tiles, Cement, sand and water etc complete for finished item of work  </t>
  </si>
  <si>
    <t xml:space="preserve">White Cement for jointing and pointing </t>
  </si>
  <si>
    <t>F 435</t>
  </si>
  <si>
    <t>Wood primer BMT.J.05</t>
  </si>
  <si>
    <t>Synthatic Enamil Paint at 20sqm/Lt BMT.J.29</t>
  </si>
  <si>
    <t xml:space="preserve">Man Mazdoor  </t>
  </si>
  <si>
    <t xml:space="preserve">Semi Skilled Electrician </t>
  </si>
  <si>
    <t>F 627</t>
  </si>
  <si>
    <t>F 628</t>
  </si>
  <si>
    <t>F 629</t>
  </si>
  <si>
    <t>F 210</t>
  </si>
  <si>
    <t>Ground Floor</t>
  </si>
  <si>
    <t>BLD-CSTN-     3-3</t>
  </si>
  <si>
    <t>Unit = 1 sqm</t>
  </si>
  <si>
    <t>Meeting Hall</t>
  </si>
  <si>
    <t>First Floor</t>
  </si>
  <si>
    <t xml:space="preserve">Total Quantity </t>
  </si>
  <si>
    <t xml:space="preserve">40mm Metal </t>
  </si>
  <si>
    <t>20mm HBG Chips</t>
  </si>
  <si>
    <t>20mm-12mm Chips</t>
  </si>
  <si>
    <t>Sand  Mortar</t>
  </si>
  <si>
    <t>Sand  Concrete</t>
  </si>
  <si>
    <t>Sand Plastering</t>
  </si>
  <si>
    <t>Seigniorage Charges MGNREGS Grant</t>
  </si>
  <si>
    <t>Rough Stone</t>
  </si>
  <si>
    <t>PCC (1:4:8)</t>
  </si>
  <si>
    <t>RCC Landing Slab 150mm th</t>
  </si>
  <si>
    <t>RCC  Roof Slab 125mm th</t>
  </si>
  <si>
    <t>Plaster'ing CM (1:5) 12mm th</t>
  </si>
  <si>
    <t>Ceramic Tiles Flooring</t>
  </si>
  <si>
    <t>Daddooing wall tiles</t>
  </si>
  <si>
    <t>Flooring Vetrified Tiles</t>
  </si>
  <si>
    <t>Skirting Vetrified Tiles</t>
  </si>
  <si>
    <t>Lead in KM</t>
  </si>
  <si>
    <t>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t>
  </si>
  <si>
    <t>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t>
  </si>
  <si>
    <t>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t>
  </si>
  <si>
    <t>PANCHAYATI RAJ ENGINEERING DEPARTMENT</t>
  </si>
  <si>
    <t>NAME OF THE WORK</t>
  </si>
  <si>
    <t>:</t>
  </si>
  <si>
    <t>ESTIMATE COST                 Rs</t>
  </si>
  <si>
    <t>GRANT</t>
  </si>
  <si>
    <t>NAME OF THE MANDAL</t>
  </si>
  <si>
    <t>NAME OF SUB.DIVISION.</t>
  </si>
  <si>
    <t>NAME OF THE DIVISION</t>
  </si>
  <si>
    <t>NAME OF CIRCLE</t>
  </si>
  <si>
    <t>ONGOLE</t>
  </si>
  <si>
    <t>NAME OF DISTRICT</t>
  </si>
  <si>
    <t xml:space="preserve">PRAKASAM </t>
  </si>
  <si>
    <t>Landing slab</t>
  </si>
  <si>
    <t>Digital Store</t>
  </si>
  <si>
    <t>Est.Rs.</t>
  </si>
  <si>
    <t>S.No</t>
  </si>
  <si>
    <t>Description of Item</t>
  </si>
  <si>
    <t>x</t>
  </si>
  <si>
    <t>1Cum</t>
  </si>
  <si>
    <t>1Sqm</t>
  </si>
  <si>
    <t>1No</t>
  </si>
  <si>
    <t>1Kg</t>
  </si>
  <si>
    <t>Supply and Fixing of Premium make CPVC Pipes and Fittings to meet the requirement of ASTM-D 2846 and are produced in CTS (Copper Tube Sizes 1/2" ton 2" Ashirvad  lowgurard SDR 11 and SDR 13.5 pipes are made from  dential CPVC compounds having the same physical  roperties for Hot and Cold Water (IS 15778:2007)</t>
  </si>
  <si>
    <t>Rm</t>
  </si>
  <si>
    <t>Labour charges for laying, joining, welding, fixing and commissioning the C-PVC pipes including all specials such ascouplers/ bends/ tees etc including fixing necessary fittings like bends, plugs, couplers, junctions, tees, etc with welding the joint as per standard practice - up to 40 mm dia</t>
  </si>
  <si>
    <t>1Rm</t>
  </si>
  <si>
    <t>Deduct windows</t>
  </si>
  <si>
    <t>1MT</t>
  </si>
  <si>
    <t>Deduct columns</t>
  </si>
  <si>
    <t>Filling in foundation with excavated soil as per drawing and technical specification Clause 305.3.9 MORD &amp; 304 MORTH.</t>
  </si>
  <si>
    <t xml:space="preserve">S&amp; F 40  mm HDPE pipe 12.5 kg/sqcm  properties &amp; weight as per IS 1239 ISI mark with GI fittings including the cost of pipe &amp; its fittings &amp; labour charges </t>
  </si>
  <si>
    <t>S&amp;F of 180mm dia bore cap</t>
  </si>
  <si>
    <t>S&amp;F of 25mm dia GI pipe</t>
  </si>
  <si>
    <t>S&amp;F of 25mm dia GI Bends</t>
  </si>
  <si>
    <t>S&amp;F of 25mm dia Clamp set</t>
  </si>
  <si>
    <t>Supply of 3 core 1.50 sqm flat copper cable as per for submersible motors of makes polycab for service mains including cost of material and labour charges and taxes etc., complete.</t>
  </si>
  <si>
    <t>1rm</t>
  </si>
  <si>
    <t>Providing &amp; placing on Terrace polyethylene water storage tank with Double layer approved brand &amp; manufacture with cover and suitable locking arrangement &amp; making necessary holes for inlet &amp; outlets and overflow pipes but without fittings &amp; base support for tanks</t>
  </si>
  <si>
    <t>Ltr</t>
  </si>
  <si>
    <t>Unforseen items such as if any</t>
  </si>
  <si>
    <t>GROUND FLOOR</t>
  </si>
  <si>
    <t>Clearing light  jungle including up-rooting and removing of Juliflora stumps.</t>
  </si>
  <si>
    <t>Deduct Voids @ 40%</t>
  </si>
  <si>
    <t xml:space="preserve">Plain Cement Concrete (1:4:8) proportion Nominal mix for foundations using 40mm size SS-5 metal including c/c of all materials &amp; labour charges, machine mixing &amp; laying concrete in foundations ramming etc complete for Bed Concrete  (APSS No 402)  </t>
  </si>
  <si>
    <r>
      <t xml:space="preserve">~do~ for  </t>
    </r>
    <r>
      <rPr>
        <b/>
        <sz val="10"/>
        <rFont val="Calibri"/>
        <family val="2"/>
        <scheme val="minor"/>
      </rPr>
      <t>Pedastal concrete etc., complete</t>
    </r>
  </si>
  <si>
    <r>
      <t xml:space="preserve">~do~ for  </t>
    </r>
    <r>
      <rPr>
        <b/>
        <sz val="10"/>
        <rFont val="Calibri"/>
        <family val="2"/>
        <scheme val="minor"/>
      </rPr>
      <t>Columns etc., complete</t>
    </r>
  </si>
  <si>
    <r>
      <t xml:space="preserve">~do~ for  </t>
    </r>
    <r>
      <rPr>
        <b/>
        <sz val="10"/>
        <rFont val="Calibri"/>
        <family val="2"/>
        <scheme val="minor"/>
      </rPr>
      <t>Plinth beam etc., complete</t>
    </r>
  </si>
  <si>
    <r>
      <t xml:space="preserve">~do~ for  </t>
    </r>
    <r>
      <rPr>
        <b/>
        <sz val="10"/>
        <rFont val="Calibri"/>
        <family val="2"/>
        <scheme val="minor"/>
      </rPr>
      <t>Beams etc., complete</t>
    </r>
  </si>
  <si>
    <r>
      <t xml:space="preserve">~do~ for  </t>
    </r>
    <r>
      <rPr>
        <b/>
        <sz val="10"/>
        <rFont val="Calibri"/>
        <family val="2"/>
        <scheme val="minor"/>
      </rPr>
      <t>Waist slab 150mm thick etc., complete</t>
    </r>
  </si>
  <si>
    <r>
      <t xml:space="preserve">~do~ for  </t>
    </r>
    <r>
      <rPr>
        <b/>
        <sz val="10"/>
        <rFont val="Calibri"/>
        <family val="2"/>
        <scheme val="minor"/>
      </rPr>
      <t>Roof slab 125mm thick etc., complete</t>
    </r>
  </si>
  <si>
    <t xml:space="preserve">Brick Masonary for Superstructure with CM (1:8) proportion using 2nd class traditional bricks of size 23X11X7 cms having minimum crushing strength of 40kg/cm2  including c/c of all materials like Cement, Sand, Bricks, water etc including  labour charges such as mixing cement mortar, Scaffolding charges etc complete for finished item of work (APSS No 501 &amp; 504) </t>
  </si>
  <si>
    <t xml:space="preserve">Supplying and Fixing of 25mm dia 2.2 mm thick PVC Conduit pipe concealed in wall with all required accessories including chiseling the wall wherever necessity including masonry work for Light, Fan and separate plug point with wooden.Deep box including all labour charges etc </t>
  </si>
  <si>
    <r>
      <t>Supply and Fixing of Premium make CPVC Pipes and Fittings to meet the requirement of ASTM-D 2846 and are produced in CTS (Copper Tube Sizes 1/2" ton 2" Ashirvad  lowgurard SDR 11 and SDR 13.5 pipes are made from  dential CPVC compounds having the same physical  roperties for Hot and Cold Water (IS 15778:2007)</t>
    </r>
    <r>
      <rPr>
        <b/>
        <sz val="10"/>
        <rFont val="Calibri"/>
        <family val="2"/>
        <scheme val="minor"/>
      </rPr>
      <t>for  32mm dia</t>
    </r>
  </si>
  <si>
    <r>
      <t>Supply and Fixing of Premium make CPVC Pipes and Fittings to meet the requirement of ASTM-D 2846 and are produced in CTS (Copper Tube Sizes 1/2" ton 2" Ashirvad  lowgurard SDR 11 and SDR 13.5 pipes are made from  dential CPVC compounds having the same physical  roperties for Hot and Cold Water (IS 15778:2007)</t>
    </r>
    <r>
      <rPr>
        <b/>
        <sz val="10"/>
        <rFont val="Calibri"/>
        <family val="2"/>
        <scheme val="minor"/>
      </rPr>
      <t>for  25mm dia</t>
    </r>
  </si>
  <si>
    <t>Tiolets</t>
  </si>
  <si>
    <t xml:space="preserve">Mazdoor </t>
  </si>
  <si>
    <t>Taking output-6 Cum</t>
  </si>
  <si>
    <t>Rate per 6 cum</t>
  </si>
  <si>
    <t>Steps</t>
  </si>
  <si>
    <t xml:space="preserve">Plastering to brick masonary wall with  20mm thick double coat in CM (1:6) 16 mm thick base coat and CM (1:4) of 4mm thick top coat with dubara sponge finish including c/c of all materials including all operational, incidental and labour charges such as mixing cement mortar and curing etc complete for finished item of work (APSS 901,  903 &amp; 904) </t>
  </si>
  <si>
    <t>Base Coat in CM(1:6), 16 mm thick</t>
  </si>
  <si>
    <t>Sand Aggregate</t>
  </si>
  <si>
    <t>Base Coat in CM(1:4), 4 mm thick</t>
  </si>
  <si>
    <t>Shutters : Medium Teak Wood</t>
  </si>
  <si>
    <t>Index-code</t>
  </si>
  <si>
    <t>Description</t>
  </si>
  <si>
    <t>Rate Rs.</t>
  </si>
  <si>
    <t>Amount
 Rs.</t>
  </si>
  <si>
    <t>Nos</t>
  </si>
  <si>
    <t>10</t>
  </si>
  <si>
    <t>b) Material</t>
  </si>
  <si>
    <t>Supplying and Fixing European Water Closet of 1st quality make white glazed with 'P' trap with low down porcelain flushing tank 10 Lit Capacity internal components and Fixing best Indian make plastic seat and lid for European water closets with rubber or plastic Buffers including all labour charges for fixing etc., complete.</t>
  </si>
  <si>
    <t>European Water Closet of 1st quality BMW-D.13</t>
  </si>
  <si>
    <t>Flushing Tank 10 Lit capacity BMW-D.11</t>
  </si>
  <si>
    <t>plastic seat and lid BMW-D.16</t>
  </si>
  <si>
    <t>Contract profit @ 13.615%</t>
  </si>
  <si>
    <t>Supplying and fixing Indian make Flat Back Wash Hand Basin (HSW/Parryware/ Neycer) 1st quality conforming to IS:2556-Part-4:1972 of size 450mm x 300mm with 32 mm nominal size C.P. Fitting with parallel pipe thread onforming to IS:2963-1979 and fitted with 15 mm nominal bore Chromium Plated Pillar Tap of 1st quality Indian make 400 grams Seiko/Senior/Nice or equivalent complete with  tandard CI brackets including wooden blocks ,1 No.12.70mm PVC connection with brass union nuts CP  oated , 1 No.12.70mm NP bib tap 400 gms Seiko or equivalent , 31.75mm dia. PVC flexible waste pipe 914.4mm length of 1st quality including cost and  onveyance of all materials to site, labour charges , overheads &amp; contractors profit for finished item of work</t>
  </si>
  <si>
    <t>Cost of wash hand basin SSR  BMW-D.26   S.No.158</t>
  </si>
  <si>
    <t>12.70mm NP bib tap (400gms) BMW-E.07</t>
  </si>
  <si>
    <t>12.70mm dia PVC connection with brass union nuts BMW-I.48</t>
  </si>
  <si>
    <t>31.75mm dia. PVC flexible waste pipe BMW-G.05</t>
  </si>
  <si>
    <t xml:space="preserve">Supplying and fixing of3" (76.2 mm ) Nahany Trap with Jali - UPVC/SWR Pipe fittings as per site requirements with standard practice for all floors including cost and conveyance of all materials to site, labour charges , overheads &amp; contractors profit etc., complete for finished item of work. </t>
  </si>
  <si>
    <t>Initial cost BMW-G.118</t>
  </si>
  <si>
    <t>Nahany trap cover BMW-I.12</t>
  </si>
  <si>
    <t>Supplying and fixing 4" (101.6 mm ) Floor Trap - UPVC/SWR Pipe fittings 1st quality ISI marked conforming to IS:1729-1979 with C.P. Grating fixing with  hite cement as per site requirements with standard practice for all floors  ncluding cost and conveyance of all materials to site, labour charges etc., complete for finished item of work.</t>
  </si>
  <si>
    <t>Initial cost BMW-G.125</t>
  </si>
  <si>
    <t xml:space="preserve">Prince/ Sudhakar make or equivalent quality PVC /SWR pipes &amp; fittings ( as per ISI standards) 4kg/cm2 110mm dia. double socket </t>
  </si>
  <si>
    <t>Taking out put = 3Mts</t>
  </si>
  <si>
    <t>110mm dia pipe BMW-G.13</t>
  </si>
  <si>
    <t>Rate per 3Mts</t>
  </si>
  <si>
    <t>Rate per 1Mts</t>
  </si>
  <si>
    <t xml:space="preserve">Prince/ Sudhakar make or equivalent quality PVC /SWR pipes &amp; fittings ( as per ISI standards) 4kg/cm2 90mm dia. double socket </t>
  </si>
  <si>
    <t>90mm dia pipe BMW-G.15</t>
  </si>
  <si>
    <t xml:space="preserve">Prince/ Sudhakar make or equivalent quality PVC /SWR pipes &amp; fittings ( as per ISI standards) 4kg/cm2 75mm dia. double socket </t>
  </si>
  <si>
    <t>75mm dia pipe BMW-G.14</t>
  </si>
  <si>
    <t>Labour charges for laying, fixing and commissioning the PVC pipes including couplers/ bends/ tees etc any diameter including fixing necessary fittings like bends, plugs, couplers, junctions, tees, etc with solvent jointing as per standard practice</t>
  </si>
  <si>
    <t>Initial cost BMW-G.152</t>
  </si>
  <si>
    <t>Supply &amp; fixing of tested NP bib taps at all levels of 12.70mm dia of Indian make 400g first quality including cost &amp; conveyance of all materials, labour charges for finished item of work, and all taxes complete for all floors</t>
  </si>
  <si>
    <t>Initial cost BMW-E.07</t>
  </si>
  <si>
    <t>Supply &amp; fixing bib cock cum health faucet with 1 m long flexible tube and wall hook of Jaquar make queen series with 7 years warranty Chrome plated / Jupiter Aqua Lines-JALor equivalent series including cost and conveyance of all materials, labour charges , overheads &amp; contractors profit complete for finished item of work in all floors.</t>
  </si>
  <si>
    <t>Initial cost BMW-I.141</t>
  </si>
  <si>
    <t>Cost of Liters(BMW-G.01)</t>
  </si>
  <si>
    <t>Litrs</t>
  </si>
  <si>
    <t>Labour charges(BMW-G.02)</t>
  </si>
  <si>
    <t>15.90mm ODPipe - SDR 13.5 BMW-I.220</t>
  </si>
  <si>
    <t>22.20mm ODPipe - SDR 13.5 BMW-I.221</t>
  </si>
  <si>
    <t>28.60mm ODPipe - SDR 13.5 BMW-I.221</t>
  </si>
  <si>
    <t>34.90mm ODPipe - SDR 13.5 BMW-I.223</t>
  </si>
  <si>
    <t>Labour charges for laying, joining, welding, fixing and
commissioning the C-PVC pipes including all specials such ascouplers/ bends/ tees etc including fixing necessary fittings like bends, plugs, couplers, junctions, tees, etc with welding the joint as per standard practice - up to 40 mm dia</t>
  </si>
  <si>
    <t>Initial cost BMW-I.415</t>
  </si>
  <si>
    <t>Supplying and fixing Gunmetal Gate ( GM peet ) valve as per IS-778 Class - I , Indian make heavy type including cost and conveyance of all materials , labour charges etc.  omplete for finished item of work.</t>
  </si>
  <si>
    <t>25mm Nominal bore BMW-F.17</t>
  </si>
  <si>
    <t>Supply and fixing of 110mm dia ISI mark PVC rain water spouts of 4 Kg/cm2 pressure including Cost of necessary pvc bends, shoes and M.S.clamps and all other accessories and fixing in position including cost and conveyance of all materials to site , seigniorage charges sales and other taxes on all materials, all operational, incidental and labour cahrges such as fixing in alignment etc., complete for finished item of work.(APSS NO1328) in All Floors</t>
  </si>
  <si>
    <t>Taking out put=3 Rm</t>
  </si>
  <si>
    <t>Basic rate as per ssr item BMW-G.13</t>
  </si>
  <si>
    <t>3Rm</t>
  </si>
  <si>
    <t>Cost of P.V.C. Bend BMW-G.57</t>
  </si>
  <si>
    <t>Cost of Clips BMW-G.106</t>
  </si>
  <si>
    <t>Plumber 1st Class</t>
  </si>
  <si>
    <t>Plumber 2nd class</t>
  </si>
  <si>
    <t>Man Mazdoor</t>
  </si>
  <si>
    <t>Cost of 3Rm</t>
  </si>
  <si>
    <t>Rate per 1.00 Rm</t>
  </si>
  <si>
    <t xml:space="preserve">Initial cost </t>
  </si>
  <si>
    <t>Initial cost</t>
  </si>
  <si>
    <t xml:space="preserve">Supply and Transportation of control panel for single phasesubmersible motors up to 3 HP @ 220V 50Hz operating range between 80 to 240V including supply and fixing of Direct - on - Line LTLK / SIEMENS / CROMPTON make Volt meter and Ammeter with starting and running capacitors assembled with ISI mark contactors and fitted with Legrand make ISI mark MCB etc., complete. 
</t>
  </si>
  <si>
    <t>Initial cost ELEC-5.4.15</t>
  </si>
  <si>
    <t>Unite</t>
  </si>
  <si>
    <t>a) Labour charges :</t>
  </si>
  <si>
    <t>Mtr</t>
  </si>
  <si>
    <t>Material Rate for 100 Mtrs</t>
  </si>
  <si>
    <t>Material Rate for  1 Mtr</t>
  </si>
  <si>
    <t>Total Cost of Material + Labour Charges</t>
  </si>
  <si>
    <t>Labour charges for Grooves 2-3mm thick for PVC pipes</t>
  </si>
  <si>
    <t xml:space="preserve"> Initial cost BMM-V.51</t>
  </si>
  <si>
    <t>Copper Cable Makes:Makes: Finolex / RR kabel / Havells /KEI/Polycab/Gloster</t>
  </si>
  <si>
    <t>Accessories Makes:Makes: Legrand Arteor / Schneider Zen celo/ Crabtree Murano or Amare/L&amp;Tenglaze/GM-Zenova/ Goldmedal (GIFA)</t>
  </si>
  <si>
    <t>Mtrs</t>
  </si>
  <si>
    <t>Cost of Material for 6 Points</t>
  </si>
  <si>
    <t>Cost of Material Rate per 1 Point</t>
  </si>
  <si>
    <t>Supply and fixing of 6A/10A ISI Mark 3/2 pin Modular socket with 6A/10A 1way Modular switch, 3 Module box with cover frame on a Common switch board including cost and conveyance of all materials and all labour charges etc., complete in N.R.B.(Data No.             )</t>
  </si>
  <si>
    <t>Accessories MakesLegrand Arteor / Schneider Zen celo/ Crabtree Murano or Amare/L&amp;Tenglaze/GM-Zenova/ Goldmedal (GIFA)</t>
  </si>
  <si>
    <t>Cost of Material for 100 Metres</t>
  </si>
  <si>
    <t>Cost of Material Rate per Mtr= C/100</t>
  </si>
  <si>
    <t>Supply and  Run of 2 of 56/0.3mm (4.00 Sq.mm) with  Run 1 of 22/0.3mm(1.5Sqmm)  FRLS / HFFR PVC insulated flexible ISI mark copper cable in existing pipe for run of mains inlcuding all labour charges etc., complete.(Data No.             )</t>
  </si>
  <si>
    <t>Copper Cable Makes: Finolex / RR kabel / Havells /KEI/Polycab/Gloster</t>
  </si>
  <si>
    <t>BH Makes: GM G Home / Gold Medal Olive / Million Zoom / Great whiteOmega/Koncept/Vimal opel/ Anchor/Vihan/CPL</t>
  </si>
  <si>
    <t>Cost of Material</t>
  </si>
  <si>
    <r>
      <t xml:space="preserve">Supply, Transportation and Fixing of 48" (1200mm) Sweep </t>
    </r>
    <r>
      <rPr>
        <b/>
        <sz val="8"/>
        <color indexed="8"/>
        <rFont val="Calibri"/>
        <family val="2"/>
        <scheme val="minor"/>
      </rPr>
      <t>5 Star rated Ceiling Fan</t>
    </r>
    <r>
      <rPr>
        <sz val="8"/>
        <color indexed="8"/>
        <rFont val="Calibri"/>
        <family val="2"/>
        <scheme val="minor"/>
      </rPr>
      <t xml:space="preserve"> with double ball bearings but without regulator including all standard accessories and all labour charges etc., complete.(Data No.             )</t>
    </r>
  </si>
  <si>
    <t>Ceiling Fan Makes:  Crompton HS Decora / Bajaj Regal Star /
Havells Spark deco / Orient summer crown
/Halonix(Zephyr) /Polycab(India Glory</t>
  </si>
  <si>
    <t xml:space="preserve">a) Labour charges  </t>
  </si>
  <si>
    <t xml:space="preserve">b) Material </t>
  </si>
  <si>
    <t>Transportation Charges on Unit Cost @1%</t>
  </si>
  <si>
    <t>Supply and Transportation and fixing of 1200 mm length,Box type powder coatedtube light luminaire with necessary wiring suitable for fixing 2 Nos retrofit T8 LED tubes but without tube and
choke Makes: Phillips / Crompton /Bajaj/Surya/Havells/HPL</t>
  </si>
  <si>
    <t>Providing independent earthling by excavating a pit to a depth of 2.25Mt in all soils, as per size specified in the Data, using 40mm dia 'B' class GI pipe of 2.5 Mtrs length with necessary No.8 G.I. double earth wire and accessories with 18" dia 2" thick hume pipe ring duly providing staggered holes  including filling with 20Kg Salt and 40Kg Charcoal or 40Kg bentonite powder in layers and all labour charges etc., complete.(Data No.             )</t>
  </si>
  <si>
    <t xml:space="preserve">b) labour charges for fixing pipe ring and connections </t>
  </si>
  <si>
    <t>Sets</t>
  </si>
  <si>
    <t>Set</t>
  </si>
  <si>
    <t>25% extra for narrow trench &amp; pit and back filling with Sand, Coke, Salt etc., and leveling</t>
  </si>
  <si>
    <r>
      <t xml:space="preserve">Cement Qty in </t>
    </r>
    <r>
      <rPr>
        <b/>
        <sz val="10"/>
        <rFont val="Calibri"/>
        <family val="2"/>
        <scheme val="minor"/>
      </rPr>
      <t>Kg</t>
    </r>
  </si>
  <si>
    <r>
      <t>M</t>
    </r>
    <r>
      <rPr>
        <vertAlign val="superscript"/>
        <sz val="10"/>
        <rFont val="Calibri"/>
        <family val="2"/>
        <scheme val="minor"/>
      </rPr>
      <t>3</t>
    </r>
  </si>
  <si>
    <r>
      <t>M</t>
    </r>
    <r>
      <rPr>
        <vertAlign val="superscript"/>
        <sz val="10"/>
        <rFont val="Calibri"/>
        <family val="2"/>
        <scheme val="minor"/>
      </rPr>
      <t>2</t>
    </r>
  </si>
  <si>
    <r>
      <t>Rate / M</t>
    </r>
    <r>
      <rPr>
        <vertAlign val="superscript"/>
        <sz val="10"/>
        <rFont val="Calibri"/>
        <family val="2"/>
        <scheme val="minor"/>
      </rPr>
      <t>3</t>
    </r>
  </si>
  <si>
    <t>To be done</t>
  </si>
  <si>
    <t>110mm dia</t>
  </si>
  <si>
    <t>Providing Electrification items</t>
  </si>
  <si>
    <t>Supply of  Hot Dip galvanized 20/18 SWG Module box with earthing terminal for 12 Module box</t>
  </si>
  <si>
    <t>Supply of  Hot Dip galvanized 20/18 SWG Module box with earthing terminal for 2 Module box</t>
  </si>
  <si>
    <t>Supply and  Run of 2 of 36/0.3mm (2.50 Sq.mm) with  Run 1 of 22/0.3mm(1.5Sqmm)  FRLS / HFFR PVC insulated flexible ISI mark copper cable in existing pipe for run of mains inlcuding all labour charges etc., complete.</t>
  </si>
  <si>
    <t>Supply and  Run of 2 of 56/0.3mm (4.00 Sq.mm) with  Run 1 of 22/0.3mm(1.5Sqmm)  FRLS / HFFR PVC insulated flexible ISI mark copper cable in existing pipe for run of mains inlcuding all labour charges etc., complete</t>
  </si>
  <si>
    <t>Point</t>
  </si>
  <si>
    <t>1Point</t>
  </si>
  <si>
    <t>Supply and fixing of 6A 3/2 pin wall plug socket with 6A switch control on a common switch board with earth continuity including wire leads, earth connections along with all labour charges etc., complete.</t>
  </si>
  <si>
    <t>Supply, Transportation and Fixing of 48" (1200mm) Sweep 5 Star rated Ceiling Fan with double ball bearings but without regulator including all standard accessories and all labour charges etc., complete.</t>
  </si>
  <si>
    <t xml:space="preserve"> Initial cost ELEC-1.3.1 f</t>
  </si>
  <si>
    <t xml:space="preserve"> Initial cost ELEC-1.3.1 a</t>
  </si>
  <si>
    <t>Wiring with run of 2 of 14/0.3mm (1.0 Sq.mm) FRLS / HFFR PVC insulated flexible ISI mark copper cable in existing PVC conduit pipe including Supply and fixing of Jumbo Ceiling rose and 6A/10A ISI Mark 1way Modular switch  in existing Surface or Concealed pipe wiring including cost and conveyance of all material and all labour charges etc., complete for Fan points</t>
  </si>
  <si>
    <t>Wiring with run of 2 of 14/0.3mm (1.0 Sq.mm) FRLS / HFFR PVC insulated flexible ISI mark copper cable in existing PVC conduit pipe including Supply and fixing of  6A/10A ISI Mark 1way Modular switch  in existing Surface or Concealed pipe wiring including cost and conveyance of all material and all labour charges etc., complete for light and bell  points</t>
  </si>
  <si>
    <t>Supply of Cover frames for 12 module box</t>
  </si>
  <si>
    <t xml:space="preserve"> Initial cost ELEC-1.8.3 f</t>
  </si>
  <si>
    <t>Supply of Cover frames for 2 module box</t>
  </si>
  <si>
    <t xml:space="preserve"> Initial cost ELEC-1.8.3 a</t>
  </si>
  <si>
    <t>ELE 2.1.4</t>
  </si>
  <si>
    <t>Supply and Transportation and fixing of 1200 mm length,Box type powder coatedtube light luminaire with necessary wiring suitable for fixing 2 Nos retrofit T8 LED tubes but without tube and choke</t>
  </si>
  <si>
    <t>Provision for Seignorage charges</t>
  </si>
  <si>
    <t>Provision for Name board</t>
  </si>
  <si>
    <t>PCC (1:5:10)</t>
  </si>
  <si>
    <t>CC Steps</t>
  </si>
  <si>
    <t>Drilling of 165mm dia Bore well by down the hole hammer at a fiished dia of 165mm dia in all formations suitable for down the hole hammer drilling such as meduim hard rock formation, all consolidated frormation etc and reaming the borewell to subinsertation of required casing pipe etc including insertion of casing pipe with couplings, caps any other relevant materials upto required depth as directed by the dept, transportation of drilling rigs and supporting vehicle and including bore development. Flushing of Borewell at an avarage pressure of 150PSI conducting yield test, crew charegs required in fixation of pipe assembly completely done to the satisfaction of the dept and incuding all labour charges, but excluding the cost of casing pipe etc. The entire work should be carried out as per IS-2800 part I and II 1979</t>
  </si>
  <si>
    <t>Providing PVC Casing pipe 180mm dia of 6 Kgs/cm2 including cost and conveyance of Pipe and labour charges etc complete for Borewell of 165mm dia. Item No 20 of PH items in SoR 2019-20 Page 67 Rs 636-00 per 1.00 RM</t>
  </si>
  <si>
    <t>Providing independent earthling by excavating a pit to a depth of 2.25Mt in all soils, as per size specified in the Data, using 40mm dia 'B' class GI pipe of 2.5 Mtrs length with necessary No.8 G.I. double earth wire and accessories with 18" dia 2" thick hume pipe ring duly providing staggered holes  including filling with 20Kg Salt and 40Kg Charcoal or 40Kg bentonite powder in layers and all labour charges etc., complete.</t>
  </si>
  <si>
    <t>COMPARATIVE STATEMENT</t>
  </si>
  <si>
    <t>Est Rs.</t>
  </si>
  <si>
    <t xml:space="preserve">Difference </t>
  </si>
  <si>
    <t>Remarks</t>
  </si>
  <si>
    <t xml:space="preserve">Quantity </t>
  </si>
  <si>
    <t xml:space="preserve">Rate </t>
  </si>
  <si>
    <t>Excess</t>
  </si>
  <si>
    <t>Less</t>
  </si>
  <si>
    <t>1</t>
  </si>
  <si>
    <t>2</t>
  </si>
  <si>
    <t>3</t>
  </si>
  <si>
    <t>4</t>
  </si>
  <si>
    <t>5</t>
  </si>
  <si>
    <t>6</t>
  </si>
  <si>
    <t>7</t>
  </si>
  <si>
    <t>8</t>
  </si>
  <si>
    <t>9</t>
  </si>
  <si>
    <t>11</t>
  </si>
  <si>
    <t>Construction of Ground floor</t>
  </si>
  <si>
    <t>Earthwork excavation for foundation</t>
  </si>
  <si>
    <t>12</t>
  </si>
  <si>
    <t>13</t>
  </si>
  <si>
    <t>14</t>
  </si>
  <si>
    <t>15</t>
  </si>
  <si>
    <t>16</t>
  </si>
  <si>
    <t>Cost of steel</t>
  </si>
  <si>
    <t>17</t>
  </si>
  <si>
    <t>18</t>
  </si>
  <si>
    <t>19</t>
  </si>
  <si>
    <t>20</t>
  </si>
  <si>
    <t>Ornamental Plastering 12mm thick to ceiling</t>
  </si>
  <si>
    <t>21</t>
  </si>
  <si>
    <t>22</t>
  </si>
  <si>
    <t>23</t>
  </si>
  <si>
    <t>24</t>
  </si>
  <si>
    <t>25</t>
  </si>
  <si>
    <t>26</t>
  </si>
  <si>
    <t>27</t>
  </si>
  <si>
    <t>28</t>
  </si>
  <si>
    <t>29</t>
  </si>
  <si>
    <t>30</t>
  </si>
  <si>
    <t>32</t>
  </si>
  <si>
    <t>33</t>
  </si>
  <si>
    <t>34</t>
  </si>
  <si>
    <t>35</t>
  </si>
  <si>
    <t>Construction of First Floor</t>
  </si>
  <si>
    <t>41</t>
  </si>
  <si>
    <t>42</t>
  </si>
  <si>
    <t>43</t>
  </si>
  <si>
    <t>44</t>
  </si>
  <si>
    <t>45</t>
  </si>
  <si>
    <t xml:space="preserve">Plastering 12mm thick inside in single coats </t>
  </si>
  <si>
    <t>49</t>
  </si>
  <si>
    <t xml:space="preserve">Flooring with vitrified tiles </t>
  </si>
  <si>
    <t>50</t>
  </si>
  <si>
    <t>Providing skirting to internal walls to 15 cm height</t>
  </si>
  <si>
    <t>51</t>
  </si>
  <si>
    <t>Flooring with Ceramic non skid tiles</t>
  </si>
  <si>
    <t>53</t>
  </si>
  <si>
    <t>54</t>
  </si>
  <si>
    <t>55</t>
  </si>
  <si>
    <t>56</t>
  </si>
  <si>
    <t>57</t>
  </si>
  <si>
    <t>58</t>
  </si>
  <si>
    <t>59</t>
  </si>
  <si>
    <t>60</t>
  </si>
  <si>
    <t>61</t>
  </si>
  <si>
    <t>62</t>
  </si>
  <si>
    <t>63</t>
  </si>
  <si>
    <t>Providing &amp; Supply of Water supply  and Sanitation items</t>
  </si>
  <si>
    <t>64</t>
  </si>
  <si>
    <t>65</t>
  </si>
  <si>
    <t>66</t>
  </si>
  <si>
    <t>67</t>
  </si>
  <si>
    <t>69</t>
  </si>
  <si>
    <t>71</t>
  </si>
  <si>
    <t>72</t>
  </si>
  <si>
    <t>73</t>
  </si>
  <si>
    <t>74</t>
  </si>
  <si>
    <t>76</t>
  </si>
  <si>
    <t>77</t>
  </si>
  <si>
    <t>Provision for GST on cement</t>
  </si>
  <si>
    <t>Provision for GST on Steel</t>
  </si>
  <si>
    <t>TOTAL</t>
  </si>
  <si>
    <t>Difference in estimate</t>
  </si>
  <si>
    <t xml:space="preserve">Clearing light  jungle </t>
  </si>
  <si>
    <t>PCC (1:4:8) for bed concrete</t>
  </si>
  <si>
    <t>PCC (1:5:10) for bed concrete</t>
  </si>
  <si>
    <t>Refilling with excavated soil</t>
  </si>
  <si>
    <t>Plastering 20mm thick double coat</t>
  </si>
  <si>
    <t xml:space="preserve">Supplying  &amp; fixing of Iron  Grills </t>
  </si>
  <si>
    <t>S&amp;F of 32mm dia CPVC pipes</t>
  </si>
  <si>
    <t>S&amp;F of 25mm dia CPVC pipes</t>
  </si>
  <si>
    <t xml:space="preserve">Labour charges for CPVC PIPes </t>
  </si>
  <si>
    <t>S&amp;F of Bib Type Taps</t>
  </si>
  <si>
    <t>S&amp;F of 110mm dia PVC Pipes</t>
  </si>
  <si>
    <t>S&amp;F of 90mm dia PVC Pipes</t>
  </si>
  <si>
    <t>S&amp;F of 75mm dia PVC Pipes</t>
  </si>
  <si>
    <t xml:space="preserve">Labour charges for PVC PIPes </t>
  </si>
  <si>
    <t>S&amp;F of European type water closet</t>
  </si>
  <si>
    <t>S&amp;F of Synthatic Water storage tank</t>
  </si>
  <si>
    <t>Drilling with165mm dia borewell</t>
  </si>
  <si>
    <t>S&amp;F of 180mm dia casing pipe</t>
  </si>
  <si>
    <t xml:space="preserve">S&amp;F  of 25mm dia 2.2 mm thick PVC Conduit pipe </t>
  </si>
  <si>
    <t>200/18 SWG Module box w for 12 Module box</t>
  </si>
  <si>
    <t>200/18 SWG Module box w for 2 Module box</t>
  </si>
  <si>
    <t xml:space="preserve">Wiring with run of 2 of 14/0.3mm (1.0 Sq.mm) </t>
  </si>
  <si>
    <t>Supply and  Run of 2 of 36/0.3mm (2.50 Sq.mm)</t>
  </si>
  <si>
    <t>Supply and  Run of 2 of 56/0.3mm (4.00 Sq.mm)</t>
  </si>
  <si>
    <t>Supply and fixing of 6A 3/2 pin wall plug socket</t>
  </si>
  <si>
    <t>S&amp;F of ISI mark batten holder / angle holder</t>
  </si>
  <si>
    <t>S&amp;F of ceiling fan</t>
  </si>
  <si>
    <t>S&amp;F of Tube light</t>
  </si>
  <si>
    <t>Providng Independent earthing</t>
  </si>
  <si>
    <t xml:space="preserve">Provision for QC @0.5% </t>
  </si>
  <si>
    <t>Provision for Work file</t>
  </si>
  <si>
    <t>Poi</t>
  </si>
  <si>
    <t>As per working estimate</t>
  </si>
  <si>
    <t>Dadoing with Glazed tiles</t>
  </si>
  <si>
    <t>Painting  with Emulsion paint for inernal walls</t>
  </si>
  <si>
    <t>Labour  for Grooves 2-3mm thick for PVC pipes</t>
  </si>
  <si>
    <t>lt</t>
  </si>
  <si>
    <t>SPECIFICATION REPORT</t>
  </si>
  <si>
    <t>Estt. Rs.</t>
  </si>
  <si>
    <t>Verandah</t>
  </si>
  <si>
    <t>Deduct door</t>
  </si>
  <si>
    <r>
      <t xml:space="preserve">~do~ for  </t>
    </r>
    <r>
      <rPr>
        <b/>
        <sz val="10"/>
        <rFont val="Calibri"/>
        <family val="2"/>
        <scheme val="minor"/>
      </rPr>
      <t>lintels etc., complete</t>
    </r>
  </si>
  <si>
    <t>Deduct ventilators</t>
  </si>
  <si>
    <r>
      <t xml:space="preserve">~do~ for  </t>
    </r>
    <r>
      <rPr>
        <b/>
        <sz val="10"/>
        <rFont val="Calibri"/>
        <family val="2"/>
        <scheme val="minor"/>
      </rPr>
      <t>Roof slab 100mm thick etc., complete</t>
    </r>
  </si>
  <si>
    <t>Ground floor</t>
  </si>
  <si>
    <t>First floor</t>
  </si>
  <si>
    <t>Supply and Fixing of ISI  25mm outer dia medium (1.80mm thickness) grade with IS:9537 part 3 regid PVC pipe with PVC / Metallic Junction boxes and all accessories  including Fixing of existing suitable size Consealed box PVC / MS with hook for fan including all labour charges etc., complete.</t>
  </si>
  <si>
    <t>Carridor</t>
  </si>
  <si>
    <t>Alround building</t>
  </si>
  <si>
    <t>Slab projection</t>
  </si>
  <si>
    <t>Sarpanch room</t>
  </si>
  <si>
    <t>Deduct doors</t>
  </si>
  <si>
    <t>Upto 90 Mts</t>
  </si>
  <si>
    <t>90Mts to 150 Mts</t>
  </si>
  <si>
    <t>150Mts to 240 Mts</t>
  </si>
  <si>
    <t>S&amp; F 40  mm HDPE pipe pipe properties &amp; weight as per IS 1239 ISI mark with GI fittings including the cost of pipe &amp; its fittings &amp; labour charges.</t>
  </si>
  <si>
    <t>Supply and Transportation of 2.00HP single phase ISI  submersible mortor Pumpset subitable for 4" bore well Makes:Kirloskar/ Crompton/ CRI/ KSB/ Texmo/Aryan Varsha</t>
  </si>
  <si>
    <t>Qty.P.No. 18 of M.B.No.233-B/2016-17</t>
  </si>
  <si>
    <t>Qty.P.No. 23 of M.B.No.233-B/2016-17</t>
  </si>
  <si>
    <t xml:space="preserve">Plastering in CM (1:5) 20mm thick  single coat including c/c of all materials including all operational, incidental and labour charges such as mixing cement mortar and curing etc complete for finished item of work (APSS 901,  903 &amp; 904)  </t>
  </si>
  <si>
    <t>Frames : Medium Teak Wood</t>
  </si>
  <si>
    <t>Initial cost  ELEC-5.4.1 e</t>
  </si>
  <si>
    <t>180mm dia PVC pipe for casing etc., complete
(Addendum minutes (LR No. RC/ENC (AW)/ADA/AEE/ 24686/Vol.XII/2019 Dt 03.03.2020 of the Engineer in Chief, Water resource department.</t>
  </si>
  <si>
    <t>Supply of 3 core 2.5 sqm flat copper cable as per for submersible motors of makes polycab for service mains including cost of material and labour charges and taxes etc., complete.</t>
  </si>
  <si>
    <t>Initial cost ELEC-1.6.3</t>
  </si>
  <si>
    <t>Plaster'ing 20mm thick double</t>
  </si>
  <si>
    <t>Plaster'ing 20mm thick single</t>
  </si>
  <si>
    <t>RCC  Roof Slab 100mm th</t>
  </si>
  <si>
    <t xml:space="preserve">Painting New Wood / iron work with Two coats of ready mixed Synthatic Enamil paint first quality of shades over primary coat of wood primary making Three coats in all given as even shade after thoroughly brushes the surface to remove all remains of loose provided materials including c/c of all materials and labour charges etc complete for finished item of work </t>
  </si>
  <si>
    <t>Qty.P.No.     of M.B.No.</t>
  </si>
  <si>
    <t>Supplying &amp; Fixing Indian pattern white glazed W.C 1st quality ISI marked conforming to IS:2556-Part-3-1981 with"P" or "S" trap: 630 mm Long</t>
  </si>
  <si>
    <t>Initial cost BMW-D.02</t>
  </si>
  <si>
    <t>Supply of  Hot Dip galvanized 20/18 SWG Module box with earthing terminal for 8 Module box</t>
  </si>
  <si>
    <t xml:space="preserve"> Initial cost ELEC-1.3.1 e</t>
  </si>
  <si>
    <t>Supply of  Hot Dip galvanized 20/18 SWG Module box with earthing terminal for 18 Module box</t>
  </si>
  <si>
    <t xml:space="preserve"> Initial cost ELEC-1.3.1 d 6M</t>
  </si>
  <si>
    <t xml:space="preserve"> Initial cost ELEC-1.3.1 f 12M</t>
  </si>
  <si>
    <t>Supply of Cover frames for 8 module box</t>
  </si>
  <si>
    <t xml:space="preserve"> Initial cost ELEC-1.8.3 e</t>
  </si>
  <si>
    <t>Supply of Cover frames for 18 module box</t>
  </si>
  <si>
    <t xml:space="preserve"> Initial cost ELEC-1.8.3 f 12M</t>
  </si>
  <si>
    <t xml:space="preserve"> Initial cost ELEC-1.8.3 d 6M</t>
  </si>
  <si>
    <t>Supply and fixing of 6A 2 pin wall plug socket with 6A switch control on a common switch board with earth continuity including wire leads, earth connections along with all labour charges etc., complete.</t>
  </si>
  <si>
    <t>Supply of  6A / 10A 1 Way flush type switch 1.7.1 a</t>
  </si>
  <si>
    <t>Supply of  6A / 10A 3/2 Pin flush type socket 1.7.1 d</t>
  </si>
  <si>
    <t>Supply of  6A / 10A 2 Pin flush type socket 1.7.1 c</t>
  </si>
  <si>
    <t>Supply and fixing of 6A flush type Neon Indicator.</t>
  </si>
  <si>
    <t xml:space="preserve"> Initial cost ELEC-1.7.1 e</t>
  </si>
  <si>
    <t>Supplying  &amp; fixing of MS tubes of any design including labour charges for fabricating steel including cost of welding rods, power charges &amp; fixing the grill in position etc complete</t>
  </si>
  <si>
    <t>Supplying  &amp; fixing of MS tubes &amp; Pipes including labour charges for fabricating steel including cost of welding rods, power charges &amp; fixing the grill in position etc complete</t>
  </si>
  <si>
    <t>MS Tubes and pipes BMT-F.04</t>
  </si>
  <si>
    <t>Labour charge  fabricating steel grills BMM.V.16</t>
  </si>
  <si>
    <t>Labour charg fixing grill in position BMM.V.17</t>
  </si>
  <si>
    <t>Plastering 20mm thick single coat</t>
  </si>
  <si>
    <t>Supplying  &amp; fixing of MS tube</t>
  </si>
  <si>
    <t>S&amp;F of Indian type water closet</t>
  </si>
  <si>
    <t>S&amp;F of Wash basin</t>
  </si>
  <si>
    <t>S&amp;F of 2 HP Submersible mortor</t>
  </si>
  <si>
    <t>S&amp; F 40  mm HDPE pip</t>
  </si>
  <si>
    <t>Supply of 3 core 1.50 sqm flat copper cable</t>
  </si>
  <si>
    <t xml:space="preserve">Supply and Transportation of control panel </t>
  </si>
  <si>
    <t>200/18 SWG Module box w for 8 Module box</t>
  </si>
  <si>
    <t>200/18 SWG Module box w for 18 Module box</t>
  </si>
  <si>
    <t>Supply and fixing of 6A 2 pin wall plug socket</t>
  </si>
  <si>
    <t>78</t>
  </si>
  <si>
    <t>80</t>
  </si>
  <si>
    <t>86</t>
  </si>
  <si>
    <t>89</t>
  </si>
  <si>
    <t>94</t>
  </si>
  <si>
    <r>
      <t xml:space="preserve">~do~ for  </t>
    </r>
    <r>
      <rPr>
        <b/>
        <sz val="10"/>
        <rFont val="Calibri"/>
        <family val="2"/>
        <scheme val="minor"/>
      </rPr>
      <t>sunshades etc., complete</t>
    </r>
  </si>
  <si>
    <t xml:space="preserve">Brick Masonary for Superstructure with CM (1:6) proportion using 2nd class traditional bricks of size 23X11X7 cms having minimum crushing strength of 40kg/cm2  including c/c of all materials like Cement, Sand, Bricks, water etc including  labour charges such as mixing cement mortar, Scaffolding charges etc complete for finished item of work (APSS No 501 &amp; 504) </t>
  </si>
  <si>
    <t>Secretary room</t>
  </si>
  <si>
    <t>Ramp</t>
  </si>
  <si>
    <t>Front ramp</t>
  </si>
  <si>
    <t>Qty.p.69 of M.B.No.103-A/2016-17</t>
  </si>
  <si>
    <t>Filling Basement with Gravel by watering and ramming including all operational, incidental and including c/c of material and labour charges etc complete for finished item of the work (APSS No 309&amp; 310) per 1 Cum</t>
  </si>
  <si>
    <t>Back side stair</t>
  </si>
  <si>
    <t>Extra ramp</t>
  </si>
  <si>
    <t>Front verandah</t>
  </si>
  <si>
    <t>Stone, Platform</t>
  </si>
  <si>
    <t>Stone Ramp</t>
  </si>
  <si>
    <t>Ladies tiolet</t>
  </si>
  <si>
    <t>Godown</t>
  </si>
  <si>
    <t>Staircase ventilators</t>
  </si>
  <si>
    <t>Filling Basement with Gravel in trenches, sides of foundations &amp; basement by watering and ramming including all operational, incidental, labour charges, hire charges of T&amp;P etc complete including cost and conveyance of material and labour charges etc complete for finished item of the work (APSS No 309&amp; 310) per 1 Cum</t>
  </si>
  <si>
    <t>Gravel filling</t>
  </si>
  <si>
    <t>Gravel</t>
  </si>
  <si>
    <t>Flooring with high polished granite 16 to 18 mm mm thick slabs other than black set over base coat of cement mortar (1:8), 20 mm thick over CC bed already laid or RCC roof slab, including neat cement slurry of honey like consistency spread @ 3.3.kgs per sqm &amp; jointed neatly with white cement paste mixed with pigment of matching shade to full depth, including cost of all materials like cement, sand water and tilesetc., complete, including seigniorage charges, labour charges for dressing of tilesetc., complete for finished item of work, but excluding the cost of conveyance of all materials</t>
  </si>
  <si>
    <t>BLD-CSTN-7-7</t>
  </si>
  <si>
    <t>High polished granite 16 to 18 mm thick slab other than black</t>
  </si>
  <si>
    <t>BLD-CSTN-7-21</t>
  </si>
  <si>
    <t xml:space="preserve">Sand for Moratr CM (1:3) proportion </t>
  </si>
  <si>
    <t>White cement</t>
  </si>
  <si>
    <t>Providing skirting to internal walls to 15 cm height/risers of steps with 16-18 mm thick  polished granite tiles length equal to flooring stones, set over base coat of CM (1:3) 12 mm thick with cement slurry of honey like consistency spread at the rate of 3.30 kgs per sqm and jointed with white cement paste mixed with pigment of matching shade to full depth, including cost of all materials like tiles, cement, sand and water etc., complete including seigniorage charges, etc., complete for finished item of work</t>
  </si>
  <si>
    <t>Flooring with chequrred terrazzo tiles of 22 mm thick (medium shade) set over base coat of cement mortar (1:6) 12 mm thick over CC bed already laid or RCC roof slab, including near cement slurry of honey like consistency spread @ 3.3.kgs per sqm &amp; jointed with neat cement to full depth mixed with pigment of matching shade including cost of all materials like cement, sand water and tiles etc., complete, including seigniorage charges, complete for finished item of work,</t>
  </si>
  <si>
    <t>Flooring with chequrred terrazzo tiles of 22 mm thick (medium shade) set over base coat of cement mortar (1:6) 12 mm thick over CC bed already laid or RCC roof slab, including near cement slurry of honey like consistency spread @ 3.3.kgs per sqm &amp; jointed with neat cement to full depth mixed with pigment of matching shade including cost of all materials like cement, sand water and tiles etc., complete, including seigniorage charges, complete for finished item of work</t>
  </si>
  <si>
    <t>BLD-CSTN-7-4</t>
  </si>
  <si>
    <t>Cement for CM (1:6) proportion for basecoat</t>
  </si>
  <si>
    <t xml:space="preserve">Sand for Mortar CM (1:6) proportion </t>
  </si>
  <si>
    <t>Chequerred terrazzo tiles of 22 mm thick (medium shade) BMT-D.01</t>
  </si>
  <si>
    <t>Providing skirting to internal walls to 15 cm height/risers of steps with chequrred terrazzo tiles length equal to flooring stones, set over base coat of CM (1:5) 12 mm thick with cement slurry of honey like consistency spread at the rate of 3.30 kgs per sqm and jointed with white cement paste mixed with pigment of matching shade to full depth, including cost of all materials like tiles, cement, sand and water etc., complete including seigniorage charges, etc., complete for finished item of work,</t>
  </si>
  <si>
    <t xml:space="preserve">Providing Skirting to internal walls to 15cm height / risers of steps with chequrred terrazzo tiles length equal to flooring stones, set over base coat of CM (1:5) 12mm thick with Cement slurry of honey like consistency spread @ 3.30 Kgs per Sqm &amp; jointed with white Cement paste mixed with pigment of matching shade to full depth, including c/c of materials like Cement, Sand and Water and tiles etc complete for finished item of work </t>
  </si>
  <si>
    <t>Supply &amp; fixing of Rolling shutter made of 80 x 1.25 mm machine rolled CRCA laths, interlocked together through their entire length and jointed together at the ends by endlocks, mounted on specially designed pipe shaft of 50mm dia nominal bore MS B class pipe with brackets, plates, guide channels, stoppers, bottom locking plates and arrangements for inside &amp; outside locking with push-pull operations including cost of hood cover and springs complete, painted with one coat of approved steel primer, locks, ball bearings, all accessories etc complete for finished item of work as per special spn: 1108</t>
  </si>
  <si>
    <t>Flooring Granite stone</t>
  </si>
  <si>
    <t>Skirting Granite stone</t>
  </si>
  <si>
    <t>Flooring Terrazo tiles</t>
  </si>
  <si>
    <t>Skirting Terrazo tiles</t>
  </si>
  <si>
    <t>Supplying &amp; fixing 15 mm bib tap with flange Chromeum plated Jaquar make queen series</t>
  </si>
  <si>
    <t>Initial cost BMW-I.140</t>
  </si>
  <si>
    <t>For water pipes</t>
  </si>
  <si>
    <t>Gents tiolet</t>
  </si>
  <si>
    <t>Sarpanch tiolet</t>
  </si>
  <si>
    <t>Supply of  Hot Dip galvanized 20/18 SWG Module box with earthing terminal for 6 Module box</t>
  </si>
  <si>
    <t xml:space="preserve"> Initial cost ELEC-1.3.1 d</t>
  </si>
  <si>
    <t>Wiring with run of 2 of 14/0.3mm (1.0 Sq.mm) FRLS / HFFR PVC insulated flexible ISI mark copper cable in existing PVC conduit pipe including Supply and fixing of Jumbo Ceiling rose and 6A/10A ISI Mark 1way flush type switch  in existing Surface or Concealed pipe wiring including cost and conveyance of all material and all labour charges etc., complete for light and bell  points</t>
  </si>
  <si>
    <t>Wiring with run of 2 of 14/0.3mm (1.0 Sq.mm) FRLS / HFFR PVC insulated flexible ISI mark copper cable in existing PVC conduit pipe including Supply and fixing of Jumbo Ceiling rose and 6A/10A ISI Mark 1way flush type switch  in existing Surface or Concealed pipe wiring including cost and conveyance of all material and all labour charges etc., complete for Fan points</t>
  </si>
  <si>
    <t>Supply of Cover frames for 6 module box</t>
  </si>
  <si>
    <t>Sal Wood for Scantlings/Frames  BMT-E.15</t>
  </si>
  <si>
    <t>Supplying and fixing of  Door of size 1.05X2.10M with single panels of frames made with sal wood and Shutter made with Flush door shutters including  MS Z hold fasts , Alluminium tower bolts, handle and butt hinges with all furniture fittings including c/c of all materials and furniture fittings etc complete as per specification  (APSS No 1001 &amp; 1002) Door Frame with Shutters</t>
  </si>
  <si>
    <t xml:space="preserve">Sal Wood </t>
  </si>
  <si>
    <t>Stainless Steel Tubes BMT-F.06</t>
  </si>
  <si>
    <t>Labour charge  fabricating stainless steel railing BMM-V.18</t>
  </si>
  <si>
    <t>Supply and fixing SPN Distribution board with IP-20 protection suitable for single phase Earth Leakage Circute Braker (ELCB) / Residual Current Circute Braker (RCCB) / Double Pole (DP) Isolator as incomer and 10kA SP MCBs as out going including internal connections and labour charges for surface / flush mounting etc., complete.</t>
  </si>
  <si>
    <t xml:space="preserve">Skilled Electrician. </t>
  </si>
  <si>
    <t>Helper (Electrical)</t>
  </si>
  <si>
    <t>SPN 4way D.B with IP-20 Protection suitable for single phase ECCB / RCCB/ DP Isolator. ELEC-2.13.1a</t>
  </si>
  <si>
    <t>40A D.P.Isolator / ECCB / RCCB ELEC-2.11.1 b</t>
  </si>
  <si>
    <t>10 kA - 6-32A range SP MCBs ELEC-2.10.1 a</t>
  </si>
  <si>
    <t>Filling basement with Sand filling</t>
  </si>
  <si>
    <t>Reinforced Brick Masonry for partition walls (11.5 cm thick) i</t>
  </si>
  <si>
    <t xml:space="preserve">Cost, Supply and Fixing of rolling shutter to Godown </t>
  </si>
  <si>
    <t xml:space="preserve">White washing three coats with whiting </t>
  </si>
  <si>
    <t>Flooring with Granite stones</t>
  </si>
  <si>
    <t>skirting to internal walls  with Granite stones</t>
  </si>
  <si>
    <t>Flooring with Terrazo tiles</t>
  </si>
  <si>
    <t>skirting to internal walls  with Terrazo tiles</t>
  </si>
  <si>
    <t>Providing and fixing 28 -30 MM thick solid Wood PolymerComposite(WPC) door</t>
  </si>
  <si>
    <t>Supplying and fixing of  ventilator</t>
  </si>
  <si>
    <t>Supplying  &amp; fixing of stainless steel</t>
  </si>
  <si>
    <t>S&amp;F of Bib Type Taps  flange Chromeum plated Jaquar make queen series</t>
  </si>
  <si>
    <t>200/18 SWG Module box w for 6 Module box</t>
  </si>
  <si>
    <t>Supply and fixing SPN Distribution board</t>
  </si>
  <si>
    <t>Filling basement with Gravel</t>
  </si>
  <si>
    <t>Providing and fixing factory made uPVC white colour sliding glazed windowupto 1.50 m in height dimension comprising of uPVC multi-chamberedframe with in-built roller track and sash extruded profiles duly reinforcedwith 1.60 ± 0.2 mm thick galvanized mild steel section made from rollforming process of required length (shape &amp; size according to uPVCprofile), appropriate dimension of uPVC extruded glazing beads anduPVC extruded interlocks, EPDM gasket, wool pile, zinc alloy (whitepowder coated) touch locks withhook, zinc alloy body with single nylonrollers (weight bearing capacity to be 40 kg), G.I fasteners 100 x 8 mmsize for fixing frame to finished wall and necessary stainless steel screwsetc. Profile of frame &amp; sash shall be mitred cut and fusion welded at allcorners, including drilling of holes for fixing hardware's and drainage ofwater etc. After fixing frame the gap between frame and adjacent finishedwall shall be filled with weather proof silicon sealent over backer rod ofrequired size and of approved quality, all complete as per approved drawing&amp; direction of Engineer-in-Charge inclusive of cost of Single / double glass panes,and silicon sealent
Two track two panels sliding window made of (small series) frame 52 x 44 mm &amp;sash 32 x 60 mm both having wall thickness of 1.9 ± 0.2 mm and single glazing bead of appropriate dimension. (Area of window upto 1.75 sqm)</t>
  </si>
  <si>
    <t>Supplying &amp; fixing 4" (101.6 mm ) Nahany trap with Jali-  PVC/SWR Pipe fittings</t>
  </si>
  <si>
    <t>Initial cost BMW-G.119</t>
  </si>
  <si>
    <t>Nahany trap with Jali-  PVC/SWR Pipe fittings</t>
  </si>
  <si>
    <t>BLD-ELEC-2.1.1</t>
  </si>
  <si>
    <t>BLD-ELEC-2.1.4</t>
  </si>
  <si>
    <t>BLD-ELEC-3.1.4</t>
  </si>
  <si>
    <t>BLD-ELEC-3.1.5</t>
  </si>
  <si>
    <t>BLD-ELEC-2.1.8</t>
  </si>
  <si>
    <t>BLD-ELEC- 8.2.2 and 
7.9.3</t>
  </si>
  <si>
    <t xml:space="preserve"> BLD ELE 4.4.1</t>
  </si>
  <si>
    <t xml:space="preserve"> BLD ELE 5.1.1</t>
  </si>
  <si>
    <t>40mm Nominal Bore Medium grade G.I.Pipe. ELEC-8.4.17d</t>
  </si>
  <si>
    <t>25mm x 6 mm G.I.Strip (ELEC-8.3.6</t>
  </si>
  <si>
    <t>No.8 G.I.Wire (ELEC-8.3.6)</t>
  </si>
  <si>
    <t>Drilling of 16 Nos through holes of 12mm dia to G.I pipe. ELEC-8.4.20</t>
  </si>
  <si>
    <t>G.I Nuts, Bolts an Washers each set. ELEC-8.4.21</t>
  </si>
  <si>
    <t>18" dia  2" thick hume pipe ring. ELEC-8.4.22</t>
  </si>
  <si>
    <t>2" thick  CC cover for hume pipe ring with handle.ELEC-8.4.24</t>
  </si>
  <si>
    <t>Hard Coke  ELEC-8.1.10</t>
  </si>
  <si>
    <t>Salt. ELEC-8.1.11</t>
  </si>
  <si>
    <t>Earth Work Excavation of Hard gravel Soil with small boulder for trench 1st step of size 1.2 x 0.6 x 0.9 m (4'x2'x3') ELEC-8.4.19</t>
  </si>
  <si>
    <t>Excavation of Hard disteggrated rocks and boulders for trench 2nd Step of size 0.9 x 0.6 x 1.2 m  (3'x2'x4') ELEC-8.4.19</t>
  </si>
  <si>
    <t>Qty.p. 2 of M.B.No.435-C/2017-18</t>
  </si>
  <si>
    <t>Horizontal Top &amp; Bottom</t>
  </si>
  <si>
    <t>Sand for Filling</t>
  </si>
  <si>
    <t>Supply of  Hot Dip galvanized 20/18 SWG Module box with earthing terminal for 4 Module box</t>
  </si>
  <si>
    <t xml:space="preserve"> Initial cost ELEC-1.3.1 c</t>
  </si>
  <si>
    <t>Supply of Cover frames for 4 module box</t>
  </si>
  <si>
    <t xml:space="preserve"> Initial cost ELEC-1.8.3 c </t>
  </si>
  <si>
    <t>Supply of 9" (225mm), Light duty exhaust fan with double ball bearing and wire guard etc complete.</t>
  </si>
  <si>
    <t xml:space="preserve"> Initial cost ELEC-5.1.12</t>
  </si>
  <si>
    <t>200/18 SWG Module box w for 4 Module box</t>
  </si>
  <si>
    <t>Light duty exhaust fan</t>
  </si>
  <si>
    <t>Deduct ventilator</t>
  </si>
  <si>
    <t>Hall</t>
  </si>
  <si>
    <t>2nd flight</t>
  </si>
  <si>
    <t>1st flight</t>
  </si>
  <si>
    <t>Deduct window</t>
  </si>
  <si>
    <t xml:space="preserve">Plastering 20mm thick inside in single coats </t>
  </si>
  <si>
    <t>Providing and fixing factory made uPVC white colour sliding glazed windowupto 1.50 m in height dimension comprising of uPVC multi-chamberedframe with in-built roller track and sash extruded profiles duly reinforcedwith 1.60 ± 0.2 mm thick galvanized mild steel section made from rollforming process of required length (shape &amp; size according to uPVCprofile), appropriate dimension of uPVC extruded glazing beads anduPVC extruded interlocks, EPDM gasket, wool pile, zinc alloy (whitepowder coated) touch locks withhook, zinc alloy body with single nylonrollers (weight bearing capacity to be 40 kg), G.I fasteners 100 x 8 mmsize for fixing frame to finished wall and necessary stainless steel screwsetc. Profile of frame &amp; sash shall be mitred cut and fusion welded at allcorners, including drilling of holes for fixing hardware's and drainage ofwater etc. After fixing frame the gap between frame and adjacent finishedwall shall be filled with weather proof silicon sealent over backer rod ofrequired size and of approved quality, all complete as per approved drawing&amp; direction of Engineer-in-Charge inclusive of cost of Single / double glass panes,and silicon sealent Two track two panels sliding window made of (small series) frame 52 x 44 mm &amp;sash 32 x 60 mm both having wall thickness of 1.9 ± 0.2 mm and single glazing bead of appropriate dimension. (Area of window upto 1.75 sqm)</t>
  </si>
  <si>
    <t xml:space="preserve">Plastering to brick masonary wall with  12mm thick double coat in CM (1:5) 8 mm thick base coat and CM (1:3) of 4mm thick top coat with dubara sponge finish including c/c of all materials including all operational, incidental and labour charges such as mixing cement mortar and curing etc complete for finished item of work (APSS 901,  903 &amp; 904) </t>
  </si>
  <si>
    <t>Long walls A1 to E1</t>
  </si>
  <si>
    <t>Short walls E1 to E3</t>
  </si>
  <si>
    <t>Short walls A1 to A3</t>
  </si>
  <si>
    <t>Front projection L/W</t>
  </si>
  <si>
    <t>Front projection S/W</t>
  </si>
  <si>
    <t>Steps bottom</t>
  </si>
  <si>
    <t>1st step</t>
  </si>
  <si>
    <t>2nd step</t>
  </si>
  <si>
    <t>Front projection</t>
  </si>
  <si>
    <t>South side</t>
  </si>
  <si>
    <t>East side</t>
  </si>
  <si>
    <t>Room-1</t>
  </si>
  <si>
    <t>West side</t>
  </si>
  <si>
    <t>North side</t>
  </si>
  <si>
    <t>Room-2</t>
  </si>
  <si>
    <t>Bottom of sunshades in Hall</t>
  </si>
  <si>
    <t>Bottom of slab projection</t>
  </si>
  <si>
    <t>Bottom of first flight</t>
  </si>
  <si>
    <t>Hall alround</t>
  </si>
  <si>
    <t>Godown 3 sides</t>
  </si>
  <si>
    <t>Inside projection front side</t>
  </si>
  <si>
    <t>Staircase inside</t>
  </si>
  <si>
    <t>Upto landing</t>
  </si>
  <si>
    <t>Deduct Main door</t>
  </si>
  <si>
    <t>Front entrane</t>
  </si>
  <si>
    <t>GF 1st flight raisers</t>
  </si>
  <si>
    <t>2nd flight raisers</t>
  </si>
  <si>
    <t>20 mm HBG  metal(SS 5)</t>
  </si>
  <si>
    <t>12 mm HBG  metal(SS 5)</t>
  </si>
  <si>
    <t>10 mm HBG  metal(SS 5)</t>
  </si>
  <si>
    <t>6 mm HBG  metal(SS 5)</t>
  </si>
  <si>
    <t>Rate per Cum</t>
  </si>
  <si>
    <t>20 mm GRADED METAL( CW 07 20 mm(48%) and 12 mm(12%)10 mm(12%) 6 mm(8)%  (34822))</t>
  </si>
  <si>
    <t>Brick masonery in CM (1:8) for basement</t>
  </si>
  <si>
    <t>Brick masonery in CM (1:6) for superstructure</t>
  </si>
  <si>
    <t>Plastering 12mm thick double coat</t>
  </si>
  <si>
    <t>Granolithic Concrete Flooring</t>
  </si>
  <si>
    <t>Fan regulator</t>
  </si>
  <si>
    <t xml:space="preserve"> steel tube down rod for ceiling  fan</t>
  </si>
  <si>
    <t>Supply and  Run of  4 of 84/0.3mm (6.0 Sq.mm)</t>
  </si>
  <si>
    <t xml:space="preserve">Centering charges SS material hire charges </t>
  </si>
  <si>
    <t xml:space="preserve">Centering charges SS Labour charges </t>
  </si>
  <si>
    <t xml:space="preserve">Name of the Work: </t>
  </si>
  <si>
    <t>Sand</t>
  </si>
  <si>
    <t>Est. Rs.</t>
  </si>
  <si>
    <t>Sl. No.</t>
  </si>
  <si>
    <t>unit</t>
  </si>
  <si>
    <t>Quarry</t>
  </si>
  <si>
    <t>Convey-ance Charges</t>
  </si>
  <si>
    <t xml:space="preserve">Initial Cost </t>
  </si>
  <si>
    <t>Crushing charges</t>
  </si>
  <si>
    <t>Brick</t>
  </si>
  <si>
    <t>Cement</t>
  </si>
  <si>
    <t xml:space="preserve">MS Flats </t>
  </si>
  <si>
    <t>6mm Ms roads</t>
  </si>
  <si>
    <t>Sand for Mortar (screened)</t>
  </si>
  <si>
    <t>Sand for Mortar (concrete)</t>
  </si>
  <si>
    <t>1000 nos</t>
  </si>
  <si>
    <t>40mm HBG metal SS5, M/C</t>
  </si>
  <si>
    <t>20mm HBG SS5 M/c chips</t>
  </si>
  <si>
    <t>PRI Sub Division</t>
  </si>
  <si>
    <t>Mandal Praja parishad</t>
  </si>
  <si>
    <t>Loading</t>
  </si>
  <si>
    <t>Unloading</t>
  </si>
  <si>
    <t>A. MATERIALS:</t>
  </si>
  <si>
    <t>Mazdoor (unskilled)</t>
  </si>
  <si>
    <t>1st Class Mason</t>
  </si>
  <si>
    <t>Lintels</t>
  </si>
  <si>
    <t xml:space="preserve">Basic Rate </t>
  </si>
  <si>
    <t>Unit = 10 sqm</t>
  </si>
  <si>
    <t>BASIC COST per 10 sqm</t>
  </si>
  <si>
    <t>Add extra for Scaffolding Material  Charges  @Rs 1.03 Sqm</t>
  </si>
  <si>
    <t>Add Labour Comp on LC</t>
  </si>
  <si>
    <t>BASIC COST per 1 sqm GF</t>
  </si>
  <si>
    <t>kgs</t>
  </si>
  <si>
    <t>Cement for CM (1:8) for base coat</t>
  </si>
  <si>
    <t>Painter 2nd class</t>
  </si>
  <si>
    <t>Sundries including brushes, soaps, putty etc.,</t>
  </si>
  <si>
    <t>Painter 2nd Class</t>
  </si>
  <si>
    <t>Skirting with Granite stones</t>
  </si>
  <si>
    <t>BLD-CSTN-9-4</t>
  </si>
  <si>
    <t>White washing one coat with whiting of approved quality to give an even shade after thoroughly brushing the surface to remove all dirt and remains of loose powdered materials including cost of all materials, labour charges and incidental such as scaffolding, lift charges etc., complete for finished item of work, but excluding conveyance charges of materials</t>
  </si>
  <si>
    <t>Sundries including brushes, ladders, etc.,5%</t>
  </si>
  <si>
    <t>BLD-ELEC-6.1.1</t>
  </si>
  <si>
    <t>Supply and Run of 2 of 6 Sq.mm WPSC Aluminium cable along with No.10 SWG G.I bearer wire through PVC cleats with all accessories including labour charges etc., complete for service mains.</t>
  </si>
  <si>
    <t>6 Sq.mm WPSC Aluminium cable ELEC-1.6.1</t>
  </si>
  <si>
    <t>No.10 SWG G.I wire. (0.026 Kg / Mtr) Length 100 RM ELEC-8.3.6</t>
  </si>
  <si>
    <t>PVC Cleats ELEC-8.1.13</t>
  </si>
  <si>
    <t xml:space="preserve">Semi Skilled Electrician / Lineman </t>
  </si>
  <si>
    <t>75mm dia</t>
  </si>
  <si>
    <t xml:space="preserve">Providing and applying synthetic plaster putty </t>
  </si>
  <si>
    <t>Construction of Second Floor</t>
  </si>
  <si>
    <t>Providing Door, Windows, Ventilators and Grills</t>
  </si>
  <si>
    <t>Providing and applying Wall putty of White Cement or Polymer or Cement based of average 1 to 2 mm thickness over plastered surface to prepare the surface even and smooth after thoroughly brushing the surface to remove all dirt and remains of loose powdered materials, applying emery paper, Sand the surface, clean &amp; wipe off loose dust, applying knifing paste filler by putty knife / muslin pad, air dry for 2 - 3 hrs, sand with 180 and 320 No., emery paper for the surface preparation including cost and conveyance of all materials and all operational, incidental and all labour charges etc., complete for finished item of work in all floors for internal walls</t>
  </si>
  <si>
    <t>wall putty (BMT-J.31)</t>
  </si>
  <si>
    <t>Sundries</t>
  </si>
  <si>
    <t>Rate per 1.00 MT</t>
  </si>
  <si>
    <t>Water charges 1%</t>
  </si>
  <si>
    <t>Name of the  work</t>
  </si>
  <si>
    <t xml:space="preserve">Providing impervious coat to exposed RCC Roof Slab surface with CM (1:3) 20mm thick with 1Kg of water proof compound per bag of Cement laid over roof when it is green including c/c of all materials and labour charges for mixing mortar, laying, rendering smooth and thread lining, cutting, rounding off junctions of wall and slab etc for finished item of work (APSS 901,  903) </t>
  </si>
  <si>
    <t>Rate per 10 Sqm</t>
  </si>
  <si>
    <t xml:space="preserve">Reinforced Brick Masonry for partition walls (11.0 cm thick) in CM (1:6) prop. (Cement : Sand) using common burnt clay bricks of class as per Table- I of IS:1077-1992, Non- Modular or traditional size    23 x 11 x 7 cms from approved source having minimum crushing strength of 40 Kg/Sq.cm and placing 2 Nos. of 6mm M.S plain rods in every third layer with free ends of the reinforcement pegged into mortar joints of main brick walls where applicable including cost and conveyance of all materials and  all operational, incidental charges such as labour charges for mixing cement mortar, scaffolding charges, lift charges,and all labour charges etc., but excluding cost of steel and its fabrication charges complete for finished item of work. </t>
  </si>
  <si>
    <t>Or</t>
  </si>
  <si>
    <t>Plaster'ing 12mm thick double</t>
  </si>
  <si>
    <t>second floor</t>
  </si>
  <si>
    <t xml:space="preserve">BM CM (1:6) </t>
  </si>
  <si>
    <t>BM CM (1:6) 115mm</t>
  </si>
  <si>
    <t>Rate per 2.556 Sqm</t>
  </si>
  <si>
    <t>Taking output Unit = 2.556 Sqm</t>
  </si>
  <si>
    <t>Cost of Aluminium door stopper</t>
  </si>
  <si>
    <t>50mm dia SS pipe ( 1 x 4.60)</t>
  </si>
  <si>
    <t>25mm dia SS pipe (8 x 0.90)</t>
  </si>
  <si>
    <t xml:space="preserve">Base Plate 75mm dia. </t>
  </si>
  <si>
    <t>Add for anchor bars</t>
  </si>
  <si>
    <t>Add for bonding</t>
  </si>
  <si>
    <t>Taking output = 4.60 Rm</t>
  </si>
  <si>
    <t>Rate per 4.60 Rm</t>
  </si>
  <si>
    <t>Rate per 1.00 Sqm (Rm Quantity / 0.90)</t>
  </si>
  <si>
    <t>50mm dia SS pipe ( 1 x 10.00)</t>
  </si>
  <si>
    <t>25mm dia SS pipe (9 x 0.30)</t>
  </si>
  <si>
    <t>Taking output = 10.00 Rm</t>
  </si>
  <si>
    <t xml:space="preserve">Base Plate 25mm dia. </t>
  </si>
  <si>
    <t>Rate per 10.00 Rm</t>
  </si>
  <si>
    <t>Drilling of 25mm dia hole(9 x 0.10)</t>
  </si>
  <si>
    <r>
      <t>Supplying and fixing of stainless steel (grade 304)</t>
    </r>
    <r>
      <rPr>
        <b/>
        <sz val="10"/>
        <rFont val="Calibri"/>
        <family val="2"/>
        <scheme val="minor"/>
      </rPr>
      <t xml:space="preserve"> hand railing </t>
    </r>
    <r>
      <rPr>
        <sz val="10"/>
        <rFont val="Calibri"/>
        <family val="2"/>
        <scheme val="minor"/>
      </rPr>
      <t>as per approved drawing with top rail of 50mm dia pipe and 2mm thick medium class and vertical posts of  25mm dia and 1.6mm thick medium class  1 No for each step fixed with base plate of  75mm dia using bonding agent and anchor fastner and welding,  drilling of 25mm dia holes with pneumatic compressor for fixing railing, buffing, polishing all members of the railing  thouroughly  , lacquer finishing to present seamless finish including cost and conveyance of all materials, electrodes, welding charges, cost of all consumables, labour charges , overheads &amp; contractors profit etc., complete for finished item of work.</t>
    </r>
  </si>
  <si>
    <t>1st class mason</t>
  </si>
  <si>
    <t>2nd class mason</t>
  </si>
  <si>
    <t>Mazdoor(unskilled)</t>
  </si>
  <si>
    <t>S&amp;F of Cement Jolleys 50mm thick</t>
  </si>
  <si>
    <t>Supply and fixing of ornamental grill made of 25mm x 10mm MS flats for fixing in fan light portion and side fixed panels for door cum window as per the approved drawing including cutting the flat to required length, welding, painting with red oxide single coat including cost and conveyance of all materials, labour charges etc., complete for finished otem of work.</t>
  </si>
  <si>
    <t>Cost of MS flats</t>
  </si>
  <si>
    <t>Cost of MS Grill</t>
  </si>
  <si>
    <t>Rate per 2.025 Sqm</t>
  </si>
  <si>
    <t>Full Rounding the edges of Marble/ Granite stone slabs of all thicknesses including polishing the same.</t>
  </si>
  <si>
    <t>Initial Cost BMM-V.11</t>
  </si>
  <si>
    <t>Staircase 1st flight</t>
  </si>
  <si>
    <t>Staircase 2nd flight</t>
  </si>
  <si>
    <t>Supply and fixing of 2 Nos of 32A, 240V Porcelain Rewirable Fuse Units of  makes : GM / Sputnik / Kundancab / Million / Gold Medal  / Vimal / Star / Benlo on 12" x 18" peta board with connections and labour charges etc complete.</t>
  </si>
  <si>
    <t>32 A  240V Porcelain Rewirable Fuse Units.2.7.1.a</t>
  </si>
  <si>
    <t>Peeta Board of Size 15" x 20" 1.4.3.c</t>
  </si>
  <si>
    <t>Agri cum Aqua room</t>
  </si>
  <si>
    <t>Visiters waiting area</t>
  </si>
  <si>
    <t>Cost of Material Rate</t>
  </si>
  <si>
    <t>Supply and Transportation of 48" (1200mm) Sweep 5 star rated Ceiling Fan , with double ball bearings, air delivery more than 200 cubic meter/min but without Regulator.</t>
  </si>
  <si>
    <t>Spandana Hall</t>
  </si>
  <si>
    <t>Eng Asst Room</t>
  </si>
  <si>
    <t>Visitors Waiting Area</t>
  </si>
  <si>
    <t>Supply and fixing of Modular type Electronic fan regulator hum free step type socket size in the existing switch board.</t>
  </si>
  <si>
    <t>Labour charges for fixing of ceiling fan with regulator including transportation, 3 core  wire leads etc complete</t>
  </si>
  <si>
    <t>Supply and erecting 19/20mm steel tube down rod of one meter length with bolts &amp; nuts duly painted with matching colour of  fan complete</t>
  </si>
  <si>
    <t>19/20mm steel tube down rod with bolts &amp; nuts for  fan with maching colour.</t>
  </si>
  <si>
    <t>Supply, transportation and fixing of 60Watt LED Street light Luminaire made of pressure diecast alluminium body with powder coated, having protective toughned glass, Supply Input voltage 120 - 270 V AC, P.F &gt; 0.90, high power LED's System efficacy &gt;110 lm/W and junction temprature &lt; 70°C, with Ingrees protection IP66,</t>
  </si>
  <si>
    <t>Initial Cost ELEC-3.8.23 d</t>
  </si>
  <si>
    <t xml:space="preserve">S&amp;F of 48" dia(1.20Mts) 2" thick Precasted rcc hume rings including cost and conveyance of all material and labour charges etc., complete for septic Tank </t>
  </si>
  <si>
    <t xml:space="preserve">S&amp;F of 1200 mm dia 2" thick Precasted  cc cover for hume pipe including cost and conveyance of all material and labour charges etc., complete for septic Tank </t>
  </si>
  <si>
    <t>48" dia(1.20Mts) 2" thick hume pipe ring</t>
  </si>
  <si>
    <t>48.00" dia(1.20Mts) 2" thick hume pipe ring</t>
  </si>
  <si>
    <t>Full Rounding the edges of  Granite stone slabs of all thicknesses including polishing the same.</t>
  </si>
  <si>
    <t xml:space="preserve">White washing one coat with whiting </t>
  </si>
  <si>
    <t xml:space="preserve">Providing and applying Wall putty </t>
  </si>
  <si>
    <t>Painting New Wood / iron work with Two coats of ready mixed Synthatic Enamil paint</t>
  </si>
  <si>
    <t>Full Rounding the edges of  Granite stone slabs</t>
  </si>
  <si>
    <t>Supply and fixing of  Door  of size 1.05  x 2.10mt GF</t>
  </si>
  <si>
    <t>Supply and fixing of  Door  of size 1.05  x 2.10mt FF</t>
  </si>
  <si>
    <t>Providing and fixing factory made uPVC  windows 3track</t>
  </si>
  <si>
    <t>Providing and fixing factory made uPVC  windows single track</t>
  </si>
  <si>
    <t>Labour charges for fixing fan</t>
  </si>
  <si>
    <t>S&amp;F of street light</t>
  </si>
  <si>
    <t>Supply and fixing of 2 Nos of 32A, 240V Porcelain Rewirable Fuse Units</t>
  </si>
  <si>
    <t>Supply and fixing of ornamental grill made of 20mm x 10mm MS flats and MS Grill 8mm x 8mm for fixing in fan light portion and side fixed panels for door cum window as per the approved drawing including cutting the flat to required length, welding, painting with red oxide single coat including cost and conveyance of all materials, labour charges etc., complete for finished otem of work.</t>
  </si>
  <si>
    <t>Unit = 2.025 Sqm</t>
  </si>
  <si>
    <t>MS Flat  25 x 10 Horizantal</t>
  </si>
  <si>
    <t>MS Flat  25 x 10 Verticals</t>
  </si>
  <si>
    <t>MS Grill  10 x 10 Verticals</t>
  </si>
  <si>
    <t>MS Grill  10 x 10 Horizantal</t>
  </si>
  <si>
    <t>Cost of 48" Fan ELEC-5.1.4</t>
  </si>
  <si>
    <t>P.No.</t>
  </si>
  <si>
    <t>84</t>
  </si>
  <si>
    <t>100</t>
  </si>
  <si>
    <t>105</t>
  </si>
  <si>
    <t>106</t>
  </si>
  <si>
    <t>107</t>
  </si>
  <si>
    <t>108</t>
  </si>
  <si>
    <t>111</t>
  </si>
  <si>
    <t>112</t>
  </si>
  <si>
    <t>113</t>
  </si>
  <si>
    <t>116</t>
  </si>
  <si>
    <t>119</t>
  </si>
  <si>
    <t>129</t>
  </si>
  <si>
    <t>132</t>
  </si>
  <si>
    <t>135</t>
  </si>
  <si>
    <t>137</t>
  </si>
  <si>
    <t>138</t>
  </si>
  <si>
    <t>Painting  with Emulsion paint for inernal walls GF</t>
  </si>
  <si>
    <t>Painting  with Emulsion paint for external walls  GF</t>
  </si>
  <si>
    <t>Painting to new walls with 2 coats of acrylic Emulsion paint Asian or equivalent and shade over Priming coat with Cement primer water base interior Gr-1 Asian or equivalent on new plastered surface after throughly brushing the surace remove all dirt and remains of loose powdered materials including cost and conveyance of all materials to worksite and all oparational, incidental, labour charges etc complete for  finished item of work as per SS 911 for internal walls</t>
  </si>
  <si>
    <t>Painting to new walls with 2 coats of acrylic Emulsion paint Asian or equivalent and shade over Priming coat with Cement primer water base interior Gr-1 Asian or equivalent on new plastered surface after throughly brushing the surace remove all dirt and remains of loose powdered materials including cost and conveyance of all materials to worksite and all oparational, incidental, labour charges etc complete for  finished item of work as per SS 911 for external walls</t>
  </si>
  <si>
    <t>Long walls A2 to E3</t>
  </si>
  <si>
    <t>281.21</t>
  </si>
  <si>
    <t>RCM facia 5cm thick in CM (1:3) for drop walls, fins  with rabbit wire mesh &amp; nominal reinforcement as directed by Engineer-in-charge with dubara sponge finishing, including cost &amp; conveyance of all materials to site, seigniorage charges, sales &amp; other taxes on all materials, operational &amp; incidental, cost and conveyance of cement, wire mesh, water to work site, centering, scaffolding and form work, lift charges etc., complete for finished items of work but excluding cost of steel &amp; its fabrication charges, for finished item of work. (APSS No.403 &amp; 903)</t>
  </si>
  <si>
    <t xml:space="preserve">Cement Mortar 1:3 for 25 mm thick </t>
  </si>
  <si>
    <t xml:space="preserve">Dry Cement for making Lumps </t>
  </si>
  <si>
    <t>12 mm Plastering 2 coats in 1:4 &amp; 1:2 cm both sides</t>
  </si>
  <si>
    <t>B) LABOUR CHARGES</t>
  </si>
  <si>
    <t>c) Machinery</t>
  </si>
  <si>
    <t>Hrs</t>
  </si>
  <si>
    <t>Supply &amp; application of One Coat Water based Cement Primer, One coat of Deco / PMCC Orient Base Exterior Texture &amp; two coats of Altek Harmony (Emulsion paint exterior grade) inclusive of all taxes for finished item of work</t>
  </si>
  <si>
    <t>Basic coat per 1 sqm</t>
  </si>
  <si>
    <t>Supply &amp; applying Poly-Urethane Water Proof Polish Glossy/ Matt finish to the wood works duly cleaning the surface and applying emery paper, Sand the wood with 180 No., emery paper and then with 320 No., emery paper, clean &amp; wipe off loose dust, applying suitable knifing paste filler / wood filler by putty knife / muslin pad, air dry for 2 - 3 hrs, sand with 180 and 320 No., emery paper, applying two component wood sealer, after the surface preparation applying one coat of approved spraying PU thinner (for spraying) / applying one coat of approved brushing PU thinner or general purpose thinner (for brushing) and apply one coat of PU by brush or spray, air-dry overnight, Sand again with 180 No. emery paper and removing dust, applying second coat of PU, air drying for 4 - 6 Hrs, Sand with 320 No emery paper, and applying (either with spray or brush) two coats of approved brand PU including cost &amp; labour charges, emery papers, cost of thinner &amp; PU of approved brands such as Jenson &amp; Nicholson, Asian Paints, Berger Paints or equivalent etc., complete for finished item</t>
  </si>
  <si>
    <t xml:space="preserve">Painting, Lettering and Picturing to walls with  two coats over primary coat with Emulsion paint (Like Birds, Animals, Cartoons, Numbers etc.,) to Angnwadi center building as per the instructions of Engineer - in - charge including cost and conveyance of all paints and all labour charges etc complete. </t>
  </si>
  <si>
    <t>As per quotation rate</t>
  </si>
  <si>
    <t>Random Rubble mansonary in CM(1:6)  including Cost and Conveyance of all materials and curing charges but excluding unskilled wages etc., complete for finished item of work</t>
  </si>
  <si>
    <t>for windows</t>
  </si>
  <si>
    <t>Roofing tiles</t>
  </si>
  <si>
    <t>S.Earth</t>
  </si>
  <si>
    <t>White washing one coat with whiting of approved quality to give an even shade after thoroughly brushing the surface to remove all dirt and remains of loose powdered materials including cost of all materials, labour charges and incidental such as scaffolding, lift charges etc., complete for finished item of wor</t>
  </si>
  <si>
    <t>Rough stone</t>
  </si>
  <si>
    <t>Masonry work in CM (1:8) prop with Flyash Cement solid blocks of size 290 x 225 x 140 mm for manufacturing of flyash solid blocks using flyash of 80 kgs, cement of 15 kgs. Gypsum of 5 kgs. and stone dust including cost and conveyance of all materials, labour charges, seiniorage charges, scaffolding and curing etc., cpomplete with a compresive streangth not lessthan 50 kg/sqm for walls for Superstructure Walls.</t>
  </si>
  <si>
    <t>Cost of Cement Mortar (1:6)</t>
  </si>
  <si>
    <t>Woman Mazdoor</t>
  </si>
  <si>
    <t>No of blocks required for one cum of Masonry BMT-A.03</t>
  </si>
  <si>
    <t>8mm dia rods</t>
  </si>
  <si>
    <t>Supplying and fixing of  ventilator of size 0.60 x 0.45 Mts including fixing of 8mm dia roads and 4mm plain glass including all labour charges etc., complete</t>
  </si>
  <si>
    <t>Masonry work in CM (1:8) prop with Flyash Cement solid blocks of size 290 x 150 x 140 mm for manufacturing of flyash solid blocks using flyash of 80 kgs, cement of 15 kgs. Gypsum of 5 kgs. and stone dust including cost and conveyance of all materials, labour charges, seiniorage charges, scaffolding and curing etc., cpomplete with a compresive streangth not lessthan 50 kg/sqm for walls for Superstructure Walls.</t>
  </si>
  <si>
    <t>Flush Pointing with CM (1:3) to Brick Masonry</t>
  </si>
  <si>
    <t xml:space="preserve">Flooring with pressed clay flooring tiles, set over base coat of cement mortar (1:8) 12 mm thick over CC bed already laid or RCC roof slab, including neat cement slurry of honey like consistency spread @ 3.3.kgs per sqm &amp; jointed neatly with cement mixed with pigment of matching shade to full depth, including cost of all materials like cement, sand water and tiles etc., complete, for finished item of work,     </t>
  </si>
  <si>
    <t>20 X 20 cm pressed clay flooring tiles</t>
  </si>
  <si>
    <t>Cement for jointing &amp; pointing</t>
  </si>
  <si>
    <t>Pointing with CM (1:3)</t>
  </si>
  <si>
    <t>Deduct CM (1:3)</t>
  </si>
  <si>
    <t>Sand for CM (1:8)</t>
  </si>
  <si>
    <t>Pressed type tiles</t>
  </si>
  <si>
    <t>Ongole</t>
  </si>
  <si>
    <t xml:space="preserve">for  platforms and shelves.  </t>
  </si>
  <si>
    <t xml:space="preserve">Hire charges of centering and scaffolding 
(50% of roof slab) </t>
  </si>
  <si>
    <t xml:space="preserve">Centering charges for Roof Slab Labour charges  (50% of roof slab) </t>
  </si>
  <si>
    <t>Fly cement bricks</t>
  </si>
  <si>
    <t>RCM drop wall</t>
  </si>
  <si>
    <t>Pressed tiles</t>
  </si>
  <si>
    <t>VKC</t>
  </si>
  <si>
    <t>Fine aggregate (Sand) for Mortor</t>
  </si>
  <si>
    <t>Filling basement with Selected earth</t>
  </si>
  <si>
    <t>RR Masonary in CM (1:6) for basement</t>
  </si>
  <si>
    <t>for Elevation work</t>
  </si>
  <si>
    <t xml:space="preserve">Add water charges 1% </t>
  </si>
  <si>
    <t>Fly ash cement bricks</t>
  </si>
  <si>
    <t>Pressed floor tiles</t>
  </si>
  <si>
    <t>Supply &amp; applying Poly-Urethane Water Proof Polish</t>
  </si>
  <si>
    <t>VRCC M30 design mix Concrete  for column footings</t>
  </si>
  <si>
    <t>VRCC M30 design mix Concrete  for Pedastal</t>
  </si>
  <si>
    <t>VRCC M30 design mix Concrete  for Columns</t>
  </si>
  <si>
    <t>VRCC M30 design mix Concrete  for Plinth beam</t>
  </si>
  <si>
    <t>VRCC M30 design mix Concrete  for Beams</t>
  </si>
  <si>
    <t xml:space="preserve">VRCC M30 design mix Concrete  for Slab 125mm </t>
  </si>
  <si>
    <t xml:space="preserve">VRCC M30 design mix Concrete  for Slab 150mm </t>
  </si>
  <si>
    <t xml:space="preserve">VRCC M30 design mix Concrete  for Slab 175mm </t>
  </si>
  <si>
    <t>VRCC M30 design mix Concrete  for Lintels</t>
  </si>
  <si>
    <t>VRCC M30 design mix Concrete  for Sunshades</t>
  </si>
  <si>
    <t>PCC M30 for Steps</t>
  </si>
  <si>
    <t xml:space="preserve">VRCC M30 design mix Concrete  for Slab 100mm </t>
  </si>
  <si>
    <t>Acco Plaster'g CM (1:3) 20mm</t>
  </si>
  <si>
    <t>Painting  with Emulsion paint for external walls</t>
  </si>
  <si>
    <t>Supply and fixing of  Door  of size 1.20 x 2.10mt</t>
  </si>
  <si>
    <t xml:space="preserve">Supply and fixing of  Door  of size 1.20 x 2.10mt </t>
  </si>
  <si>
    <t>50mm thick</t>
  </si>
  <si>
    <t>Qty.p.10 of M.B.No.174/B/ZP/16</t>
  </si>
  <si>
    <t>Qty.p.11 of M.B.No.174/B/ZP/16</t>
  </si>
  <si>
    <t>Qty.p.13 of M.B.No.174/B/ZP/16</t>
  </si>
  <si>
    <t>Qty.p.14 of M.B.No.174/B/ZP/16</t>
  </si>
  <si>
    <t>Precasted slab 50mm</t>
  </si>
  <si>
    <t xml:space="preserve">S&amp;F of 36" dia(0.90Mts) 2" thick Precasted rcc hume rings including cost and conveyance of all material and labour charges etc., complete for septic Tank </t>
  </si>
  <si>
    <t>36" dia(0.90Mts) 2" thick hume pipe ring</t>
  </si>
  <si>
    <t>Supplying and fixing of  Door of size 1.20X2.10M with single panels of frames made with sal wood and Shutter made with WPC door shutters including  MS Z hold fasts , Alluminium tower bolts, handle and butt hinges with all furniture fittings including c/c of all materials and furniture fittings etc complete as per specification  (APSS No 1001 &amp; 1002) Door Frame with Shutters</t>
  </si>
  <si>
    <t>Qty.p.23 of M.B.No.911/A/ZP/20</t>
  </si>
  <si>
    <t>Supply and fixing of 16A 3pin / 6A 3pin  plug socket with indicator lamp and 16Amps  fuse unit and 16 Amps  switch control (5 in one) on decolam sheet covered board including earth connection and all labour charges etc., complete on wall.</t>
  </si>
  <si>
    <t>Septic tank</t>
  </si>
  <si>
    <t>Plantation walls</t>
  </si>
  <si>
    <t>Ramp slope</t>
  </si>
  <si>
    <t>For water tank</t>
  </si>
  <si>
    <t>Beam sides</t>
  </si>
  <si>
    <t>Staff room</t>
  </si>
  <si>
    <t>Waiting room</t>
  </si>
  <si>
    <t>Agri cum aqua store</t>
  </si>
  <si>
    <t>Below staircase</t>
  </si>
  <si>
    <t>Deduct</t>
  </si>
  <si>
    <t xml:space="preserve">Hall </t>
  </si>
  <si>
    <t>Landing</t>
  </si>
  <si>
    <t>Entrance steps treads</t>
  </si>
  <si>
    <t>Steps godown</t>
  </si>
  <si>
    <t>Staircase steps</t>
  </si>
  <si>
    <t>Entrance steps risers</t>
  </si>
  <si>
    <t>Godown steps risers</t>
  </si>
  <si>
    <t>Manufacture, Supply and Delivery of Unplasticised PVCs Pipes for potable water supplies conforming to IS : 4985/2000 (3rd revision) with bell ends (Socket) as per specification.</t>
  </si>
  <si>
    <t>Supplying &amp; Fixing white glazed flat back half stall urinals 1st quality conforming to IS:2556-1995 with standard C.P. Spreader of overall size 95 x 95 x 57 mm conforming to IS:2556-Part6, Sec-6-1974 fixed with screws complete Indian make : 410 x 265 x 305 mm</t>
  </si>
  <si>
    <t>Initial cost BMW-D.34</t>
  </si>
  <si>
    <t>VRCC M30 design mix Concrete  for Slab 50mm</t>
  </si>
  <si>
    <t xml:space="preserve">VRCC M30 design mix Concrete  for Slab 50mm </t>
  </si>
  <si>
    <t>S&amp;F of 25mm dia PVC pies</t>
  </si>
  <si>
    <t>S&amp;F of Urinals</t>
  </si>
  <si>
    <t>Supply and fixing of 16A 3/2 pin wall plug socket</t>
  </si>
  <si>
    <t>121</t>
  </si>
  <si>
    <t>126</t>
  </si>
  <si>
    <t>128</t>
  </si>
  <si>
    <t>130</t>
  </si>
  <si>
    <t>131</t>
  </si>
  <si>
    <t>133</t>
  </si>
  <si>
    <t>134</t>
  </si>
  <si>
    <t>136</t>
  </si>
  <si>
    <t>Manufacture, Supply and Delivery of Unplasticised PVCs Pipes for potable water supplies conforming to IS : 4985/2000 (3rd revision) with bell ends (Socket) as per specification. 25mm dia</t>
  </si>
  <si>
    <t>BLD-ELEC-2.1.5</t>
  </si>
  <si>
    <t>20 x 15 cms (8" x6") Decolam sheet covered board ELEC-1.4.2 d</t>
  </si>
  <si>
    <t>16A / 20A 1 Way 1 Module Modular Switch. ELEC-1.8.1 h</t>
  </si>
  <si>
    <t>0.5W LED bulb ELEC-3.7.5 a</t>
  </si>
  <si>
    <t xml:space="preserve">Supply and fixing of ISI mark batten holder / angle holder on existing block, but with bulb including all connections etc., complete </t>
  </si>
  <si>
    <r>
      <t>1</t>
    </r>
    <r>
      <rPr>
        <vertAlign val="superscript"/>
        <sz val="10"/>
        <rFont val="Calibri"/>
        <family val="2"/>
        <scheme val="minor"/>
      </rPr>
      <t xml:space="preserve">st </t>
    </r>
    <r>
      <rPr>
        <sz val="10"/>
        <rFont val="Calibri"/>
        <family val="2"/>
        <scheme val="minor"/>
      </rPr>
      <t xml:space="preserve"> Class Barbender</t>
    </r>
  </si>
  <si>
    <r>
      <t>1</t>
    </r>
    <r>
      <rPr>
        <vertAlign val="superscript"/>
        <sz val="10"/>
        <rFont val="Calibri"/>
        <family val="2"/>
        <scheme val="minor"/>
      </rPr>
      <t>st</t>
    </r>
    <r>
      <rPr>
        <sz val="10"/>
        <rFont val="Calibri"/>
        <family val="2"/>
        <scheme val="minor"/>
      </rPr>
      <t xml:space="preserve"> Class Carpenter, 1</t>
    </r>
    <r>
      <rPr>
        <vertAlign val="superscript"/>
        <sz val="10"/>
        <rFont val="Calibri"/>
        <family val="2"/>
        <scheme val="minor"/>
      </rPr>
      <t xml:space="preserve">st </t>
    </r>
    <r>
      <rPr>
        <sz val="10"/>
        <rFont val="Calibri"/>
        <family val="2"/>
        <scheme val="minor"/>
      </rPr>
      <t xml:space="preserve"> Class Painter</t>
    </r>
  </si>
  <si>
    <r>
      <t>1</t>
    </r>
    <r>
      <rPr>
        <vertAlign val="superscript"/>
        <sz val="10"/>
        <rFont val="Calibri"/>
        <family val="2"/>
        <scheme val="minor"/>
      </rPr>
      <t xml:space="preserve">st  </t>
    </r>
    <r>
      <rPr>
        <sz val="10"/>
        <rFont val="Calibri"/>
        <family val="2"/>
        <scheme val="minor"/>
      </rPr>
      <t>Class Mason, Brick Layer</t>
    </r>
  </si>
  <si>
    <r>
      <t>2</t>
    </r>
    <r>
      <rPr>
        <vertAlign val="superscript"/>
        <sz val="10"/>
        <rFont val="Calibri"/>
        <family val="2"/>
        <scheme val="minor"/>
      </rPr>
      <t xml:space="preserve">nd </t>
    </r>
    <r>
      <rPr>
        <sz val="10"/>
        <rFont val="Calibri"/>
        <family val="2"/>
        <scheme val="minor"/>
      </rPr>
      <t>Class Mason, 2</t>
    </r>
    <r>
      <rPr>
        <vertAlign val="superscript"/>
        <sz val="10"/>
        <rFont val="Calibri"/>
        <family val="2"/>
        <scheme val="minor"/>
      </rPr>
      <t xml:space="preserve">nd </t>
    </r>
    <r>
      <rPr>
        <sz val="10"/>
        <rFont val="Calibri"/>
        <family val="2"/>
        <scheme val="minor"/>
      </rPr>
      <t>Brick Layer, 2</t>
    </r>
    <r>
      <rPr>
        <vertAlign val="superscript"/>
        <sz val="10"/>
        <rFont val="Calibri"/>
        <family val="2"/>
        <scheme val="minor"/>
      </rPr>
      <t xml:space="preserve">nd </t>
    </r>
    <r>
      <rPr>
        <sz val="10"/>
        <rFont val="Calibri"/>
        <family val="2"/>
        <scheme val="minor"/>
      </rPr>
      <t>Carpentor, 2</t>
    </r>
    <r>
      <rPr>
        <vertAlign val="superscript"/>
        <sz val="10"/>
        <rFont val="Calibri"/>
        <family val="2"/>
        <scheme val="minor"/>
      </rPr>
      <t xml:space="preserve">nd </t>
    </r>
    <r>
      <rPr>
        <sz val="10"/>
        <rFont val="Calibri"/>
        <family val="2"/>
        <scheme val="minor"/>
      </rPr>
      <t xml:space="preserve">Class Painter </t>
    </r>
  </si>
  <si>
    <r>
      <t>Water Charges Rs</t>
    </r>
    <r>
      <rPr>
        <b/>
        <sz val="10"/>
        <rFont val="Calibri"/>
        <family val="2"/>
        <scheme val="minor"/>
      </rPr>
      <t xml:space="preserve"> 107-00 in Urban </t>
    </r>
    <r>
      <rPr>
        <sz val="10"/>
        <rFont val="Calibri"/>
        <family val="2"/>
        <scheme val="minor"/>
      </rPr>
      <t>Area</t>
    </r>
    <r>
      <rPr>
        <b/>
        <sz val="10"/>
        <rFont val="Calibri"/>
        <family val="2"/>
        <scheme val="minor"/>
      </rPr>
      <t xml:space="preserve"> </t>
    </r>
    <r>
      <rPr>
        <sz val="10"/>
        <rFont val="Calibri"/>
        <family val="2"/>
        <scheme val="minor"/>
      </rPr>
      <t>and in</t>
    </r>
    <r>
      <rPr>
        <b/>
        <sz val="10"/>
        <rFont val="Calibri"/>
        <family val="2"/>
        <scheme val="minor"/>
      </rPr>
      <t xml:space="preserve"> Rural Area</t>
    </r>
  </si>
  <si>
    <r>
      <rPr>
        <sz val="10"/>
        <rFont val="Calibri"/>
        <family val="2"/>
        <scheme val="minor"/>
      </rPr>
      <t>Roof Slabs 100mm Basic Rat</t>
    </r>
    <r>
      <rPr>
        <b/>
        <sz val="10"/>
        <rFont val="Calibri"/>
        <family val="2"/>
        <scheme val="minor"/>
      </rPr>
      <t xml:space="preserve">e </t>
    </r>
    <r>
      <rPr>
        <sz val="10"/>
        <rFont val="Calibri"/>
        <family val="2"/>
        <scheme val="minor"/>
      </rPr>
      <t>1sqm</t>
    </r>
  </si>
  <si>
    <r>
      <rPr>
        <sz val="10"/>
        <rFont val="Calibri"/>
        <family val="2"/>
        <scheme val="minor"/>
      </rPr>
      <t>Roof Slabs 125mm Basic Rat</t>
    </r>
    <r>
      <rPr>
        <b/>
        <sz val="10"/>
        <rFont val="Calibri"/>
        <family val="2"/>
        <scheme val="minor"/>
      </rPr>
      <t xml:space="preserve">e </t>
    </r>
    <r>
      <rPr>
        <sz val="10"/>
        <rFont val="Calibri"/>
        <family val="2"/>
        <scheme val="minor"/>
      </rPr>
      <t>1sqm</t>
    </r>
  </si>
  <si>
    <r>
      <t>1.0MX0.6MX(0.075+0.05)2 = 0.0375Cum/</t>
    </r>
    <r>
      <rPr>
        <b/>
        <sz val="10"/>
        <rFont val="Calibri"/>
        <family val="2"/>
        <scheme val="minor"/>
      </rPr>
      <t>1M</t>
    </r>
  </si>
  <si>
    <r>
      <rPr>
        <sz val="10"/>
        <rFont val="Calibri"/>
        <family val="2"/>
        <scheme val="minor"/>
      </rPr>
      <t>Roof Slabs 50mm Basic Rat</t>
    </r>
    <r>
      <rPr>
        <b/>
        <sz val="10"/>
        <rFont val="Calibri"/>
        <family val="2"/>
        <scheme val="minor"/>
      </rPr>
      <t xml:space="preserve">e </t>
    </r>
    <r>
      <rPr>
        <sz val="10"/>
        <rFont val="Calibri"/>
        <family val="2"/>
        <scheme val="minor"/>
      </rPr>
      <t>1sqm</t>
    </r>
  </si>
  <si>
    <r>
      <t xml:space="preserve">Labour </t>
    </r>
    <r>
      <rPr>
        <sz val="10"/>
        <rFont val="Calibri"/>
        <family val="2"/>
        <scheme val="minor"/>
      </rPr>
      <t>for cutting, bending, shifting to site, tying and placing in position</t>
    </r>
  </si>
  <si>
    <r>
      <rPr>
        <sz val="10"/>
        <rFont val="Calibri"/>
        <family val="2"/>
        <scheme val="minor"/>
      </rPr>
      <t>Basic Rate</t>
    </r>
    <r>
      <rPr>
        <b/>
        <sz val="10"/>
        <rFont val="Calibri"/>
        <family val="2"/>
        <scheme val="minor"/>
      </rPr>
      <t xml:space="preserve"> </t>
    </r>
    <r>
      <rPr>
        <sz val="10"/>
        <rFont val="Calibri"/>
        <family val="2"/>
        <scheme val="minor"/>
      </rPr>
      <t>10.00sqm</t>
    </r>
  </si>
  <si>
    <r>
      <rPr>
        <sz val="10"/>
        <rFont val="Calibri"/>
        <family val="2"/>
        <scheme val="minor"/>
      </rPr>
      <t>Basic Rate</t>
    </r>
    <r>
      <rPr>
        <b/>
        <sz val="10"/>
        <rFont val="Calibri"/>
        <family val="2"/>
        <scheme val="minor"/>
      </rPr>
      <t xml:space="preserve"> </t>
    </r>
    <r>
      <rPr>
        <sz val="10"/>
        <rFont val="Calibri"/>
        <family val="2"/>
        <scheme val="minor"/>
      </rPr>
      <t>10sqm</t>
    </r>
  </si>
  <si>
    <r>
      <t xml:space="preserve">Whiting / White Cement / </t>
    </r>
    <r>
      <rPr>
        <b/>
        <sz val="10"/>
        <rFont val="Calibri"/>
        <family val="2"/>
        <scheme val="minor"/>
      </rPr>
      <t>BMT-J.31</t>
    </r>
  </si>
  <si>
    <r>
      <rPr>
        <sz val="10"/>
        <rFont val="Calibri"/>
        <family val="2"/>
        <scheme val="minor"/>
      </rPr>
      <t>Basic Rate</t>
    </r>
    <r>
      <rPr>
        <b/>
        <sz val="10"/>
        <rFont val="Calibri"/>
        <family val="2"/>
        <scheme val="minor"/>
      </rPr>
      <t xml:space="preserve"> </t>
    </r>
    <r>
      <rPr>
        <sz val="10"/>
        <rFont val="Calibri"/>
        <family val="2"/>
        <scheme val="minor"/>
      </rPr>
      <t>10 sqm</t>
    </r>
  </si>
  <si>
    <r>
      <t xml:space="preserve">Centering </t>
    </r>
    <r>
      <rPr>
        <b/>
        <sz val="10"/>
        <rFont val="Calibri"/>
        <family val="2"/>
        <scheme val="minor"/>
      </rPr>
      <t>:</t>
    </r>
    <r>
      <rPr>
        <sz val="10"/>
        <rFont val="Calibri"/>
        <family val="2"/>
        <scheme val="minor"/>
      </rPr>
      <t xml:space="preserve"> Columns Footings material hire charges </t>
    </r>
  </si>
  <si>
    <r>
      <t xml:space="preserve">Centering </t>
    </r>
    <r>
      <rPr>
        <b/>
        <sz val="10"/>
        <rFont val="Calibri"/>
        <family val="2"/>
        <scheme val="minor"/>
      </rPr>
      <t>:</t>
    </r>
    <r>
      <rPr>
        <sz val="10"/>
        <rFont val="Calibri"/>
        <family val="2"/>
        <scheme val="minor"/>
      </rPr>
      <t xml:space="preserve"> Columns Footings Labour charges</t>
    </r>
  </si>
  <si>
    <r>
      <t xml:space="preserve">Centering </t>
    </r>
    <r>
      <rPr>
        <b/>
        <sz val="10"/>
        <rFont val="Calibri"/>
        <family val="2"/>
        <scheme val="minor"/>
      </rPr>
      <t>:</t>
    </r>
    <r>
      <rPr>
        <sz val="10"/>
        <rFont val="Calibri"/>
        <family val="2"/>
        <scheme val="minor"/>
      </rPr>
      <t xml:space="preserve"> Column Pedastals material hire charges </t>
    </r>
  </si>
  <si>
    <r>
      <t xml:space="preserve">Centering </t>
    </r>
    <r>
      <rPr>
        <b/>
        <sz val="10"/>
        <rFont val="Calibri"/>
        <family val="2"/>
        <scheme val="minor"/>
      </rPr>
      <t>:</t>
    </r>
    <r>
      <rPr>
        <sz val="10"/>
        <rFont val="Calibri"/>
        <family val="2"/>
        <scheme val="minor"/>
      </rPr>
      <t xml:space="preserve"> Column Pedastals  Labour charges</t>
    </r>
  </si>
  <si>
    <r>
      <t xml:space="preserve">Centering </t>
    </r>
    <r>
      <rPr>
        <b/>
        <sz val="10"/>
        <rFont val="Calibri"/>
        <family val="2"/>
        <scheme val="minor"/>
      </rPr>
      <t>:</t>
    </r>
    <r>
      <rPr>
        <sz val="10"/>
        <rFont val="Calibri"/>
        <family val="2"/>
        <scheme val="minor"/>
      </rPr>
      <t xml:space="preserve"> Plinth Beams material hire charges </t>
    </r>
  </si>
  <si>
    <r>
      <t xml:space="preserve">Centering </t>
    </r>
    <r>
      <rPr>
        <b/>
        <sz val="10"/>
        <rFont val="Calibri"/>
        <family val="2"/>
        <scheme val="minor"/>
      </rPr>
      <t>:</t>
    </r>
    <r>
      <rPr>
        <sz val="10"/>
        <rFont val="Calibri"/>
        <family val="2"/>
        <scheme val="minor"/>
      </rPr>
      <t xml:space="preserve"> Plinth Beam  Labour charges</t>
    </r>
  </si>
  <si>
    <r>
      <t xml:space="preserve">Columns Basic Rate </t>
    </r>
    <r>
      <rPr>
        <sz val="10"/>
        <rFont val="Calibri"/>
        <family val="2"/>
        <scheme val="minor"/>
      </rPr>
      <t>for 1.00 Cum</t>
    </r>
  </si>
  <si>
    <r>
      <t xml:space="preserve">Add Lift Charges @ 10%, 20% on Labour charges </t>
    </r>
    <r>
      <rPr>
        <b/>
        <sz val="10"/>
        <rFont val="Calibri"/>
        <family val="2"/>
        <scheme val="minor"/>
      </rPr>
      <t>B</t>
    </r>
  </si>
  <si>
    <r>
      <t xml:space="preserve">Lintels Basic Rate </t>
    </r>
    <r>
      <rPr>
        <sz val="10"/>
        <rFont val="Calibri"/>
        <family val="2"/>
        <scheme val="minor"/>
      </rPr>
      <t>for 1.00 Cum</t>
    </r>
  </si>
  <si>
    <r>
      <t xml:space="preserve">Roof Beams Basic Rate </t>
    </r>
    <r>
      <rPr>
        <sz val="10"/>
        <rFont val="Calibri"/>
        <family val="2"/>
        <scheme val="minor"/>
      </rPr>
      <t>1.00 Cum</t>
    </r>
  </si>
  <si>
    <r>
      <t xml:space="preserve">Roof Slabs 100mm Basic Rate </t>
    </r>
    <r>
      <rPr>
        <sz val="10"/>
        <rFont val="Calibri"/>
        <family val="2"/>
        <scheme val="minor"/>
      </rPr>
      <t>1sqm</t>
    </r>
  </si>
  <si>
    <r>
      <t xml:space="preserve">Add Lift Charges @ 10%, 20% on Labour charges  </t>
    </r>
    <r>
      <rPr>
        <b/>
        <sz val="10"/>
        <rFont val="Calibri"/>
        <family val="2"/>
        <scheme val="minor"/>
      </rPr>
      <t>B</t>
    </r>
  </si>
  <si>
    <r>
      <t xml:space="preserve">Roof Slabs 125mm Basic Rate </t>
    </r>
    <r>
      <rPr>
        <sz val="10"/>
        <rFont val="Calibri"/>
        <family val="2"/>
        <scheme val="minor"/>
      </rPr>
      <t>1sqm</t>
    </r>
  </si>
  <si>
    <r>
      <t xml:space="preserve">Roof Slabs 150mm Basic Rate </t>
    </r>
    <r>
      <rPr>
        <sz val="10"/>
        <rFont val="Calibri"/>
        <family val="2"/>
        <scheme val="minor"/>
      </rPr>
      <t>1sqm</t>
    </r>
  </si>
  <si>
    <r>
      <t xml:space="preserve">Waist Slab 175mm Basic Rate </t>
    </r>
    <r>
      <rPr>
        <sz val="10"/>
        <rFont val="Calibri"/>
        <family val="2"/>
        <scheme val="minor"/>
      </rPr>
      <t>1sqm</t>
    </r>
  </si>
  <si>
    <r>
      <t xml:space="preserve">Chajjas of 0.50M width </t>
    </r>
    <r>
      <rPr>
        <sz val="10"/>
        <rFont val="Calibri"/>
        <family val="2"/>
        <scheme val="minor"/>
      </rPr>
      <t>with 2" thick</t>
    </r>
  </si>
  <si>
    <r>
      <t xml:space="preserve">50mm thick platforms / lofts: </t>
    </r>
    <r>
      <rPr>
        <sz val="10"/>
        <rFont val="Calibri"/>
        <family val="2"/>
        <scheme val="minor"/>
      </rPr>
      <t>1sqm</t>
    </r>
  </si>
  <si>
    <r>
      <t xml:space="preserve">25mm thick platforms / lofts: </t>
    </r>
    <r>
      <rPr>
        <sz val="10"/>
        <rFont val="Calibri"/>
        <family val="2"/>
        <scheme val="minor"/>
      </rPr>
      <t>1sqm</t>
    </r>
  </si>
  <si>
    <r>
      <t xml:space="preserve">For Steps Basic Rate </t>
    </r>
    <r>
      <rPr>
        <sz val="10"/>
        <rFont val="Calibri"/>
        <family val="2"/>
        <scheme val="minor"/>
      </rPr>
      <t>1.00 Cum</t>
    </r>
  </si>
  <si>
    <r>
      <t xml:space="preserve">Supplying and fixing of stainless steel (grade 304) </t>
    </r>
    <r>
      <rPr>
        <b/>
        <sz val="10"/>
        <rFont val="Calibri"/>
        <family val="2"/>
        <scheme val="minor"/>
      </rPr>
      <t>hand railing</t>
    </r>
    <r>
      <rPr>
        <sz val="10"/>
        <rFont val="Calibri"/>
        <family val="2"/>
        <scheme val="minor"/>
      </rPr>
      <t xml:space="preserve"> as per approved drawing with top rail of 50mm dia pipe and 2mm thick medium class and vertical posts of  25mm dia and 1.6mm thick medium class  1 No for each step fixed with base plate of  75mm dia using bonding agent and anchor fastner and welding,  drilling of 25mm dia holes with pneumatic compressor for fixing railing, buffing, polishing all members of the railing  thouroughly  , lacquer finishing to present seamless finish including cost and conveyance of all materials, electrodes, welding charges, cost of all consumables, labour charges , overheads &amp; contractors profit etc., complete for finished item of work.</t>
    </r>
  </si>
  <si>
    <r>
      <t xml:space="preserve">Supplying and fixing of stainless steel (grade 304) </t>
    </r>
    <r>
      <rPr>
        <b/>
        <sz val="10"/>
        <rFont val="Calibri"/>
        <family val="2"/>
        <scheme val="minor"/>
      </rPr>
      <t>railing for ramp</t>
    </r>
    <r>
      <rPr>
        <sz val="10"/>
        <rFont val="Calibri"/>
        <family val="2"/>
        <scheme val="minor"/>
      </rPr>
      <t xml:space="preserve"> as per approved drawing with top rail of 50mm dia pipe and 2mm thick medium class fixed in to wall with 25mm dia pipe of 0.30m length @ 1m centre to centre and welding, buffing, polishing all members of the railing  thouroughly  , lacquer finishing to present seamless finish including cost and conveyance of all materials, electrodes, welding charges, cost of all consumables, labour charges , overheads &amp; contractors profit etc., complete for finished item of work.</t>
    </r>
  </si>
  <si>
    <r>
      <t>Brick Masonary for Basement with CM (1:6) proportion using 2nd class traditional bricks of size 23X11X7 cms having minimum crushing strength of 40kg/cm</t>
    </r>
    <r>
      <rPr>
        <vertAlign val="superscript"/>
        <sz val="10"/>
        <rFont val="Calibri"/>
        <family val="2"/>
        <scheme val="minor"/>
      </rPr>
      <t>2</t>
    </r>
    <r>
      <rPr>
        <sz val="10"/>
        <rFont val="Calibri"/>
        <family val="2"/>
        <scheme val="minor"/>
      </rPr>
      <t xml:space="preserve">  including c/c of all materials like Cement, Sand, Bricks, water etc including seigniorage, sales and other taxes on all marerilas including all operational, incidental and labour charges such as mixing cement mortar , Scaffolding charges, etc complete for finished item of work (APSS No 501 &amp; 504)</t>
    </r>
  </si>
  <si>
    <t>Bricks traditional size 23X11X7cms 2nd class</t>
  </si>
  <si>
    <r>
      <t>Brick Masonary for Superstructure with CM (1:8) proportion using 2nd class traditional bricks of size 23X11X7 cms having minimum crushing strength of 40kg/cm</t>
    </r>
    <r>
      <rPr>
        <vertAlign val="superscript"/>
        <sz val="10"/>
        <rFont val="Calibri"/>
        <family val="2"/>
        <scheme val="minor"/>
      </rPr>
      <t>2</t>
    </r>
    <r>
      <rPr>
        <sz val="10"/>
        <rFont val="Calibri"/>
        <family val="2"/>
        <scheme val="minor"/>
      </rPr>
      <t xml:space="preserve">  including c/c of all materials like Cement, Sand, Bricks, water etc including seigniorage, sales and other taxes on all marerilas including all operational, incidental and labour charges such as mixing cement mortar , Scaffolding charges, etc complete for finished item of work (APSS No 501 &amp; 504)</t>
    </r>
  </si>
  <si>
    <t>Bricks traditional size 23X11X7cm 2nd class</t>
  </si>
  <si>
    <r>
      <t xml:space="preserve">Ceiling Plastering in CM (1:3) 12mm thick with dubara sponge finishing  including cost and conveyance of all materials including all labour charges such as mixing cement mortar and curing etc complete for finished item of work (APSS 901 &amp; 903) </t>
    </r>
    <r>
      <rPr>
        <b/>
        <sz val="10"/>
        <rFont val="Calibri"/>
        <family val="2"/>
        <scheme val="minor"/>
      </rPr>
      <t>as per Amendment Data SoR 16-17</t>
    </r>
  </si>
  <si>
    <r>
      <t xml:space="preserve">Plastering in CM (1:5) 12mm thick  single coat including c/c of all materials including all operational, incidental and labour charges such as mixing cement mortar and curing etc complete for finished item of work (APSS 901,  903 &amp; 904)  for internal walls </t>
    </r>
    <r>
      <rPr>
        <b/>
        <sz val="10"/>
        <rFont val="Calibri"/>
        <family val="2"/>
        <scheme val="minor"/>
      </rPr>
      <t>as per Amendment Data SoR 16-17</t>
    </r>
  </si>
  <si>
    <r>
      <t xml:space="preserve">Plastering in CM (1:5) 20mm thick  single coat including c/c of all materials including all operational, incidental and labour charges such as mixing cement mortar and curing etc complete for finished item of work (APSS 901,  903 &amp; 904)  for External walls </t>
    </r>
    <r>
      <rPr>
        <b/>
        <sz val="10"/>
        <rFont val="Calibri"/>
        <family val="2"/>
        <scheme val="minor"/>
      </rPr>
      <t>as per Amendment Data SoR 16-17</t>
    </r>
  </si>
  <si>
    <r>
      <t xml:space="preserve">Plastering in CM (1:3) 20mm thick  single coat including c/c of all materials including all operational, incidental and labour charges such as mixing cement mortar and curing etc complete for finished item of work (APSS 901,  903 &amp; 904)  for External walls </t>
    </r>
    <r>
      <rPr>
        <b/>
        <sz val="10"/>
        <rFont val="Calibri"/>
        <family val="2"/>
        <scheme val="minor"/>
      </rPr>
      <t>as per Amendment Data SoR 16-17</t>
    </r>
  </si>
  <si>
    <r>
      <rPr>
        <b/>
        <sz val="10"/>
        <rFont val="Calibri"/>
        <family val="2"/>
        <scheme val="minor"/>
      </rPr>
      <t>Painting New Wood work</t>
    </r>
    <r>
      <rPr>
        <sz val="10"/>
        <rFont val="Calibri"/>
        <family val="2"/>
        <scheme val="minor"/>
      </rPr>
      <t xml:space="preserve"> with Two coats of ready mixed Synthatic Enamil paint first quality of shades over primary coat of wood primary making Three coats in all given as even shade after thoroughly brushes the surface to remove all remains of loose provided materials including cost and conveyance of all materials, cost of brushes and other opartational incidental ,seigniorage charges, labour charges, scaffolding charges etc complete for finished item of work as per APSS </t>
    </r>
  </si>
  <si>
    <r>
      <t xml:space="preserve">Supplying and fixing of  </t>
    </r>
    <r>
      <rPr>
        <b/>
        <sz val="10"/>
        <rFont val="Calibri"/>
        <family val="2"/>
        <scheme val="minor"/>
      </rPr>
      <t>Door</t>
    </r>
    <r>
      <rPr>
        <sz val="10"/>
        <rFont val="Calibri"/>
        <family val="2"/>
        <scheme val="minor"/>
      </rPr>
      <t xml:space="preserve"> of size </t>
    </r>
    <r>
      <rPr>
        <b/>
        <sz val="10"/>
        <rFont val="Calibri"/>
        <family val="2"/>
        <scheme val="minor"/>
      </rPr>
      <t>1.20X2.10M</t>
    </r>
    <r>
      <rPr>
        <sz val="10"/>
        <rFont val="Calibri"/>
        <family val="2"/>
        <scheme val="minor"/>
      </rPr>
      <t xml:space="preserve"> with single panels of frames made with sal wood and Shutter made with </t>
    </r>
    <r>
      <rPr>
        <b/>
        <sz val="10"/>
        <rFont val="Calibri"/>
        <family val="2"/>
        <scheme val="minor"/>
      </rPr>
      <t>Flush door shutters</t>
    </r>
    <r>
      <rPr>
        <sz val="10"/>
        <rFont val="Calibri"/>
        <family val="2"/>
        <scheme val="minor"/>
      </rPr>
      <t xml:space="preserve"> including  MS Z hold fasts , Alluminium tower bolts, handle and butt hinges with all furniture fittings including c/c of all materials and furniture fittings etc complete as per specification  (APSS No 1001 &amp; 1002) </t>
    </r>
    <r>
      <rPr>
        <b/>
        <sz val="10"/>
        <rFont val="Calibri"/>
        <family val="2"/>
        <scheme val="minor"/>
      </rPr>
      <t>Door Frame with Shutters</t>
    </r>
  </si>
  <si>
    <r>
      <t xml:space="preserve">Supplying and fixing of  </t>
    </r>
    <r>
      <rPr>
        <b/>
        <sz val="10"/>
        <rFont val="Calibri"/>
        <family val="2"/>
        <scheme val="minor"/>
      </rPr>
      <t>Door</t>
    </r>
    <r>
      <rPr>
        <sz val="10"/>
        <rFont val="Calibri"/>
        <family val="2"/>
        <scheme val="minor"/>
      </rPr>
      <t xml:space="preserve"> of size </t>
    </r>
    <r>
      <rPr>
        <b/>
        <sz val="10"/>
        <rFont val="Calibri"/>
        <family val="2"/>
        <scheme val="minor"/>
      </rPr>
      <t>1.05X2.10M</t>
    </r>
    <r>
      <rPr>
        <sz val="10"/>
        <rFont val="Calibri"/>
        <family val="2"/>
        <scheme val="minor"/>
      </rPr>
      <t xml:space="preserve"> with single panels of frames made with sal wood and Shutter made with </t>
    </r>
    <r>
      <rPr>
        <b/>
        <sz val="10"/>
        <rFont val="Calibri"/>
        <family val="2"/>
        <scheme val="minor"/>
      </rPr>
      <t>Flush door shutters</t>
    </r>
    <r>
      <rPr>
        <sz val="10"/>
        <rFont val="Calibri"/>
        <family val="2"/>
        <scheme val="minor"/>
      </rPr>
      <t xml:space="preserve"> including  MS Z hold fasts , Alluminium tower bolts, handle and butt hinges with all furniture fittings including c/c of all materials and furniture fittings etc complete as per specification  (APSS No 1001 &amp; 1002) </t>
    </r>
    <r>
      <rPr>
        <b/>
        <sz val="10"/>
        <rFont val="Calibri"/>
        <family val="2"/>
        <scheme val="minor"/>
      </rPr>
      <t>Door Frame with Shutters</t>
    </r>
  </si>
  <si>
    <t xml:space="preserve">Providing impervious coat to exposed RCC Roof Slab surface with CM (1:3) 12mm thick with 1Kg of water proof compound per bag of Cement laid over roof when it is green including c/c of all materials and labour charges for mixing mortar, laying, rendering smooth and thread lining, cutting, rounding off junctions of wall and slab etc for finished item of work (APSS 901,  903) </t>
  </si>
  <si>
    <t>BLD-CSTN-8-25</t>
  </si>
  <si>
    <t xml:space="preserve">Providing impervious coat to exposed RCC Roof Slab surface with CM (1:3) 20mm thick with 1Kg of water proof compound per bag of Cement laid over roof when it is green including c/c of all materials and labour charges for mixing mortar, laying, rendering smooth and thread lining of wall &amp; slab etc complete for finished item of work (APSS 901,903) </t>
  </si>
  <si>
    <r>
      <t xml:space="preserve">~do~ for  </t>
    </r>
    <r>
      <rPr>
        <b/>
        <sz val="10"/>
        <rFont val="Calibri"/>
        <family val="2"/>
        <scheme val="minor"/>
      </rPr>
      <t>Roof slab 50mm thick etc., complete</t>
    </r>
  </si>
  <si>
    <r>
      <t xml:space="preserve">~do~ for  </t>
    </r>
    <r>
      <rPr>
        <b/>
        <sz val="10"/>
        <rFont val="Calibri"/>
        <family val="2"/>
        <scheme val="minor"/>
      </rPr>
      <t>Roof slab 25mm thick etc., complete</t>
    </r>
  </si>
  <si>
    <t>BLD-CSTN-6-18</t>
  </si>
  <si>
    <t xml:space="preserve">Common burnt clay bricks of class </t>
  </si>
  <si>
    <t xml:space="preserve">Loading charges
</t>
  </si>
  <si>
    <t xml:space="preserve">High Polished Granite 16 to 18 mm </t>
  </si>
  <si>
    <t>unloading charges</t>
  </si>
  <si>
    <t>RSSR 19-20</t>
  </si>
  <si>
    <t>BLD-CSTN-2-9
Amendment as per 2015-16</t>
  </si>
  <si>
    <t>RBR-FNDN    -2- (I)
Amendment as per 2015-16</t>
  </si>
  <si>
    <t>RBR-FNDN -        2- (I)
Amendment as per 2015-16</t>
  </si>
  <si>
    <t xml:space="preserve">BLD-CSTN-    2-18
Amendment </t>
  </si>
  <si>
    <t>Supplying, fitting &amp; placing HYSD bar reinforcement in foundation complete as per drawings and  technical Specifications including labour charges for cutting, bending to required sizes and shapes, placing in position and tying with binding wire, forming grills for reinforcement work including cost and conveyance of steel bars below 36mm dia including overlaps and wastage, where they are not welded</t>
  </si>
  <si>
    <t>Amendment ofasper Building SSR 2011-12</t>
  </si>
  <si>
    <t>Providing  Mild Steel (MS) steel bars  of different diameters for RCC works , including labour charges for straightening, cutting, bending to required sizes and shapes, placing in position with cover blocks of approved materials and size and tying and welding using electrodes, forming grills for reinforcement work as per approved designs and drawings, including cost and conveyance of steel bars, including all wastages such as overlaps, couplings, welding, chairs, spacer bars including cost and conveyance of binding wire, cover blocks and all incidental, operational, labour charges such as cutting, bending, placing in position, welding including sales and other taxes on all materials etc., complete for finished item of work.</t>
  </si>
  <si>
    <t>Unit = t</t>
  </si>
  <si>
    <t>(a) Material</t>
  </si>
  <si>
    <t>HYSD/ TMT/ MS bars including 2.5 per cent for wastage</t>
  </si>
  <si>
    <t>Welding Electrodes @ 5 per joint (14 joints / ton)</t>
  </si>
  <si>
    <t>each</t>
  </si>
  <si>
    <t>Binding wire ( MATERIAL &amp; WORK ITEM
RATES S.No.173)</t>
  </si>
  <si>
    <t>(b) Labour for cutting, bending, shifting to site, tying and placing in position</t>
  </si>
  <si>
    <t>Welder</t>
  </si>
  <si>
    <t>Black smith</t>
  </si>
  <si>
    <t>Mazdoor (Unskilled)</t>
  </si>
  <si>
    <t>Welding Charges (Hire charges of Welding Machine)</t>
  </si>
  <si>
    <t>Hr</t>
  </si>
  <si>
    <t>Rate per tonne</t>
  </si>
  <si>
    <t>Rate per Kg</t>
  </si>
  <si>
    <t>1 RM = 1.96 Kgs</t>
  </si>
  <si>
    <t>1 RM = 0.78 Kgs</t>
  </si>
  <si>
    <t>BLD-CSTN-4-9</t>
  </si>
  <si>
    <t>BLD-CSTN-    3-1a (v)</t>
  </si>
  <si>
    <t>BLD-CSTN-6-10</t>
  </si>
  <si>
    <t>BLD-CSTN-6-9</t>
  </si>
  <si>
    <t xml:space="preserve">Add Lift Charges @ 10%, 20% on Labour charges </t>
  </si>
  <si>
    <t>BLD-CSTN-5-1</t>
  </si>
  <si>
    <t>BLD-CSTN-7-11</t>
  </si>
  <si>
    <t>20Kg</t>
  </si>
  <si>
    <t>BLD-CSTN-10-2</t>
  </si>
  <si>
    <t>Painting, Priming Coat on New Plastered Surface for internal walls</t>
  </si>
  <si>
    <t>Unit: 10 sqm</t>
  </si>
  <si>
    <t>A. MATERIALS :</t>
  </si>
  <si>
    <t>B. LABOUR</t>
  </si>
  <si>
    <t>Total cost for 10 sqm</t>
  </si>
  <si>
    <t>Painting, Priming Coat on New Plastered Surface for external walls</t>
  </si>
  <si>
    <t>PRIMARY COAT:</t>
  </si>
  <si>
    <t>10 Sqm</t>
  </si>
  <si>
    <t xml:space="preserve">A) MATERIALS : </t>
  </si>
  <si>
    <t xml:space="preserve">acrylic Emulsion paint (at 20 sqm / liter as per British Paints (I) Ltd. </t>
  </si>
  <si>
    <t xml:space="preserve">B) LABOUR </t>
  </si>
  <si>
    <t xml:space="preserve">Painter - 1st Class </t>
  </si>
  <si>
    <t xml:space="preserve">Painter - 2nd class </t>
  </si>
  <si>
    <t>Lift Charges per 10 Sqmt.</t>
  </si>
  <si>
    <t>BASIC COST per 1 sqm</t>
  </si>
  <si>
    <t>Painting to new walls with 2 coats of acrylic Emulsion paint Asian  or equivalent and shade over Priming coat with Cement primer water base exterior Gr-2 Asian or equivalent on new plastered surface after throughly brushing the surace remove all dirt and remains of loose powdered materials including c/c of all materials to worksite and all oparational, incidental ,labour charges etc complete for finished item of work as per SS 912 for External walls</t>
  </si>
  <si>
    <t xml:space="preserve">Painting, Priming Coat with Cement Primer </t>
  </si>
  <si>
    <t xml:space="preserve">acrylic Emulsion paint </t>
  </si>
  <si>
    <t>BMT-F.29</t>
  </si>
  <si>
    <t xml:space="preserve">Teak Wood for Scantlings/Frames  </t>
  </si>
  <si>
    <t>BMT-E.01</t>
  </si>
  <si>
    <t xml:space="preserve">Teak Wood for Planks/Shutters </t>
  </si>
  <si>
    <t>BMT-E.04</t>
  </si>
  <si>
    <r>
      <t xml:space="preserve">150mm </t>
    </r>
    <r>
      <rPr>
        <sz val="10"/>
        <color rgb="FFFF0000"/>
        <rFont val="Calibri"/>
        <family val="2"/>
        <scheme val="minor"/>
      </rPr>
      <t>Brass</t>
    </r>
    <r>
      <rPr>
        <sz val="10"/>
        <rFont val="Calibri"/>
        <family val="2"/>
        <scheme val="minor"/>
      </rPr>
      <t xml:space="preserve"> tower bolts </t>
    </r>
  </si>
  <si>
    <t>BMT-G.02</t>
  </si>
  <si>
    <r>
      <t xml:space="preserve">Butt Hinges 125mm  </t>
    </r>
    <r>
      <rPr>
        <sz val="10"/>
        <color rgb="FFFF0000"/>
        <rFont val="Calibri"/>
        <family val="2"/>
        <scheme val="minor"/>
      </rPr>
      <t>Brass</t>
    </r>
    <r>
      <rPr>
        <sz val="10"/>
        <rFont val="Calibri"/>
        <family val="2"/>
        <scheme val="minor"/>
      </rPr>
      <t xml:space="preserve"> </t>
    </r>
  </si>
  <si>
    <t>BMT-G.21</t>
  </si>
  <si>
    <t xml:space="preserve">150mm Alluminium Door handle </t>
  </si>
  <si>
    <t>BMT-G.34</t>
  </si>
  <si>
    <r>
      <t xml:space="preserve">300mm </t>
    </r>
    <r>
      <rPr>
        <sz val="10"/>
        <color rgb="FFFF0000"/>
        <rFont val="Calibri"/>
        <family val="2"/>
        <scheme val="minor"/>
      </rPr>
      <t>Brass</t>
    </r>
    <r>
      <rPr>
        <sz val="10"/>
        <rFont val="Calibri"/>
        <family val="2"/>
        <scheme val="minor"/>
      </rPr>
      <t xml:space="preserve"> Aldrop </t>
    </r>
  </si>
  <si>
    <t>BMT-G.37</t>
  </si>
  <si>
    <t xml:space="preserve">Brass door stoppers </t>
  </si>
  <si>
    <t>BMT-G.46</t>
  </si>
  <si>
    <t xml:space="preserve">MS Z Hold fasts 300mm Long </t>
  </si>
  <si>
    <t>BMS-W.69</t>
  </si>
  <si>
    <t xml:space="preserve">wrought &amp; Putup Labour charges </t>
  </si>
  <si>
    <t>BMM-V.25</t>
  </si>
  <si>
    <t xml:space="preserve">WPC shutter door </t>
  </si>
  <si>
    <t>BMT-N.88</t>
  </si>
  <si>
    <t xml:space="preserve">Fixing WPC door </t>
  </si>
  <si>
    <t>BMM-V.42</t>
  </si>
  <si>
    <t xml:space="preserve">150mm Alluminium tower bolts </t>
  </si>
  <si>
    <t>BMT-G.08</t>
  </si>
  <si>
    <t xml:space="preserve">Butt Hinges 125mm  Alluminiu </t>
  </si>
  <si>
    <t>BMT-G.25</t>
  </si>
  <si>
    <t xml:space="preserve">300mm Alluminium Aldrop </t>
  </si>
  <si>
    <t>BMT-G.42</t>
  </si>
  <si>
    <t xml:space="preserve">Door stopper MS Powder coated </t>
  </si>
  <si>
    <t>BMT-G.53</t>
  </si>
  <si>
    <t>wrought &amp; Putup Labour charges 
For frames only (1/3)</t>
  </si>
  <si>
    <t>Rate per 1 Sqm</t>
  </si>
  <si>
    <t>Rate per 1 No</t>
  </si>
  <si>
    <t xml:space="preserve">Plain float glass </t>
  </si>
  <si>
    <t>BMT-I.01</t>
  </si>
  <si>
    <t>BMS-W.17</t>
  </si>
  <si>
    <t>BMT-N.83.C</t>
  </si>
  <si>
    <t xml:space="preserve">Labour charges for Shutter </t>
  </si>
  <si>
    <t xml:space="preserve">200mm Alluminium tower bolts </t>
  </si>
  <si>
    <t>BMT-G.09</t>
  </si>
  <si>
    <t>Initial cost  two track panels</t>
  </si>
  <si>
    <t>BMT-P.80.A</t>
  </si>
  <si>
    <t xml:space="preserve">Initial cost  Three track </t>
  </si>
  <si>
    <t>Initial cost  Glazed window</t>
  </si>
  <si>
    <t>BMT-P.79</t>
  </si>
  <si>
    <t>Initial cost  (SSR 2012-13)</t>
  </si>
  <si>
    <t>BMT-J.46</t>
  </si>
  <si>
    <t xml:space="preserve">Poly-Urethene Polish - exteritor Grade </t>
  </si>
  <si>
    <t>BMT-J.13</t>
  </si>
  <si>
    <t xml:space="preserve">Thinner for Polyurethane polish </t>
  </si>
  <si>
    <t xml:space="preserve">18" dia(0.45Mts) 2" thick hume pipe ring </t>
  </si>
  <si>
    <t>ELEC-8.4.22</t>
  </si>
  <si>
    <t xml:space="preserve">CC Cover for hume pipe </t>
  </si>
  <si>
    <t>ELEC-8.4.24</t>
  </si>
  <si>
    <t>Jungle</t>
  </si>
  <si>
    <t>Earthwork</t>
  </si>
  <si>
    <t>Columns</t>
  </si>
  <si>
    <t>Plinth beam</t>
  </si>
  <si>
    <t>Plain Cement Concrete  M30 Nominal mix (Cement: Sand: Metal) corresponding Table 9 of IS 456 using 20mm size graded machine crushed hard granite metal from approved quarry including c/c of all materials like Cement, Sand, coarse aggregate, water etc to site, all marerials including labour charges such as machine mixing, laying concrete, curing etc complete but excluding cost of steel and its fabrication charges for finished item of work for Steps</t>
  </si>
  <si>
    <t xml:space="preserve">S&amp;F of 1200 &amp; 900 mm dia 2" thick Precasted  cc cover for hume pipe including cost and conveyance of all material and labour charges etc., complete for septic Tank </t>
  </si>
  <si>
    <t>Precasted slab 25mm</t>
  </si>
  <si>
    <t>Acco Plaster'g CM (1:3) 12mm</t>
  </si>
  <si>
    <t>110mm dia pvc pipe</t>
  </si>
  <si>
    <t>90mm dia pvc pipe</t>
  </si>
  <si>
    <t>75mm dia pvc pipe</t>
  </si>
  <si>
    <t>Nahany trap</t>
  </si>
  <si>
    <t>180mm dia bore cap</t>
  </si>
  <si>
    <t>12 Module box</t>
  </si>
  <si>
    <t>8 Module box</t>
  </si>
  <si>
    <t>6 Module box</t>
  </si>
  <si>
    <t>4 Module box</t>
  </si>
  <si>
    <t>exhaust fan</t>
  </si>
  <si>
    <t>Certified that the above leads are correct to the best of my knowledge.</t>
  </si>
  <si>
    <t>1)</t>
  </si>
  <si>
    <t>2)</t>
  </si>
  <si>
    <t>VRCC M30 design mix Concrete  for Slab 25mm</t>
  </si>
  <si>
    <t>impervious coat over roof slab-12mm</t>
  </si>
  <si>
    <t>impervious coat over roof slab-20mm</t>
  </si>
  <si>
    <t xml:space="preserve">Providing skirting to vitrified tiles </t>
  </si>
  <si>
    <t>1200mm dia  2" thick Precasted rcc hume rings</t>
  </si>
  <si>
    <t>900mm dia  2" thick Precasted rcc hume rings</t>
  </si>
  <si>
    <t>Precasted hume ring slab</t>
  </si>
  <si>
    <t xml:space="preserve">VRCC M30 design mix Concrete  for Slab 25mm </t>
  </si>
  <si>
    <t>Qty.p. 27  of M.B.No.689/A/ZP/19</t>
  </si>
  <si>
    <t>Qty.p.23 of M.B.No.689/A/ZP/19</t>
  </si>
  <si>
    <t>50 thick</t>
  </si>
  <si>
    <t>Parapet wall</t>
  </si>
  <si>
    <t>Qty.p.39 of M.B.No.689/A/ZP/19</t>
  </si>
  <si>
    <t>Qty.p.3 of M.B.No.702/C/ZP/20</t>
  </si>
  <si>
    <t>Demo quipment</t>
  </si>
  <si>
    <t>Agristore</t>
  </si>
  <si>
    <t>Ele 1.4.2 (b)</t>
  </si>
  <si>
    <t>Taking Output = 100 M</t>
  </si>
  <si>
    <t>25mm dia 1,2,3 &amp; 4 way deep Junction Box</t>
  </si>
  <si>
    <t>25mm PVC bends</t>
  </si>
  <si>
    <t>Semi Skilled Electrician</t>
  </si>
  <si>
    <t xml:space="preserve">Helper (Electrical) </t>
  </si>
  <si>
    <t>ELEC-1.2.6 b</t>
  </si>
  <si>
    <t>ELEC-1.2.8 b</t>
  </si>
  <si>
    <t>ELEC-1.2.2 b</t>
  </si>
  <si>
    <t>Supply and Fixing of 25mm dia 1.8mm thick PVC pipe (ISI MARK) concealed in Roof Slabs with all required accessories including masonary work  and labour charges etc., complete.</t>
  </si>
  <si>
    <t>U' Links</t>
  </si>
  <si>
    <t>Mason Ist class</t>
  </si>
  <si>
    <t>25mm dia 1.8mm thick PVC pipe</t>
  </si>
  <si>
    <t>Supply and Fixing of 25mm dia 1.8mm thick PVC pipe (ISI MARK) concealed in wall with all required accessories including masonary work  and labour charges etc., complete.</t>
  </si>
  <si>
    <t>ELEC-8.1.4</t>
  </si>
  <si>
    <t>Supply of  Hot Dip galvanized 20/18 SWG Module box with earthing terminal for 16 Module box</t>
  </si>
  <si>
    <t xml:space="preserve"> Initial cost ELEC-1.8.3 c  4M</t>
  </si>
  <si>
    <t>200/18 SWG Module box w for 16 Module box</t>
  </si>
  <si>
    <t>31</t>
  </si>
  <si>
    <t>36</t>
  </si>
  <si>
    <t>37</t>
  </si>
  <si>
    <t>38</t>
  </si>
  <si>
    <t>39</t>
  </si>
  <si>
    <t>40</t>
  </si>
  <si>
    <t>Tiles</t>
  </si>
  <si>
    <t>Qty.p.12 of M.B.No.269/A/ZP/19</t>
  </si>
  <si>
    <t>Qty.p.17 of M.B.No.269/A/ZP/19</t>
  </si>
  <si>
    <t>Qty.p.23 of M.B.No.269/A/ZP/19</t>
  </si>
  <si>
    <t>Qty.p.95 of M.B.No.269/A/ZP/19</t>
  </si>
  <si>
    <t>Qty.p.62 of M.B.No.269/A/ZP/19</t>
  </si>
  <si>
    <t>Qty.p.67 of M.B.No.269/A/ZP/19</t>
  </si>
  <si>
    <t>Qty.p.65 of M.B.No.269/A/ZP/19</t>
  </si>
  <si>
    <t>Qty.p. 77 of M.B.No.269/A/ZP/19</t>
  </si>
  <si>
    <t>Qty.p.57 of M.B.No.269/A/ZP/19</t>
  </si>
  <si>
    <t>Qty.p. 47 of M.B.No.269/A/ZP/19</t>
  </si>
  <si>
    <t>Qty.p. 72 of M.B.No.269/A/ZP/19</t>
  </si>
  <si>
    <t>Qty.P.No. 73 of M.B.No.269/A/ZP/19</t>
  </si>
  <si>
    <t>Qty.p.21 of M.B.No.269/A/ZP/19</t>
  </si>
  <si>
    <t>Qty.p.26 of M.B.No.269/A/ZP/19</t>
  </si>
  <si>
    <t>Qty.p.37 of M.B.No.269/A/ZP/19</t>
  </si>
  <si>
    <t>Qty.p.68 of M.B.No.269/A/ZP/19</t>
  </si>
  <si>
    <t>Qty.p.69 of M.B.No.269/A/ZP/19</t>
  </si>
  <si>
    <t>Qty.p.     of M.B.No.269/A/ZP/19</t>
  </si>
  <si>
    <t>Qty.p.98 of M.B.No.269/A/ZP/19</t>
  </si>
  <si>
    <t>Qty.p.91 of M.B.No.269/A/ZP/19</t>
  </si>
  <si>
    <t>Qty.p.51 of M.B.No.269/A/ZP/19</t>
  </si>
  <si>
    <t>Qty.p.52 of M.B.No.269/A/ZP/19</t>
  </si>
  <si>
    <t>Qty.P.No. 53 of M.B.No.269/A/ZP/19</t>
  </si>
  <si>
    <t>Qty.P.No. 62 of M.B.No.269/A/ZP/19</t>
  </si>
  <si>
    <t>Qty.P.No. 81 of M.B.No.269/A/ZP/19</t>
  </si>
  <si>
    <t>Qty.P.No. 99 of M.B.No.269/A/ZP/19</t>
  </si>
  <si>
    <t>Qty.p.84 of M.B.No.269/A/ZP/19</t>
  </si>
  <si>
    <t>Landing side</t>
  </si>
  <si>
    <t>Supply and Transportation of 1.00HP single phase ISI  submersible mortor Pumpset subitable for 4" bore well Makes:Kirloskar/ Crompton/ CRI/ KSB/ Texmo/Aryan Varsha</t>
  </si>
  <si>
    <t>Qty.p.9 of M.B.No.109/A/ZP/20</t>
  </si>
  <si>
    <t>Ceiling</t>
  </si>
  <si>
    <t>Projection right and left</t>
  </si>
  <si>
    <t>Qty.p.33 of M.B.No.109/A/ZP/20</t>
  </si>
  <si>
    <t>Street light</t>
  </si>
  <si>
    <t>Stainless steel</t>
  </si>
  <si>
    <t>Initial cost  ELEC-5.4.1 c</t>
  </si>
  <si>
    <t>S&amp;F of 12 / 15 MS plain rod fan hook</t>
  </si>
  <si>
    <t xml:space="preserve"> Initial cost ELEC-8.1.20</t>
  </si>
  <si>
    <t>Fan hook</t>
  </si>
  <si>
    <t>Qty.p.23 of M.B.No.471/A/ZP/19</t>
  </si>
  <si>
    <t>Qty.p.95 of M.B.No.471/A/ZP/19</t>
  </si>
  <si>
    <t>Qty.p.62 of M.B.No.471/A/ZP/19</t>
  </si>
  <si>
    <t>Qty.p.67 of M.B.No.471/A/ZP/19</t>
  </si>
  <si>
    <t>Qty.p.17 of M.B.No.471/A/ZP/19</t>
  </si>
  <si>
    <t>Qty.p.21 of M.B.No.471/A/ZP/19</t>
  </si>
  <si>
    <t>Qty.p.12 of M.B.No.52/C/ZP/18</t>
  </si>
  <si>
    <t>Qty.p.37 of M.B.No.470/A/ZP/19</t>
  </si>
  <si>
    <t>Qty.p.68 of M.B.No.470/A/ZP/19</t>
  </si>
  <si>
    <t>Qty.p.52 of M.B.No.470/A/ZP/19</t>
  </si>
  <si>
    <t>Staff wash room</t>
  </si>
  <si>
    <t>Clinic wash rooms</t>
  </si>
  <si>
    <r>
      <t>Supply and Fixing of Premium make CPVC Pipes and Fittings to meet the requirement of ASTM-D 2846 and are produced in CTS (Copper Tube Sizes 1/2" ton 2" Ashirvad  lowgurard SDR 11 and SDR 13.5 pipes are made from  dential CPVC compounds having the same physical  roperties for Hot and Cold Water (IS 15778:2007)</t>
    </r>
    <r>
      <rPr>
        <b/>
        <sz val="10"/>
        <rFont val="Calibri"/>
        <family val="2"/>
        <scheme val="minor"/>
      </rPr>
      <t>for  20mm dia</t>
    </r>
  </si>
  <si>
    <t>Qty.p.83 of M.B.No.470/A/ZP/19</t>
  </si>
  <si>
    <t>Supplying and fixing of  Door of size 0.90X2.10M with single panels of frames made with teak wood and Shutter made with medium Teak wood including  MS Z hold fasts , Alluminium tower bolts, handle and butt hinges with all furniture fittings including c/c of all materials and furniture fittings etc complete as per specification  (APSS No 1001 &amp; 1002) Door Frame with Shutters</t>
  </si>
  <si>
    <r>
      <t xml:space="preserve">Supplying and fixing of  </t>
    </r>
    <r>
      <rPr>
        <b/>
        <sz val="10"/>
        <rFont val="Calibri"/>
        <family val="2"/>
        <scheme val="minor"/>
      </rPr>
      <t>Door</t>
    </r>
    <r>
      <rPr>
        <sz val="10"/>
        <rFont val="Calibri"/>
        <family val="2"/>
        <scheme val="minor"/>
      </rPr>
      <t xml:space="preserve"> of size </t>
    </r>
    <r>
      <rPr>
        <b/>
        <sz val="10"/>
        <rFont val="Calibri"/>
        <family val="2"/>
        <scheme val="minor"/>
      </rPr>
      <t>0.90X2.10M</t>
    </r>
    <r>
      <rPr>
        <sz val="10"/>
        <rFont val="Calibri"/>
        <family val="2"/>
        <scheme val="minor"/>
      </rPr>
      <t xml:space="preserve"> with single panels of frames made with teak wood and Shutter made with </t>
    </r>
    <r>
      <rPr>
        <b/>
        <sz val="10"/>
        <rFont val="Calibri"/>
        <family val="2"/>
        <scheme val="minor"/>
      </rPr>
      <t>medium Teak wood</t>
    </r>
    <r>
      <rPr>
        <sz val="10"/>
        <rFont val="Calibri"/>
        <family val="2"/>
        <scheme val="minor"/>
      </rPr>
      <t xml:space="preserve"> including  MS Z hold fasts , Alluminium tower bolts, handle and butt hinges with all furniture fittings including c/c of all materials and furniture fittings etc complete as per specification  (APSS No 1001 &amp; 1002) </t>
    </r>
    <r>
      <rPr>
        <b/>
        <sz val="10"/>
        <rFont val="Calibri"/>
        <family val="2"/>
        <scheme val="minor"/>
      </rPr>
      <t>Door Frame with Shutters</t>
    </r>
  </si>
  <si>
    <t>S&amp;F of 20mm dia CPVC pipes</t>
  </si>
  <si>
    <t xml:space="preserve">Supply and fixing of  Door  of size 0.90 x 2.10mt </t>
  </si>
  <si>
    <t xml:space="preserve">Supply and fixing of  Door  of size 0.80 x 2.10mt </t>
  </si>
  <si>
    <t>Assistant  Engineer</t>
  </si>
  <si>
    <t>B1 to B2</t>
  </si>
  <si>
    <t>C1 to C2</t>
  </si>
  <si>
    <t>D1 to D2</t>
  </si>
  <si>
    <t>E2 to E3</t>
  </si>
  <si>
    <t>Staircase first flight</t>
  </si>
  <si>
    <t>Beam and slab</t>
  </si>
  <si>
    <t>A1 to A2</t>
  </si>
  <si>
    <t>B2 to B3</t>
  </si>
  <si>
    <t>B3 to E3</t>
  </si>
  <si>
    <t>B1 to E2</t>
  </si>
  <si>
    <t>A1 to E1</t>
  </si>
  <si>
    <t>B2 to E2</t>
  </si>
  <si>
    <t>Inside tiolet blocks</t>
  </si>
  <si>
    <t>FF 1st flight raisers</t>
  </si>
  <si>
    <t>Head room column</t>
  </si>
  <si>
    <t>Head room beams</t>
  </si>
  <si>
    <t>Head room slab</t>
  </si>
  <si>
    <t>water tank</t>
  </si>
  <si>
    <t>Staircase room inside</t>
  </si>
  <si>
    <t>Top Inside</t>
  </si>
  <si>
    <t>Inside parapet alround</t>
  </si>
  <si>
    <t>Front Projection alround</t>
  </si>
  <si>
    <t>Back</t>
  </si>
  <si>
    <t xml:space="preserve">Staircase external </t>
  </si>
  <si>
    <t>GF Windows</t>
  </si>
  <si>
    <t>25mm dia</t>
  </si>
  <si>
    <t>Eng Assist room</t>
  </si>
  <si>
    <t>Digital asst room</t>
  </si>
  <si>
    <t>Qty.p.80 of M.B.No.220/A/ZP/19</t>
  </si>
  <si>
    <t>Qty.p.94  of M.B.No.220/A/ZP/19</t>
  </si>
  <si>
    <t>Qty.p.75  of M.B.No.220/A/ZP/19</t>
  </si>
  <si>
    <t>Qty.p.77 of M.B.No.220/A/ZP/19</t>
  </si>
  <si>
    <t>Protection  wall front side</t>
  </si>
  <si>
    <t>Qty.p.89 of M.B.No.220/A/ZP/19</t>
  </si>
  <si>
    <t>Qty.p.91 of M.B.No.220/A/ZP/19</t>
  </si>
  <si>
    <t>Qty.p.98  of M.B.No.220/A/ZP/19</t>
  </si>
  <si>
    <t>Qty.p.100  of M.B.No.220/A/ZP/19</t>
  </si>
  <si>
    <t>Alround</t>
  </si>
  <si>
    <t>Deduct for columns</t>
  </si>
  <si>
    <t>Deduct for door</t>
  </si>
  <si>
    <t>Qty.p.2 of M.B.No.482/A/ZP/19</t>
  </si>
  <si>
    <t>Back side of First floor</t>
  </si>
  <si>
    <t>Qty.p.3 of M.B.No.482/A/ZP/19</t>
  </si>
  <si>
    <t>Parapet wall alround</t>
  </si>
  <si>
    <t>Qty.p.5  of M.B.No.482/A/ZP/19</t>
  </si>
  <si>
    <t>Qty.p.6  of M.B.No.482/A/ZP/19</t>
  </si>
  <si>
    <t>Qty.p.12  of M.B.No.482/A/ZP/19</t>
  </si>
  <si>
    <t>Qty.p.48  of M.B.No.482/A/ZP/20</t>
  </si>
  <si>
    <t>Qty.p.55  of M.B.No.482/A/ZP/20</t>
  </si>
  <si>
    <t>Qty.p.57  of M.B.No.482/A/ZP/20</t>
  </si>
  <si>
    <t>Qty.p.60  of M.B.No.482/A/ZP/20</t>
  </si>
  <si>
    <t>Qty.p.78 of M.B.No.482/A/ZP/20</t>
  </si>
  <si>
    <t>Qty.p.84 of M.B.No.482/A/ZP/20</t>
  </si>
  <si>
    <t>Qty.p.86 of M.B.No.482/A/ZP/20</t>
  </si>
  <si>
    <t>Qty.p.67 of M.B.No.482/A/ZP/20</t>
  </si>
  <si>
    <t>Qty.p.87 of M.B.No.482/A/ZP/20</t>
  </si>
  <si>
    <t>Qty.p.92 of M.B.No.482/A/ZP/20</t>
  </si>
  <si>
    <t>Qty.p.95 of M.B.No.482/A/ZP/19</t>
  </si>
  <si>
    <t>Qty.p.95 of M.B.No.482/A/ZP/20</t>
  </si>
  <si>
    <t>Qty.p.96 of M.B.No.482/A/ZP/20</t>
  </si>
  <si>
    <t>( Single Tracks)</t>
  </si>
  <si>
    <t>Ele 1.4.2 (a)</t>
  </si>
  <si>
    <t>Supply and run of 2 of 22/0.3mm (1.5 Sq.mm) F.R P.V.C. insulated flexible copper cable in existing pipe for mains inlcuding all labour charges etc., complete</t>
  </si>
  <si>
    <t>Ele 3.1.3</t>
  </si>
  <si>
    <t>Ele 9.7.35</t>
  </si>
  <si>
    <t>Supply of 23 / 0060 twin core twisted  ELEC-1.5.6</t>
  </si>
  <si>
    <t xml:space="preserve">Supply of 48" (1200mm) Sweep 5 Star rated Ceiling Fan ELEC-5.1.4 </t>
  </si>
  <si>
    <t>Stepped type fan regulator ELEC-1.7.1 I</t>
  </si>
  <si>
    <t>Supply and fixing of  Stepped Electronic fan regulator hum free step type socket size in the existing switch board.</t>
  </si>
  <si>
    <t>Ele 9.7.26</t>
  </si>
  <si>
    <t>Ele 9.7.2</t>
  </si>
  <si>
    <t>Ele 9.7.25</t>
  </si>
  <si>
    <t>Supply and erecting fan hook of 12/15mm dia M.S. rod / bar grouted in RCC slab with making the slab as original.</t>
  </si>
  <si>
    <t>Ele 9.7.24</t>
  </si>
  <si>
    <t>Mason</t>
  </si>
  <si>
    <t xml:space="preserve">Helper </t>
  </si>
  <si>
    <t>30mm thick Solid panel PVC door</t>
  </si>
  <si>
    <t>Supply and  Run of 2 of 36/0.3mm (1.50 Sq.mm)</t>
  </si>
  <si>
    <t>Modular telephone jack</t>
  </si>
  <si>
    <t>DB with 1 No 20A single phase</t>
  </si>
  <si>
    <t>8 Way TPN DB Horizontal with IP 20</t>
  </si>
  <si>
    <t>Supply,laying ,testing and commisioning of 4-pair</t>
  </si>
  <si>
    <t>Supply and run of 5 pair telephone copper wire</t>
  </si>
  <si>
    <t>Inspection chamber</t>
  </si>
  <si>
    <t>Supplying and fixing 4" (101.6 mm ) Floor Trap</t>
  </si>
  <si>
    <t>S&amp;F of 15mm dia CPVC pipes</t>
  </si>
  <si>
    <t>Gunmetal gate value</t>
  </si>
  <si>
    <t>PVC water spouts</t>
  </si>
  <si>
    <t>S&amp;F of NP bip taps</t>
  </si>
  <si>
    <t>Provision for GST charges</t>
  </si>
  <si>
    <t>70</t>
  </si>
  <si>
    <t>81</t>
  </si>
  <si>
    <t>93</t>
  </si>
  <si>
    <t>95</t>
  </si>
  <si>
    <t>96</t>
  </si>
  <si>
    <t>97</t>
  </si>
  <si>
    <t>98</t>
  </si>
  <si>
    <t>99</t>
  </si>
  <si>
    <t>101</t>
  </si>
  <si>
    <t>102</t>
  </si>
  <si>
    <t>103</t>
  </si>
  <si>
    <t>104</t>
  </si>
  <si>
    <t>124</t>
  </si>
  <si>
    <t>125</t>
  </si>
  <si>
    <t>146</t>
  </si>
  <si>
    <t>Code</t>
  </si>
  <si>
    <t>MAT-00005</t>
  </si>
  <si>
    <t xml:space="preserve">Steel Fe 500 </t>
  </si>
  <si>
    <t>Steel Fe 415</t>
  </si>
  <si>
    <t>MAT-00027</t>
  </si>
  <si>
    <t>MAT-00028</t>
  </si>
  <si>
    <t>MAT-00029</t>
  </si>
  <si>
    <t>BMT-A.01</t>
  </si>
  <si>
    <t>12 mm nominal size</t>
  </si>
  <si>
    <t>10mm nominal size</t>
  </si>
  <si>
    <t>6mm nominal size</t>
  </si>
  <si>
    <t>MAT-00220</t>
  </si>
  <si>
    <t>MAT-00218</t>
  </si>
  <si>
    <t>MAT-00217</t>
  </si>
  <si>
    <t>MAT-00216</t>
  </si>
  <si>
    <t>MAT-00215</t>
  </si>
  <si>
    <t>MAT-00302</t>
  </si>
  <si>
    <t>BMT-A.04</t>
  </si>
  <si>
    <t>40mm HBG metal SS-5</t>
  </si>
  <si>
    <t>20mm HBG metal SS-5</t>
  </si>
  <si>
    <t>12mm HBG metal SS-5</t>
  </si>
  <si>
    <t>10mm HBG metal SS-5</t>
  </si>
  <si>
    <t>6mm HBG metal SS-5</t>
  </si>
  <si>
    <t xml:space="preserve">Steel Fe 415 </t>
  </si>
  <si>
    <t>Name</t>
  </si>
  <si>
    <t xml:space="preserve">Code </t>
  </si>
  <si>
    <t>Mason skilled</t>
  </si>
  <si>
    <t>Mason Semi skilled</t>
  </si>
  <si>
    <t>Mazdoor</t>
  </si>
  <si>
    <t>Painter skilled</t>
  </si>
  <si>
    <t>Painter semi skilled</t>
  </si>
  <si>
    <t>Common burnt clay bricks</t>
  </si>
  <si>
    <t xml:space="preserve">Granite 16 to 18 mm </t>
  </si>
  <si>
    <t>LAB-00011</t>
  </si>
  <si>
    <t>LAB-00091</t>
  </si>
  <si>
    <t>LAB-00120</t>
  </si>
  <si>
    <t>RSSR</t>
  </si>
  <si>
    <t>Water for Rural</t>
  </si>
  <si>
    <t>MAT- 00333</t>
  </si>
  <si>
    <t>Concrete mixer</t>
  </si>
  <si>
    <t>HIR-00018</t>
  </si>
  <si>
    <t>needle Vibration 40 petrol</t>
  </si>
  <si>
    <t>Hire</t>
  </si>
  <si>
    <t>Labour</t>
  </si>
  <si>
    <t>Bed blocks</t>
  </si>
  <si>
    <t>Pedastal</t>
  </si>
  <si>
    <t>Sunshade</t>
  </si>
  <si>
    <t>Beams</t>
  </si>
  <si>
    <t>Slab upto 150mm</t>
  </si>
  <si>
    <t>Slab upto 150 to 300mm</t>
  </si>
  <si>
    <t xml:space="preserve">Centering charges for bed block material hire charges </t>
  </si>
  <si>
    <t xml:space="preserve">Centering charges for bed block Labour charges </t>
  </si>
  <si>
    <t>MAT-00003</t>
  </si>
  <si>
    <t>Bar bender</t>
  </si>
  <si>
    <t>LAB-00001</t>
  </si>
  <si>
    <t>Welding eletrodes</t>
  </si>
  <si>
    <t>MAT-00082</t>
  </si>
  <si>
    <t>LAB-00041</t>
  </si>
  <si>
    <t>LAB-00002</t>
  </si>
  <si>
    <t>Welding set</t>
  </si>
  <si>
    <t>HIR-00065
HIR-00199</t>
  </si>
  <si>
    <t>BMM-V.14</t>
  </si>
  <si>
    <t>BMM-V.15</t>
  </si>
  <si>
    <t xml:space="preserve">MS Tubes </t>
  </si>
  <si>
    <t>BMT-F.04</t>
  </si>
  <si>
    <t>Grills Fabrication of steel</t>
  </si>
  <si>
    <t xml:space="preserve">Grills  Labour charges </t>
  </si>
  <si>
    <t>Tube Fabrication of steel</t>
  </si>
  <si>
    <t xml:space="preserve">Tube  Labour charges </t>
  </si>
  <si>
    <t>BMM-V.16</t>
  </si>
  <si>
    <t>BMM-V.17</t>
  </si>
  <si>
    <t>BMT-F.06</t>
  </si>
  <si>
    <t>BMM-V.18</t>
  </si>
  <si>
    <t>S.S.Steel  Fabrication</t>
  </si>
  <si>
    <t>Drilling of 25mm dia hole(13 x 0.10) BMS-W.76</t>
  </si>
  <si>
    <t>Drilling hard rock</t>
  </si>
  <si>
    <t>BMS-W.76</t>
  </si>
  <si>
    <t>Brick work scaffolding</t>
  </si>
  <si>
    <t>Labour-GF</t>
  </si>
  <si>
    <t>Labour-FF</t>
  </si>
  <si>
    <t>Labour-SF</t>
  </si>
  <si>
    <t>scaffolding material hire charge</t>
  </si>
  <si>
    <t>scaffolding Labour charges</t>
  </si>
  <si>
    <t>scaffolding material hire charges</t>
  </si>
  <si>
    <t>scaffoldi material hire charge (1/0.115 = 8.70)</t>
  </si>
  <si>
    <t>Fly ash cement brick</t>
  </si>
  <si>
    <t>BMT-A.03</t>
  </si>
  <si>
    <t xml:space="preserve">scaffolding material hire charges </t>
  </si>
  <si>
    <t xml:space="preserve"> plastering</t>
  </si>
  <si>
    <t>Ceiling plastering</t>
  </si>
  <si>
    <t>Rabbit wire mesh</t>
  </si>
  <si>
    <t>BMT-F.28</t>
  </si>
  <si>
    <t>Rabbit wire mesh BMT-F.28</t>
  </si>
  <si>
    <t>Add extra for Scaffolding labour  Charges</t>
  </si>
  <si>
    <t>Water proof compound</t>
  </si>
  <si>
    <t>Water proof compound BMT-H.91</t>
  </si>
  <si>
    <t>Full Rounding the edges</t>
  </si>
  <si>
    <t>BMM-V.11</t>
  </si>
  <si>
    <t>Terrazo tiles</t>
  </si>
  <si>
    <t>BMT-D.01</t>
  </si>
  <si>
    <t>Vitrified tiles double</t>
  </si>
  <si>
    <t>BMT-C.09</t>
  </si>
  <si>
    <t>Ceramic tiles non skid</t>
  </si>
  <si>
    <t xml:space="preserve">BMT.C.01 </t>
  </si>
  <si>
    <t xml:space="preserve">Non-Skid Ceramic tiles 300X300 BMT-C.01 </t>
  </si>
  <si>
    <t>Glazed tiles for walls</t>
  </si>
  <si>
    <t>BMT.C.21</t>
  </si>
  <si>
    <t>BMT-J.31</t>
  </si>
  <si>
    <t>LAB-00035</t>
  </si>
  <si>
    <t>Wallputty</t>
  </si>
  <si>
    <t>LAB-00093</t>
  </si>
  <si>
    <t>Cement Primer Interior Grade  BMT-J.01</t>
  </si>
  <si>
    <t>Cement Primer</t>
  </si>
  <si>
    <t>BMT-J.01</t>
  </si>
  <si>
    <t>BMT-J.02</t>
  </si>
  <si>
    <t>Cement Primer external Grade  BMT-J.02</t>
  </si>
  <si>
    <t>BMT-J.24</t>
  </si>
  <si>
    <t>BMT-J.34</t>
  </si>
  <si>
    <t>Wood primer</t>
  </si>
  <si>
    <t>BMT-J.05</t>
  </si>
  <si>
    <t>Enamel paint</t>
  </si>
  <si>
    <t>BMT-J.29</t>
  </si>
  <si>
    <t>Poly-Urethene Polish</t>
  </si>
  <si>
    <t>BMT-J.18</t>
  </si>
  <si>
    <t>Rolling shutter</t>
  </si>
  <si>
    <t>Hume pipe</t>
  </si>
  <si>
    <t>CC cover</t>
  </si>
  <si>
    <t xml:space="preserve">European Water Closet of 1st quality </t>
  </si>
  <si>
    <t>BMW-D.13</t>
  </si>
  <si>
    <t xml:space="preserve">Flushing Tank 10 Lit capacity </t>
  </si>
  <si>
    <t>BMW-D.11</t>
  </si>
  <si>
    <t xml:space="preserve">plastic seat and lid </t>
  </si>
  <si>
    <t>BMW-D.16</t>
  </si>
  <si>
    <t>Indian type WC</t>
  </si>
  <si>
    <t>BMW-D.02</t>
  </si>
  <si>
    <t>BMW-D.34</t>
  </si>
  <si>
    <t>Urinals</t>
  </si>
  <si>
    <t>Hand wash basin</t>
  </si>
  <si>
    <t>BMW-D.26</t>
  </si>
  <si>
    <t>BMW-E.07</t>
  </si>
  <si>
    <t>BMW-I.48</t>
  </si>
  <si>
    <t>PVC connections</t>
  </si>
  <si>
    <t>BMW-G.05</t>
  </si>
  <si>
    <t>Waste pipe</t>
  </si>
  <si>
    <t>BMW-G.118</t>
  </si>
  <si>
    <t>BMW-I.12</t>
  </si>
  <si>
    <t>Nahany trap cover</t>
  </si>
  <si>
    <t>Floor Trap - UPVC/SWR Pipe</t>
  </si>
  <si>
    <t>BMW-G.125</t>
  </si>
  <si>
    <t>BMW-G.13</t>
  </si>
  <si>
    <t>BMW-G.15</t>
  </si>
  <si>
    <t>BMW-G.14</t>
  </si>
  <si>
    <t>PVC Labour charges</t>
  </si>
  <si>
    <t>BMW-G.152</t>
  </si>
  <si>
    <t>Chromeum plated  tap</t>
  </si>
  <si>
    <t>BMW-I.140</t>
  </si>
  <si>
    <t xml:space="preserve">NP bib taps </t>
  </si>
  <si>
    <t xml:space="preserve"> health faucet</t>
  </si>
  <si>
    <t>BMW-I.141</t>
  </si>
  <si>
    <t>Water storage tank</t>
  </si>
  <si>
    <t>Tank labour</t>
  </si>
  <si>
    <t>BMW-I.220</t>
  </si>
  <si>
    <t>BMW-I.221</t>
  </si>
  <si>
    <t>BMW-I.223</t>
  </si>
  <si>
    <t>15.90mm CPVC</t>
  </si>
  <si>
    <t>22.20mm CPVC</t>
  </si>
  <si>
    <t>28.60mm CPVC</t>
  </si>
  <si>
    <t>34.90mm CPVC</t>
  </si>
  <si>
    <t>25mm PVC</t>
  </si>
  <si>
    <t>Labour for pvc</t>
  </si>
  <si>
    <t>BMW-I.415</t>
  </si>
  <si>
    <t xml:space="preserve">Gunmetal Gate </t>
  </si>
  <si>
    <t>BMW-F.17</t>
  </si>
  <si>
    <t>BMW-G.57</t>
  </si>
  <si>
    <t>110mm bend</t>
  </si>
  <si>
    <t xml:space="preserve">Clips </t>
  </si>
  <si>
    <t>BMW-G.106</t>
  </si>
  <si>
    <t>Plumber skilled</t>
  </si>
  <si>
    <t>Plumber semi skilled</t>
  </si>
  <si>
    <t>MAT-07665</t>
  </si>
  <si>
    <t>LAB-00036</t>
  </si>
  <si>
    <t>Drilling 0 to 90</t>
  </si>
  <si>
    <t>Drilling 90 to 150</t>
  </si>
  <si>
    <t>Drilling 150 to 250</t>
  </si>
  <si>
    <t>2.00HP single phase</t>
  </si>
  <si>
    <t>ELEC-5.4.1 e</t>
  </si>
  <si>
    <t>ELEC-5.4.1 c</t>
  </si>
  <si>
    <t>180mm dia PVC pipe</t>
  </si>
  <si>
    <t>40mm HDPE pipe</t>
  </si>
  <si>
    <t>25mm dia clamp set</t>
  </si>
  <si>
    <t xml:space="preserve">MAT- 00260 </t>
  </si>
  <si>
    <t>32mm dia GI pipe</t>
  </si>
  <si>
    <t>32mm dia GI Bends</t>
  </si>
  <si>
    <t>2.5 sqm flat copper</t>
  </si>
  <si>
    <t>ELEC-5.4.15</t>
  </si>
  <si>
    <t>Controle panel board</t>
  </si>
  <si>
    <t>MAT- 07334</t>
  </si>
  <si>
    <t>BMW-F.09</t>
  </si>
  <si>
    <t>S&amp;F of 32mm dia GI Bends</t>
  </si>
  <si>
    <t>Initial cost BMW-F.09</t>
  </si>
  <si>
    <t>S&amp;F of 32mm dia GI pipe</t>
  </si>
  <si>
    <t>Initial cost  (P.No.201 of SSR 2021-22)</t>
  </si>
  <si>
    <t>Initial cost MAT- 00260</t>
  </si>
  <si>
    <t>Initial cost  MAT- 07334</t>
  </si>
  <si>
    <t>Drilling of 165 mm dia Bore well by down the hole hammer drilling in all formations suitable for drilling with hammer drilling such as medium hard rock upto deepth specified by department including cost of trasportation charges crew charge</t>
  </si>
  <si>
    <t>LAB-00005</t>
  </si>
  <si>
    <t>LAB-00079</t>
  </si>
  <si>
    <t>Grooves</t>
  </si>
  <si>
    <t>BMM-V.51</t>
  </si>
  <si>
    <t>18Module box</t>
  </si>
  <si>
    <t>16Module box</t>
  </si>
  <si>
    <t>2Module box</t>
  </si>
  <si>
    <t>Box</t>
  </si>
  <si>
    <t>Cover</t>
  </si>
  <si>
    <t>ELEC-1.3.1 f</t>
  </si>
  <si>
    <t>ELEC-1.3.1 e</t>
  </si>
  <si>
    <t>ELEC-1.3.1 d</t>
  </si>
  <si>
    <t>ELEC-1.3.1 c</t>
  </si>
  <si>
    <t>ELEC-1.3.1 a</t>
  </si>
  <si>
    <t>ELEC-1.8.3 f</t>
  </si>
  <si>
    <t>ELEC-1.8.3 e</t>
  </si>
  <si>
    <t>ELEC-1.8.3 d</t>
  </si>
  <si>
    <t xml:space="preserve">ELEC-1.8.3 c </t>
  </si>
  <si>
    <t>ELEC-1.8.3 a</t>
  </si>
  <si>
    <t>Neon Indicator.</t>
  </si>
  <si>
    <t>ELEC-1.7.1 e</t>
  </si>
  <si>
    <t>ELEC-5.1.12</t>
  </si>
  <si>
    <t xml:space="preserve">6A / 10A 1 Way flush type switch </t>
  </si>
  <si>
    <t>1.7.1 a</t>
  </si>
  <si>
    <t>Supply of 14/0.3mm (1.0 Sqmm)</t>
  </si>
  <si>
    <t>Ceiling rose</t>
  </si>
  <si>
    <t>1.7.1-M)</t>
  </si>
  <si>
    <t>1.7.1 d</t>
  </si>
  <si>
    <t xml:space="preserve">Decolam sheet </t>
  </si>
  <si>
    <t xml:space="preserve">Module Modular Switch. </t>
  </si>
  <si>
    <t>ELEC-1.8.1 h</t>
  </si>
  <si>
    <t xml:space="preserve">16A 3 pin / 6A 3pin Plug socket with indicator lamp, fuse unit (5 in 1) </t>
  </si>
  <si>
    <t>ELEC-1.8.1 g</t>
  </si>
  <si>
    <t>Supply of  6A / 10A 1 Way Modular Switch</t>
  </si>
  <si>
    <t>1.8.1-A)</t>
  </si>
  <si>
    <t>Supply of  6A / 10A 3/2 Pin Modular Socke</t>
  </si>
  <si>
    <t>1.8.1-D)</t>
  </si>
  <si>
    <t xml:space="preserve">1.3.1-B) </t>
  </si>
  <si>
    <t xml:space="preserve">Supply of 3 Module box </t>
  </si>
  <si>
    <t>Supply of 3 Modular Cover Frame</t>
  </si>
  <si>
    <t xml:space="preserve">Supply of 22/0.3mm (1.5 Sqmm) </t>
  </si>
  <si>
    <t>1.5.1-B)</t>
  </si>
  <si>
    <t>Supply of 36/0.3mm (2.5 Sqmm)</t>
  </si>
  <si>
    <t>1.5.1-c</t>
  </si>
  <si>
    <t>Supply of 56/0.3mm (4.0 Sqmm)</t>
  </si>
  <si>
    <t>1.5.1-d</t>
  </si>
  <si>
    <t xml:space="preserve">6 Sq.mm WPSC Aluminium cable </t>
  </si>
  <si>
    <t>No.10 SWG G.I wire.</t>
  </si>
  <si>
    <t>ELEC-8.3.6</t>
  </si>
  <si>
    <t>PVC Cleats</t>
  </si>
  <si>
    <t>ELEC-8.1.13</t>
  </si>
  <si>
    <t>battan holders</t>
  </si>
  <si>
    <t>1.7.1-N)</t>
  </si>
  <si>
    <t>0.5W LED bulb</t>
  </si>
  <si>
    <t xml:space="preserve"> ELEC-3.7.5 a</t>
  </si>
  <si>
    <t>Supply of 23 / 0060 twin</t>
  </si>
  <si>
    <t>Stepped type fan regulator</t>
  </si>
  <si>
    <t xml:space="preserve"> ELEC-1.7.1 I</t>
  </si>
  <si>
    <t xml:space="preserve"> Ceiling Fan</t>
  </si>
  <si>
    <t xml:space="preserve">ELEC-5.1.4 </t>
  </si>
  <si>
    <t>19/20mm steel tube down</t>
  </si>
  <si>
    <t>Supply of 1200 mm length,Box type</t>
  </si>
  <si>
    <t>ELEC-2.13.1a</t>
  </si>
  <si>
    <t xml:space="preserve">40A D.P.Isolator / ECCB / RCCB </t>
  </si>
  <si>
    <t>ELEC-2.11.1 b</t>
  </si>
  <si>
    <t xml:space="preserve">10 kA - 6-32A range SP MCBs </t>
  </si>
  <si>
    <t>ELEC-2.10.1 a</t>
  </si>
  <si>
    <t>32 A  240V Porcelain Rewirable Fuse Units.</t>
  </si>
  <si>
    <t>2.7.1.a</t>
  </si>
  <si>
    <t xml:space="preserve">Supply of 6.0 Sqmm PVC  insulated flexible Copper cable. </t>
  </si>
  <si>
    <t>1.5.2.e</t>
  </si>
  <si>
    <t xml:space="preserve">Peeta Board of Size 15" x 20" </t>
  </si>
  <si>
    <t>1.4.3.c</t>
  </si>
  <si>
    <t xml:space="preserve">40mm Nominal Bore Medium grade G.I.Pipe. </t>
  </si>
  <si>
    <t>ELEC-8.4.17d</t>
  </si>
  <si>
    <t xml:space="preserve">25mm x 6 mm G.I.Strip </t>
  </si>
  <si>
    <t>(ELEC-8.3.6</t>
  </si>
  <si>
    <t xml:space="preserve">No.8 G.I.Wire </t>
  </si>
  <si>
    <t xml:space="preserve">Drilling of 16 Nos through holes of 12mm dia to G.I pipe. </t>
  </si>
  <si>
    <t>ELEC-8.4.20</t>
  </si>
  <si>
    <t xml:space="preserve">G.I Nuts, Bolts an Washers each set. </t>
  </si>
  <si>
    <t>ELEC-8.4.21</t>
  </si>
  <si>
    <t xml:space="preserve">18" dia  2" thick hume pipe ring. </t>
  </si>
  <si>
    <t>2" thick  CC cover for hume pipe ring with handle.</t>
  </si>
  <si>
    <t xml:space="preserve">Hard Coke  </t>
  </si>
  <si>
    <t>ELEC-8.1.10</t>
  </si>
  <si>
    <t xml:space="preserve">Salt. </t>
  </si>
  <si>
    <t>ELEC-8.1.11</t>
  </si>
  <si>
    <t>ELEC-8.4.19</t>
  </si>
  <si>
    <t xml:space="preserve">Earth Work Excavation </t>
  </si>
  <si>
    <t xml:space="preserve"> ELEC-3.8.23 d</t>
  </si>
  <si>
    <t>ELEC-3.8.18</t>
  </si>
  <si>
    <t>ELEC-8.1.21</t>
  </si>
  <si>
    <t>1.8.3 b</t>
  </si>
  <si>
    <t>Supply of 14/0.3mm (1.0 Sqmm) Ele 1.5.1</t>
  </si>
  <si>
    <t>Supply of  3 Plate Jumbo Ceiling Rose  Ele 1.7.1-M</t>
  </si>
  <si>
    <t>Semi Skilled Electrician / Lineman</t>
  </si>
  <si>
    <t>16A 3 pin / 6A 3pin Plug socket with indicator ELEC-1.8.1 g</t>
  </si>
  <si>
    <t>1.7.1 c</t>
  </si>
  <si>
    <t xml:space="preserve"> flush type socket 2 pin</t>
  </si>
  <si>
    <t xml:space="preserve"> flush type socket 3/2 pin</t>
  </si>
  <si>
    <t>Supply of  6A / 10A 1 Way Modular Switch  Ele 1.8.1-A</t>
  </si>
  <si>
    <t>Supply of  6A / 10A 3/2 Pin Modular Socket  ELEC-1.8.1-D)</t>
  </si>
  <si>
    <t xml:space="preserve">Supply of 3 Module box (ELEC 1.3.1-B) </t>
  </si>
  <si>
    <t>Supply of 3 Modular Cover Frame (ELEC-1.8.3)</t>
  </si>
  <si>
    <t>Supply of 22/0.3mm (1.5 Sqmm) (ELEC-1.5.1-B)</t>
  </si>
  <si>
    <t>Supply of 36/0.3mm (2.5 Sqmm) ELEC-19-20-1.5.1-C</t>
  </si>
  <si>
    <t>Supply of 56/0.3mm (4.0 Sqmm)  (ELEC-1.5.1-d)</t>
  </si>
  <si>
    <t>Supply of  BH / SBH (ELEC-1.7.1-N)</t>
  </si>
  <si>
    <t>ELEC-8.1.20</t>
  </si>
  <si>
    <t>Supply of 1200 mm length (ELEC- 3.8.18)</t>
  </si>
  <si>
    <t xml:space="preserve">SPN 4way D.B with IP-20 </t>
  </si>
  <si>
    <t>Cost of Material for 1 Metres</t>
  </si>
  <si>
    <t xml:space="preserve">Supply and transportation of ......... LED Street light Luminaire made of pressure diecast alluminium body with powder coated, having protective toughned glass, Supply Input voltage 120 - 270 V AC, P.F &gt; 0.90, high power LED's having System efficacy &gt; 100 lm/W and junction temprature &lt; 70°C, with Ingrees protection IP66, Luminaire performance complies to IS 10322 (Part 5 / Sec-3), Driver surge protection 4KV, external Surge protection 10 KV with optics distribution , THD&lt;10% at 110 Volts AC, driver efficiency &gt;90%, CCT: 3000K - 5700K, minimum CRI&gt;70, etc., complete </t>
  </si>
  <si>
    <t xml:space="preserve">Teak Wood Frames  </t>
  </si>
  <si>
    <t xml:space="preserve">Teak Wood Shutters </t>
  </si>
  <si>
    <t>Door Labour (Teak wood)</t>
  </si>
  <si>
    <t>Door Labour (Flush)</t>
  </si>
  <si>
    <t xml:space="preserve">Sal wood Frames  </t>
  </si>
  <si>
    <t xml:space="preserve">Sal Wood Shutters </t>
  </si>
  <si>
    <t>BMT-E.15</t>
  </si>
  <si>
    <t>BMT-E.16</t>
  </si>
  <si>
    <t>Door Labour (Sal wood)</t>
  </si>
  <si>
    <t>BMM-V.38</t>
  </si>
  <si>
    <t>Plain glass</t>
  </si>
  <si>
    <t>Cement Jolleys 50mm thick</t>
  </si>
  <si>
    <t>WPC Frame</t>
  </si>
  <si>
    <t>Door stopper Alluminum</t>
  </si>
  <si>
    <t>BMT-G.57</t>
  </si>
  <si>
    <t>UPVC windows -3 Tier</t>
  </si>
  <si>
    <t>UPVC windows -2 Tier</t>
  </si>
  <si>
    <t>UPVC windows -1 Tier</t>
  </si>
  <si>
    <t>BMT-P.80.B</t>
  </si>
  <si>
    <t>Site Clearence</t>
  </si>
  <si>
    <t>Al round the Building</t>
  </si>
  <si>
    <t>Deduction for Column's</t>
  </si>
  <si>
    <t>duduct Plinth beam</t>
  </si>
  <si>
    <t>Under plinth beam</t>
  </si>
  <si>
    <t>Short wall</t>
  </si>
  <si>
    <t>Deduct for Columns</t>
  </si>
  <si>
    <t xml:space="preserve"> for Flooring bed</t>
  </si>
  <si>
    <t xml:space="preserve">Long beam  </t>
  </si>
  <si>
    <t>Short beam</t>
  </si>
  <si>
    <t>Deduction for Beam Junctions</t>
  </si>
  <si>
    <t>Long walls</t>
  </si>
  <si>
    <t>Deductions</t>
  </si>
  <si>
    <t>for doors</t>
  </si>
  <si>
    <t>For Windows</t>
  </si>
  <si>
    <t>for Ventilator</t>
  </si>
  <si>
    <t>for Lintels</t>
  </si>
  <si>
    <t>for Lintes</t>
  </si>
  <si>
    <t>for Slab Projection</t>
  </si>
  <si>
    <t xml:space="preserve">for sunshade </t>
  </si>
  <si>
    <t>Short walls</t>
  </si>
  <si>
    <t>for Ventilators</t>
  </si>
  <si>
    <t>Deduct For Door</t>
  </si>
  <si>
    <t xml:space="preserve">           For Windows</t>
  </si>
  <si>
    <t xml:space="preserve">                 Ventilator</t>
  </si>
  <si>
    <t>in First Floor</t>
  </si>
  <si>
    <t>Roof slab</t>
  </si>
  <si>
    <t xml:space="preserve"> for ceiling in First Floor</t>
  </si>
  <si>
    <t>FF Windows</t>
  </si>
  <si>
    <t>As per Machinery</t>
  </si>
  <si>
    <t>Earth/Sand/Gravel</t>
  </si>
  <si>
    <t xml:space="preserve">Bricks 1000Nos </t>
  </si>
  <si>
    <t xml:space="preserve">Initial lead Rete </t>
  </si>
  <si>
    <t xml:space="preserve">Add Loading &amp; Unloading </t>
  </si>
  <si>
    <t xml:space="preserve">Net Lead Charges </t>
  </si>
  <si>
    <t>Stone</t>
  </si>
  <si>
    <t>MAT-00177</t>
  </si>
  <si>
    <t>BMW-I.222</t>
  </si>
  <si>
    <t>11.5 cm wide Brick masonry for super-structure on ground floor in cm (1:3) using second class traditional size bricks including cost of all materials, seigniorage charges, labour and all operations for constructing half brick masonry, mixing cement mortar, curing etc., complete for finished item of work</t>
  </si>
  <si>
    <t>Filling Basement with Selected earth in trenches, sides of foundations &amp; basement by watering and ramming including all operational, incidental, labour charges, hire charges of T&amp;P etc complete including cost and conveyance of material and labour charges etc complete for finished item of the work (APSS No 309&amp; 310) per 1 Cum</t>
  </si>
  <si>
    <t>Selected earth</t>
  </si>
  <si>
    <t>Filling Basement with Selected earth by watering and ramming including all operational, incidental and including c/c of material and labour charges etc complete for finished item of the work (APSS No 309&amp; 310) per 1 Cum</t>
  </si>
  <si>
    <t>Qty.p.46 of M.B.No.134/A/ZP/20</t>
  </si>
  <si>
    <t>FIRST FLOOR</t>
  </si>
  <si>
    <t>SECOND FLOOR</t>
  </si>
  <si>
    <t>DOOR AND WINDOWS</t>
  </si>
  <si>
    <t>WATER AND SANITATION ITEM</t>
  </si>
  <si>
    <t>ELECTRIFICATION ITEMS</t>
  </si>
  <si>
    <t>Provision for QC charges @ 0.50%</t>
  </si>
  <si>
    <t>Provision for Supervision charges @ 3%</t>
  </si>
  <si>
    <t>Provision for Seigneorage charges</t>
  </si>
  <si>
    <t xml:space="preserve">Reinforced Cement Concrete  M-20 Nominal mix (Cement: Fine aggregates: Coarse aggregates) corresponding Table 9 of IS 456 using 20mm size graded machine crushed hard granite metal (coarse aggregate) from approved quarry including cost and conveyance of all materials like Cement, fine aggregate( Sand), coarse aggregate, water etc to site and including sales and other taxes on all marerilas including all operational, incidental and labour charges such as machine mixing, laying concrete, curing etc complete but excluding cost of steel and its fabrication charges for finished item of work, but excluding centering, shttering </t>
  </si>
  <si>
    <t xml:space="preserve">Reinforced Cement Concrete  M-20 Nominal mix (Cement: Fine aggregates: Coarse aggregates) corresponding Table 9 of IS 456 using 20mm size graded machine crushed hard granite metal (coarse aggregate) from approved quarry including cost and conveyance of all materials like Cement, fine aggregate( Sand), coarse aggregate, water etc to site and including sales and other taxes on all marerilas including all operational, incidental and labour charges suxh as machine mixing, laying concrete, curing etc complete but excluding cost of steel and its fabrication charges for finished item of work, but excluding centering, shttering </t>
  </si>
  <si>
    <t xml:space="preserve">Reinforced Cement Concrete  M 20 nominal mix using 12mm size hard granite machine crushed graded metal (coarse aggregate - as per IS 383 - 1970 and IS 2386 Part 1 to Part 8) from approved quarry, using a minimum quantity of 350 kgs. of cement per 1 cum of concrete using concrete Mixer 10 / 7 cft (0.2 / 0.8 cum) capacity including cost and conveyance of  all materials  like cement,  fine aggregate (Sand), coarse aggregate, water etc., to site including centering, shuttering, labour charges such as weigh batching, machine mixing, hire charges of concrete mixer, laying concrete, lift charges, curing etc.,   for finished item of work (APSS No. 402 &amp; 403) </t>
  </si>
  <si>
    <t>Inside of the building</t>
  </si>
  <si>
    <t>Rest room</t>
  </si>
  <si>
    <t>Tiolet</t>
  </si>
  <si>
    <t>Dining Hall</t>
  </si>
  <si>
    <t>over Roof slab</t>
  </si>
  <si>
    <t>Tiolet walls</t>
  </si>
  <si>
    <t>Supplying and fixing Gyp Board Suspended regular single layer false ceiling (GS-MFSC-4.1 as per India Gypsum) using 12.5 mm thick Gyp Board conforming to IS 2095 - 1982 fixing to Gyp steel GI perimeter channels of size 20 mm x 27 mm x 30 mm(web)  of 0.55 mm thick along the perimeter of ceiling screw fixed to brick work/ partition at 610 mm c/c and suspending the frame work using Intermediate channels (45 mm x 15mm x 15mm x 0.9 mm) from soffit at 1220 mm c/c with ceiling angle (25 mm x 10 mm x 0.55 mm) fixed with GI Cleat and steel expansion fasteners &amp; connecting clip to the ceiling channels (with knurled web of 51.5 mm x 26 mm x 10.5 mm x 0.55 mm) fixed in direction perpendicular to the intermediate channel at 457 mm c/c and fixing the 12.5 mm tapered edge Gypboard with 25 mm drywall screws at 230 mm c/c &amp; jointing and finishing using joint compound and paper tape to have a flush look including filling the tapered &amp; square edges with jointing compound, two coats of drywall topcoat complete for finished item of work as per Idia Gypsum Ltd specification.</t>
  </si>
  <si>
    <t>UNIT -1 sqm</t>
  </si>
  <si>
    <t>A) Material requirement as per India Gypsum</t>
  </si>
  <si>
    <t xml:space="preserve">12.5 mm Gypboard </t>
  </si>
  <si>
    <t>1219 mm x 1829 mm size Boards BMT-M.01</t>
  </si>
  <si>
    <t>Ceiling Angle</t>
  </si>
  <si>
    <t>25 mm x 10 mm x 0.55 mm  BMT-M.04</t>
  </si>
  <si>
    <t>Connecting Clips BMT-M.17</t>
  </si>
  <si>
    <t>Ceiling Section</t>
  </si>
  <si>
    <t>51.5 mm x 26 mm x 10.5 mm x 0.55 mm thick BMT-M.05</t>
  </si>
  <si>
    <t>Intermediate Channel</t>
  </si>
  <si>
    <t>45 mmx 15 mm x 15 mm x 0.9 mm  BMT-M.06</t>
  </si>
  <si>
    <t xml:space="preserve">Perimeter Channel </t>
  </si>
  <si>
    <t>20 mm x 27 mm x 30 mm(web)  of 0.55 mm thick BMT-M.07</t>
  </si>
  <si>
    <t>Rawl Plug BMT-M.18</t>
  </si>
  <si>
    <t>Soffit Cleats BMT-M.20</t>
  </si>
  <si>
    <t>Drywall Screws - 25 mm  BMT-M.21</t>
  </si>
  <si>
    <t>Jointing Compound  BMT-M.22</t>
  </si>
  <si>
    <t>Jointing Paper Tape BMT-M.23</t>
  </si>
  <si>
    <t>Drywall Top Coat BMT-M.24</t>
  </si>
  <si>
    <t>Lits</t>
  </si>
  <si>
    <t xml:space="preserve">1st Class Carpenter </t>
  </si>
  <si>
    <t>2nd Class Carpenter</t>
  </si>
  <si>
    <t>1st Class Painter</t>
  </si>
  <si>
    <t>2nd Class Painter</t>
  </si>
  <si>
    <t>Power Saw Cutter - Hand Operated - Operator</t>
  </si>
  <si>
    <t>Power Drill - Hand Operated - Operator</t>
  </si>
  <si>
    <t xml:space="preserve">Unskilled Mazdoor </t>
  </si>
  <si>
    <t>C) Machinery</t>
  </si>
  <si>
    <t>Power Saw Cutter - Hand Operated - Hire charges BMC-X.02</t>
  </si>
  <si>
    <t>Scaffolding charges</t>
  </si>
  <si>
    <t>Power Drill - Hand Operated - Hire Charges BMC-X.03</t>
  </si>
  <si>
    <t>hall</t>
  </si>
  <si>
    <t>ZPTC room</t>
  </si>
  <si>
    <t>Tiolet outside</t>
  </si>
  <si>
    <t>Sunshades</t>
  </si>
  <si>
    <t>cross walls</t>
  </si>
  <si>
    <t>above tiles</t>
  </si>
  <si>
    <t>tiolet</t>
  </si>
  <si>
    <t>Dining room</t>
  </si>
  <si>
    <t>Kanigiri</t>
  </si>
  <si>
    <t>Provision for GST charges @ 18%</t>
  </si>
  <si>
    <t>Qty.p.3 of M.B.No.190/A/ZP/20</t>
  </si>
  <si>
    <t>Qty.p.4 of M.B.No.190/A/ZP/20</t>
  </si>
  <si>
    <t>Qty.p.5 of M.B.No.190/A/ZP/20</t>
  </si>
  <si>
    <t>Qty.p.7 of M.B.No.190/A/ZP/20</t>
  </si>
  <si>
    <t>Qty.p.11 of M.B.No.190/A/ZP/20</t>
  </si>
  <si>
    <t>Qty.p.23 of M.B.No.190/A/ZP/20</t>
  </si>
  <si>
    <t>Qty.p.24 of M.B.No.190/A/ZP/20</t>
  </si>
  <si>
    <t>Qty.p.26 of M.B.No.190/A/ZP/20</t>
  </si>
  <si>
    <t>Qty.p.29 of M.B.No.190/A/ZP/20</t>
  </si>
  <si>
    <t>Qty.p.30 of M.B.No.190/A/ZP/20</t>
  </si>
  <si>
    <t>hDeduct gap</t>
  </si>
  <si>
    <t xml:space="preserve">Supplying and fixing Gyp Board Suspended regular single layer false ceiling </t>
  </si>
  <si>
    <t>Providing and fixing factory made uPVC  windows 2track</t>
  </si>
  <si>
    <t>poi</t>
  </si>
  <si>
    <t>no</t>
  </si>
  <si>
    <t>As per detailed estimate</t>
  </si>
  <si>
    <t>COMPLETION REPORT</t>
  </si>
  <si>
    <t>As per M.Book</t>
  </si>
  <si>
    <t>Sub Divisional Bill No.</t>
  </si>
  <si>
    <t>SUB DIVISION CHECK SLIP TO ACCOMPANYING  ALL WORK BILLS</t>
  </si>
  <si>
    <t>Name of the Grant:</t>
  </si>
  <si>
    <t>ZPGF 15% Office Maintenance Grant.</t>
  </si>
  <si>
    <t>S.No. of the Bill: 1st &amp; Final</t>
  </si>
  <si>
    <t>Name of the Sub Division</t>
  </si>
  <si>
    <t>Name of the Mandal</t>
  </si>
  <si>
    <t>Name of the Work:-</t>
  </si>
  <si>
    <t>Work ID No.</t>
  </si>
  <si>
    <t>Estimate Amount</t>
  </si>
  <si>
    <t>Admn. Sanction No. &amp; Date</t>
  </si>
  <si>
    <t>Tech. Sanction No. &amp; Date</t>
  </si>
  <si>
    <t>Agreement No. &amp; Date &amp; Value or work commencement order reference for NREGS</t>
  </si>
  <si>
    <t>Name &amp; Address of the Contractor with PAN No.</t>
  </si>
  <si>
    <t>G.Anok, Nominee, Habitation works committee, Challagiragala</t>
  </si>
  <si>
    <t>Bank Account Number (For NREGS works)</t>
  </si>
  <si>
    <t>No of Musters enclosed to this bill for NREGS works</t>
  </si>
  <si>
    <t>Nil</t>
  </si>
  <si>
    <t>Working estimate Amount</t>
  </si>
  <si>
    <t>Supplimental Agt. No./Dt &amp; Value</t>
  </si>
  <si>
    <t>Nature Contract</t>
  </si>
  <si>
    <t>Date of Agreement i.e DHS</t>
  </si>
  <si>
    <t>Date fixed for completion (DFC)</t>
  </si>
  <si>
    <t>Date of last recording of Measurement of Present bill</t>
  </si>
  <si>
    <t>Whether the work is completed with in the Agreement period, if not sanction of EOAT period &amp; Reference nO. &amp; date &amp; Fine if any</t>
  </si>
  <si>
    <t>Yes</t>
  </si>
  <si>
    <t>Date of Measurements recorded in M.Book by section Officer</t>
  </si>
  <si>
    <t>Date of Check measured by Dy. Executive Engineer</t>
  </si>
  <si>
    <t>Date of Check measured by Executive Engineer</t>
  </si>
  <si>
    <t>Date</t>
  </si>
  <si>
    <t>Super Check Measurement of work (Date/MB Page NO. &amp; % of value)</t>
  </si>
  <si>
    <t>i) By Executive Engineer</t>
  </si>
  <si>
    <t>ii) By Superintending Engineer</t>
  </si>
  <si>
    <t>Whether the Supercheck measurement statement enclosed</t>
  </si>
  <si>
    <t>Whether the Contractor has accepted the measurements</t>
  </si>
  <si>
    <t>Whether the contractor signed the bill</t>
  </si>
  <si>
    <t>Whether released &amp; Discharge certificate furnished by the Contractor for Final Bill</t>
  </si>
  <si>
    <t>QC inspection Date &amp; Recovery proposed if any</t>
  </si>
  <si>
    <t>Other Remarks of the DEE</t>
  </si>
  <si>
    <t>DIVISIONAL CHECK</t>
  </si>
  <si>
    <t>Seineorage charges amount &amp; OTP on Sand Vide Page of M.B.</t>
  </si>
  <si>
    <t>Whether the photos of the work in three stages Name board. Km, HM stones for NREGS work enclosed.</t>
  </si>
  <si>
    <t>EMD details DDs (or) B.G, if B.G its No. / Dt &amp; Validity. Whether extended if EOAT is sanctioned</t>
  </si>
  <si>
    <t>Insurance policty No. Date, Amount &amp; Validity Whether the insurance is extended if EOAT is sanctioned (For Tender works)</t>
  </si>
  <si>
    <t>Whether T.A Appointment letters willingness &amp; qualification certificates furnished or not Mensioned the Name ( for Tender works)</t>
  </si>
  <si>
    <t>Wheter the DEE has furnished the certificate in M.Book for engagement of techncial agents with Name (For tender works)</t>
  </si>
  <si>
    <t>Whether the contractor opted under VAT composition and produced the CTO letter or No</t>
  </si>
  <si>
    <t>Whether the asset Handling over to the concerned Dept certificate furnished.</t>
  </si>
  <si>
    <t>i) BY Executive Engineer</t>
  </si>
  <si>
    <t>Completion Reporst are received along with final bills</t>
  </si>
  <si>
    <t>Amount                 Approved by                      Date</t>
  </si>
  <si>
    <t>Whether the Quantities and Rate are as per approved estimate</t>
  </si>
  <si>
    <t>Remarks of the case worker in B.D.</t>
  </si>
  <si>
    <t>CONTRACT CERTIFICATE</t>
  </si>
  <si>
    <r>
      <t>Name of the Contractor</t>
    </r>
    <r>
      <rPr>
        <sz val="10"/>
        <rFont val="Tahoma"/>
        <family val="2"/>
      </rPr>
      <t xml:space="preserve"> : G.Anok, Nominee, Habitation works committee, Challagiragala</t>
    </r>
  </si>
  <si>
    <r>
      <t>Voucher</t>
    </r>
    <r>
      <rPr>
        <sz val="10"/>
        <rFont val="Tahoma"/>
        <family val="2"/>
      </rPr>
      <t xml:space="preserve"> : CC 1st &amp; Final</t>
    </r>
  </si>
  <si>
    <r>
      <t>Last Certificate if any</t>
    </r>
    <r>
      <rPr>
        <sz val="10"/>
        <rFont val="Tahoma"/>
        <family val="2"/>
      </rPr>
      <t xml:space="preserve"> : </t>
    </r>
  </si>
  <si>
    <r>
      <t xml:space="preserve">Month </t>
    </r>
    <r>
      <rPr>
        <sz val="10"/>
        <rFont val="Tahoma"/>
        <family val="2"/>
      </rPr>
      <t xml:space="preserve">:  </t>
    </r>
  </si>
  <si>
    <r>
      <t>Number and month of the last schedule if any</t>
    </r>
    <r>
      <rPr>
        <sz val="10"/>
        <rFont val="Tahoma"/>
        <family val="2"/>
      </rPr>
      <t xml:space="preserve"> :- </t>
    </r>
  </si>
  <si>
    <t>Mandal : Kanigiri</t>
  </si>
  <si>
    <r>
      <t xml:space="preserve">               Amount of estimate</t>
    </r>
    <r>
      <rPr>
        <sz val="10"/>
        <rFont val="Tahoma"/>
        <family val="2"/>
      </rPr>
      <t xml:space="preserve"> : </t>
    </r>
    <r>
      <rPr>
        <b/>
        <sz val="10"/>
        <rFont val="Tahoma"/>
        <family val="2"/>
      </rPr>
      <t>Rs. 5.00 Lakhs</t>
    </r>
  </si>
  <si>
    <t>Voucher No:</t>
  </si>
  <si>
    <t>Overseer's No.</t>
  </si>
  <si>
    <t>Authority Covering list No.</t>
  </si>
  <si>
    <t>Schedule No.</t>
  </si>
  <si>
    <t>Quantity executed or Supplied</t>
  </si>
  <si>
    <t>Description of Items.</t>
  </si>
  <si>
    <t>Rate in Rs.</t>
  </si>
  <si>
    <t>Upto Date</t>
  </si>
  <si>
    <t>Since last certificate</t>
  </si>
  <si>
    <t>Upto Date in Rs.</t>
  </si>
  <si>
    <t>Since last certificate in Rs.</t>
  </si>
  <si>
    <t xml:space="preserve">Total value o work done or suplies made to date </t>
  </si>
  <si>
    <t>=</t>
  </si>
  <si>
    <t xml:space="preserve">Deduct value of work supplies shown on last certificate. </t>
  </si>
  <si>
    <t>Net value of work/supplies since lst certificate</t>
  </si>
  <si>
    <t xml:space="preserve">Signature of Contractor </t>
  </si>
  <si>
    <t>Date…………..……200</t>
  </si>
  <si>
    <r>
      <t xml:space="preserve">Certificate that the proceeding claim is correct that the necessary measurements have been made by me on 200         and record on page  </t>
    </r>
    <r>
      <rPr>
        <sz val="9"/>
        <color theme="0"/>
        <rFont val="Tahoma"/>
        <family val="2"/>
      </rPr>
      <t>885/B/ZP/18</t>
    </r>
    <r>
      <rPr>
        <sz val="9"/>
        <color indexed="8"/>
        <rFont val="Tahoma"/>
        <family val="2"/>
      </rPr>
      <t xml:space="preserve"> and the work has been satisfactory performed </t>
    </r>
  </si>
  <si>
    <t xml:space="preserve">CHECK MEASUREMENT CERTIFICATE </t>
  </si>
  <si>
    <t xml:space="preserve">Certified also that the materials billed for have been recived and brought to account.                                </t>
  </si>
  <si>
    <t>Certified that the work and materials were duly Checked and Measured by me on (Date………….)</t>
  </si>
  <si>
    <t>Date………….. OFFICE INCHARGE</t>
  </si>
  <si>
    <t>Date………………200</t>
  </si>
  <si>
    <t>DESIGNATION</t>
  </si>
  <si>
    <t xml:space="preserve">     MEMORANDUM OF PAYMENTS MADE</t>
  </si>
  <si>
    <t>Rs.</t>
  </si>
  <si>
    <t>P.</t>
  </si>
  <si>
    <t>Total value of work done</t>
  </si>
  <si>
    <t>Amount of prevont payment from last certificate No………………….</t>
  </si>
  <si>
    <t>of</t>
  </si>
  <si>
    <t>Forward</t>
  </si>
  <si>
    <t>With accouts for…………………………………</t>
  </si>
  <si>
    <t>Fines and other deduction up to date</t>
  </si>
  <si>
    <t>Payments now made</t>
  </si>
  <si>
    <t>By Cash</t>
  </si>
  <si>
    <t>By Cheque No………………..</t>
  </si>
  <si>
    <t>By Value of Stock supplied</t>
  </si>
  <si>
    <t>Balance due</t>
  </si>
  <si>
    <t>Allotment of the year</t>
  </si>
  <si>
    <t xml:space="preserve">              Rs       P</t>
  </si>
  <si>
    <t>Expenditure included in this bill</t>
  </si>
  <si>
    <t>Balance availabe</t>
  </si>
  <si>
    <t>PAY RUPEES (             ) RECEIVED (               )</t>
  </si>
  <si>
    <t xml:space="preserve">Only as final payments in settlement of all demands                                                                                                          </t>
  </si>
  <si>
    <t>……………………………………………………………………………….</t>
  </si>
  <si>
    <t>Witness</t>
  </si>
  <si>
    <t>Head Clerk</t>
  </si>
  <si>
    <t>Presented of</t>
  </si>
  <si>
    <t>Head Account</t>
  </si>
  <si>
    <t>Engineer</t>
  </si>
  <si>
    <t>Date …………………………..</t>
  </si>
  <si>
    <t>Payee……………………</t>
  </si>
  <si>
    <t>AUDIT ENFACEMENT</t>
  </si>
  <si>
    <t>Admitted Rs. ………………………….</t>
  </si>
  <si>
    <t>Objected Rs. ………………………….</t>
  </si>
  <si>
    <t>Total Rs. ………………..…………….</t>
  </si>
  <si>
    <t xml:space="preserve">                                             Date</t>
  </si>
  <si>
    <t>200</t>
  </si>
  <si>
    <t>Auditor</t>
  </si>
  <si>
    <t xml:space="preserve">                               INVERNACULAR</t>
  </si>
  <si>
    <t>DISTRICT ENGINEET'S REMARKS</t>
  </si>
  <si>
    <t xml:space="preserve">                                                               NOTES</t>
  </si>
  <si>
    <t xml:space="preserve">1. This form is intended for use in the case of running account i.e for works in progress or supplies in course  </t>
  </si>
  <si>
    <t>of delivery when the liability is discharged in full single payment Form No. of A should be used.</t>
  </si>
  <si>
    <t>2. Payment will be made only up to nineteenth of the total value of the work done. The balance being returned</t>
  </si>
  <si>
    <t xml:space="preserve">as a security both for the due performance of the contracts or to cover posible over payment which may be detected on                        cheque measurement in the case of work whose estimated cost does not exceed Rs. 50/- Payment may be made in full </t>
  </si>
  <si>
    <t>on the measuring officer's certificate subject to subsequent check measurement by the proper check measuring authority.</t>
  </si>
  <si>
    <t xml:space="preserve">3. In calculating the amount of each item dur to the contractor in this bill, sums of five pieces or less shall be </t>
  </si>
  <si>
    <t>omitted and sums exceeding five pieces shall be recorded.</t>
  </si>
  <si>
    <t>4. Payment made in case of sum exceeding Rs. 100/- should be attested by two witness and for smaller sum</t>
  </si>
  <si>
    <t>by one witness payment made by cheque to recognised firms of institutions need not be so witnessed.</t>
  </si>
  <si>
    <r>
      <t xml:space="preserve">5.  When the payee signs in </t>
    </r>
    <r>
      <rPr>
        <sz val="7"/>
        <rFont val="Arial"/>
        <family val="2"/>
      </rPr>
      <t>the vernacullar the</t>
    </r>
    <r>
      <rPr>
        <sz val="8"/>
        <rFont val="Arial"/>
        <family val="2"/>
      </rPr>
      <t xml:space="preserve"> amount acknowledged should also noted in the some vernacullar </t>
    </r>
  </si>
  <si>
    <t>as well as in English.</t>
  </si>
  <si>
    <r>
      <t xml:space="preserve">6. In the case of other </t>
    </r>
    <r>
      <rPr>
        <sz val="7"/>
        <rFont val="Arial"/>
        <family val="2"/>
      </rPr>
      <t>than well known</t>
    </r>
    <r>
      <rPr>
        <sz val="8"/>
        <rFont val="Arial"/>
        <family val="2"/>
      </rPr>
      <t xml:space="preserve"> firms all parties must sign if there by more the on contractor or the payee </t>
    </r>
  </si>
  <si>
    <t>must produce a power of atorney from the firm.</t>
  </si>
  <si>
    <r>
      <t xml:space="preserve">7. No contract certificate </t>
    </r>
    <r>
      <rPr>
        <sz val="7"/>
        <rFont val="Arial"/>
        <family val="2"/>
      </rPr>
      <t>bearing no remarks</t>
    </r>
    <r>
      <rPr>
        <sz val="8"/>
        <rFont val="Arial"/>
        <family val="2"/>
      </rPr>
      <t xml:space="preserve"> should be accepted if any corrections are necessary the incorrect</t>
    </r>
  </si>
  <si>
    <t xml:space="preserve">figures should be neatly scored out and initialed by the officer concerned in the case of corrections made in the Engineers         office the Head Accountant may be authorised no attest those due to clerical errors Etc. But the Engineer should affix his </t>
  </si>
  <si>
    <t>initials coare osnin the rate column as well as those in the total or the bill and the pass order. This rule applies MUIATIS MUTANDIS to payments from miscellaneous grants.</t>
  </si>
  <si>
    <t xml:space="preserve">8. In case in which the materials billed for are taken over charged an officer other than the officer sign in the </t>
  </si>
  <si>
    <t>certificate from of the bill the names of the form should be noted in the remarks column of the bill necessary amendment                                   being made at the same time of the excluding portion of the certificate relating to materials.</t>
  </si>
  <si>
    <t>1) Name of the Work:</t>
  </si>
  <si>
    <t>2) Estimate Cost:</t>
  </si>
  <si>
    <t>3) Grant:</t>
  </si>
  <si>
    <t>CERTIFICATES</t>
  </si>
  <si>
    <t>Certified that the work was completed in all respects as per agreement conditions.</t>
  </si>
  <si>
    <t>Certified that there are no recoveries to be effected in this ill other than now proposed</t>
  </si>
  <si>
    <t>Certified that there were no liabilities outstanding against the contractor</t>
  </si>
  <si>
    <t>Certified that all the materials required have been conveyed to site form specified quarries as noted in the lead statement appended to agreement and estimates</t>
  </si>
  <si>
    <t>Certified that no departmental machinery were issued to the work</t>
  </si>
  <si>
    <t>Deputy Executive Engineer,</t>
  </si>
  <si>
    <t>PRI Sub Division: Kanigiri</t>
  </si>
  <si>
    <t>RELEASE AND DISCHARGE CERTIFICATE</t>
  </si>
  <si>
    <t>Contractor</t>
  </si>
  <si>
    <t>Connected M.Book Nos:  190/A/ZP/20</t>
  </si>
  <si>
    <t xml:space="preserve">Rc.No.P4/127-VOL-2/2022 Dt. 14.12.2022 of the Chief Executive Officer, Zilla Parishad, Prakasam District, Ongole </t>
  </si>
  <si>
    <t>DR No.       /2022-23 Dt 20.01.2023  of the  Executive Engineer, PRI  Division, Kandukur</t>
  </si>
  <si>
    <t>No.       /2022-23 Dt 06.02.2023  of the Executive Engineer, PRI Division, Kandukur</t>
  </si>
  <si>
    <t>1Poi</t>
  </si>
  <si>
    <r>
      <t xml:space="preserve">                            I do here by release and discharge with the Executive Engineer / Dy.Executive Engineer, PRI Division/ Sub Division, Kandukur all claims and demand what so ever arising out of the work or contracts with the contract vide Agt.No. </t>
    </r>
    <r>
      <rPr>
        <sz val="12"/>
        <color indexed="9"/>
        <rFont val="Calibri"/>
        <family val="2"/>
      </rPr>
      <t>12</t>
    </r>
    <r>
      <rPr>
        <sz val="12"/>
        <rFont val="Calibri"/>
        <family val="2"/>
      </rPr>
      <t xml:space="preserve"> /2022-23 Dt 06.02.2023</t>
    </r>
    <r>
      <rPr>
        <sz val="12"/>
        <rFont val="Calibri"/>
        <family val="2"/>
      </rPr>
      <t xml:space="preserve"> with full and final settlement of my all claims and demands of the work</t>
    </r>
  </si>
  <si>
    <t>Supply and fixing of  Wood Polymer Composite(WPC)  fixing 28 -30 MM thick solid Wood Polymer Composite (WPC)  double extruded door shutter with 3MM top and bottom rigid layer with an overall density of 750kg/Cum. It will be fixed to the frame using 3 inch /4 inch hinges. A minimum of 4 hinges will be required etc., complete</t>
  </si>
  <si>
    <t>Ltd to</t>
  </si>
  <si>
    <t>ZILLA PARISHAD CHECK SLIP                 IN TRIPLICATE</t>
  </si>
  <si>
    <t>Measurement Books</t>
  </si>
  <si>
    <t>Name of the Sub Diviaion</t>
  </si>
  <si>
    <t>Name of the village and Mandal</t>
  </si>
  <si>
    <t>Agt.No. &amp; Date</t>
  </si>
  <si>
    <t>Value of work done</t>
  </si>
  <si>
    <t>Date of Recoring along with Page Number by Section officer</t>
  </si>
  <si>
    <t>Date of Recoring along with Page Number by Dy.Executive engineer</t>
  </si>
  <si>
    <t>Date of Agreement</t>
  </si>
  <si>
    <t>Nature of Contract</t>
  </si>
  <si>
    <t>Amount already paid</t>
  </si>
  <si>
    <t>Amount to be paid</t>
  </si>
  <si>
    <t>Whether digital photos were taken or not</t>
  </si>
  <si>
    <t>Whether display board placed at work spot</t>
  </si>
  <si>
    <t>Date of Completion of work</t>
  </si>
  <si>
    <t>Serial No. of the Bill: 1st &amp; Final</t>
  </si>
  <si>
    <t>Name of the Grant: ZPGF 15% Office Maintenance Grant.</t>
  </si>
  <si>
    <t>190/A/ZP/20</t>
  </si>
  <si>
    <t>06.02.2023</t>
  </si>
  <si>
    <t>Qty.p.31 of M.B.No.190/A/ZP/20</t>
  </si>
  <si>
    <t>Rate per 1No</t>
  </si>
  <si>
    <t xml:space="preserve">100mm Alluminium tower bolts </t>
  </si>
  <si>
    <t>BMT-G.07</t>
  </si>
  <si>
    <t xml:space="preserve">Butt Hinges 75mm  Alluminium </t>
  </si>
  <si>
    <t>BMT-G.23</t>
  </si>
  <si>
    <t xml:space="preserve">100mm Alluminium handle </t>
  </si>
  <si>
    <t>BMT-G.32</t>
  </si>
  <si>
    <t xml:space="preserve">Deluxe window stay alluminium </t>
  </si>
  <si>
    <t>BMT-G.56</t>
  </si>
  <si>
    <t>BMM-V.44</t>
  </si>
  <si>
    <t>for window shutter only</t>
  </si>
  <si>
    <t>Supplying and fixing of Window of size 0.90X1.35M with two panels of Shutter made with Sal wood including  Alluminium tower bolts, handle and butt hinges  including c/c of all materials and furniture fittings etc complete etc complete Windows shutter only</t>
  </si>
  <si>
    <t>Supplying and fixing of Window of size 0.90X1.35M with two panels of Shutter made with Sal wood including, Alluminium tower bolts, handle and butt hinges  including c/c of all materials and furniture fittings etc complete etc complete Windows shutter only</t>
  </si>
  <si>
    <t>Intial cost for  150mts to 250mts P.No.198 of SSR 2021-22</t>
  </si>
  <si>
    <t>MAT-00252</t>
  </si>
  <si>
    <t>HIR-00040
HIR-00174</t>
  </si>
  <si>
    <t>BMW-G.01</t>
  </si>
  <si>
    <t>BMW-G.02</t>
  </si>
  <si>
    <t>1.00HP single phase</t>
  </si>
  <si>
    <t>Supply of 6.0 Sqmm PVC  insulated flexible Copper cable. 1.6.1.b</t>
  </si>
  <si>
    <t>Dismantling Brick/Tile Work</t>
  </si>
  <si>
    <t xml:space="preserve">Scraping Plaster Cement Mortar </t>
  </si>
  <si>
    <t>Filling Basement with Selected earth in trenches</t>
  </si>
  <si>
    <t>RCC M-20 Grade for plinth beam</t>
  </si>
  <si>
    <t>RCC M-20 Grade for Roof beams</t>
  </si>
  <si>
    <t>RCC M-20 Grade for Roof slab 125mm thick</t>
  </si>
  <si>
    <t>RCC M-20 Grade for Lintels</t>
  </si>
  <si>
    <t>RCC M-20 Grade for sunshades</t>
  </si>
  <si>
    <t>RCC M-20 Grade for Roof slab 100mm thick</t>
  </si>
  <si>
    <t xml:space="preserve">Brick Masonary for Superstructure with CM (1:8) proportion </t>
  </si>
  <si>
    <t xml:space="preserve">Brick Masonary for Superstructure with CM (1:6) proportion </t>
  </si>
  <si>
    <t>Ceiling Plastering to Ceiling in CM (1:3) 12mm thick</t>
  </si>
  <si>
    <t>Plastering in CM (1:5) 20mm thick  single coat</t>
  </si>
  <si>
    <t>Flooring with vitrified tiles of 1st quality</t>
  </si>
  <si>
    <t xml:space="preserve">Providing Skirting to internal walls </t>
  </si>
  <si>
    <t xml:space="preserve">Providing skirting to internal walls </t>
  </si>
  <si>
    <t xml:space="preserve">Supply and fixing of  Wood Polymer Composite(WPC)  </t>
  </si>
  <si>
    <t>Supplying and fixing Gyp Board Suspended regular single layer false ceiling</t>
  </si>
  <si>
    <t>Providing and applying Wall putty</t>
  </si>
  <si>
    <t xml:space="preserve">Painting to new walls with 2 coats of acrylic Emulsion paint </t>
  </si>
  <si>
    <t xml:space="preserve">Painting to new walls with 2 coats of Plastic Emulsion paint </t>
  </si>
  <si>
    <t xml:space="preserve">Supplying, fitting &amp; placing HYSD bar reinforcement </t>
  </si>
  <si>
    <t>Providing  Mild Steel (MS) steel bars</t>
  </si>
  <si>
    <t>S&amp; F 50 mm Nominal  GI pipe Light Grade</t>
  </si>
  <si>
    <t>Hot dipped Galvanised Iron Chain linkmesh 8 gauge</t>
  </si>
  <si>
    <t xml:space="preserve">                             Specification Report to accompany the  estimate for the work "</t>
  </si>
  <si>
    <t>Painting with Synthatic enamel paint</t>
  </si>
  <si>
    <t>Providing Electrification items like wiring, switches, fan, light point and fuse point</t>
  </si>
  <si>
    <t>Driling with 165mm dia bore well including all accessories</t>
  </si>
  <si>
    <t>Sal Wood Planks</t>
  </si>
  <si>
    <t xml:space="preserve">Intial cost for Upto 90mts P.No.198 </t>
  </si>
  <si>
    <t xml:space="preserve">Intial cost for  90mts to 150mts P.No.198 </t>
  </si>
  <si>
    <t xml:space="preserve">Supply of 23 / 0060 twin core twisted </t>
  </si>
  <si>
    <t>c</t>
  </si>
  <si>
    <t>Door frame and shutter</t>
  </si>
  <si>
    <t>Supplying and fixing of  Door of size 0.90X2.10M with single panels of frames made with sal wood and Shutter made with sal wood including  MS Z hold fasts , Alluminium tower bolts, handle and butt hinges with all furniture fittings including c/c of all materials and furniture fittings etc complete as per specification  (APSS No 1001 &amp; 1002) Door Frame with Shutters</t>
  </si>
  <si>
    <r>
      <t xml:space="preserve">Supplying and fixing of  </t>
    </r>
    <r>
      <rPr>
        <b/>
        <sz val="10"/>
        <rFont val="Calibri"/>
        <family val="2"/>
        <scheme val="minor"/>
      </rPr>
      <t>Door</t>
    </r>
    <r>
      <rPr>
        <sz val="10"/>
        <rFont val="Calibri"/>
        <family val="2"/>
        <scheme val="minor"/>
      </rPr>
      <t xml:space="preserve"> of size </t>
    </r>
    <r>
      <rPr>
        <b/>
        <sz val="10"/>
        <rFont val="Calibri"/>
        <family val="2"/>
        <scheme val="minor"/>
      </rPr>
      <t>0.90X2.10M</t>
    </r>
    <r>
      <rPr>
        <sz val="10"/>
        <rFont val="Calibri"/>
        <family val="2"/>
        <scheme val="minor"/>
      </rPr>
      <t xml:space="preserve"> with single panels of frames made with sal wood and Shutter made with </t>
    </r>
    <r>
      <rPr>
        <b/>
        <sz val="10"/>
        <rFont val="Calibri"/>
        <family val="2"/>
        <scheme val="minor"/>
      </rPr>
      <t>sal wood</t>
    </r>
    <r>
      <rPr>
        <sz val="10"/>
        <rFont val="Calibri"/>
        <family val="2"/>
        <scheme val="minor"/>
      </rPr>
      <t xml:space="preserve"> including  MS Z hold fasts , Alluminium tower bolts, handle and butt hinges with all furniture fittings including c/c of all materials and furniture fittings etc complete as per specification  (APSS No 1001 &amp; 1002) </t>
    </r>
    <r>
      <rPr>
        <b/>
        <sz val="10"/>
        <rFont val="Calibri"/>
        <family val="2"/>
        <scheme val="minor"/>
      </rPr>
      <t>Door Frame with Shutters</t>
    </r>
  </si>
  <si>
    <t>Shutters : Sal Wood</t>
  </si>
  <si>
    <t xml:space="preserve">Sal Wood for Scantlings/Frames  </t>
  </si>
  <si>
    <t xml:space="preserve">Sal Wood for Planks/Shutters </t>
  </si>
  <si>
    <r>
      <t xml:space="preserve">150mm </t>
    </r>
    <r>
      <rPr>
        <sz val="10"/>
        <color rgb="FFFF0000"/>
        <rFont val="Calibri"/>
        <family val="2"/>
        <scheme val="minor"/>
      </rPr>
      <t>Alluminium</t>
    </r>
    <r>
      <rPr>
        <sz val="10"/>
        <rFont val="Calibri"/>
        <family val="2"/>
        <scheme val="minor"/>
      </rPr>
      <t xml:space="preserve"> tower bolts </t>
    </r>
  </si>
  <si>
    <r>
      <t xml:space="preserve">300mm </t>
    </r>
    <r>
      <rPr>
        <sz val="10"/>
        <color rgb="FFFF0000"/>
        <rFont val="Calibri"/>
        <family val="2"/>
        <scheme val="minor"/>
      </rPr>
      <t>Alluminium</t>
    </r>
    <r>
      <rPr>
        <sz val="10"/>
        <rFont val="Calibri"/>
        <family val="2"/>
        <scheme val="minor"/>
      </rPr>
      <t xml:space="preserve"> Aldrop </t>
    </r>
  </si>
  <si>
    <t xml:space="preserve">Alluminium door stoppers </t>
  </si>
  <si>
    <t>Butt Hinges 125mm  alluminium</t>
  </si>
  <si>
    <t>KANDUKUR</t>
  </si>
  <si>
    <t>PCC M25 grade for flooring bed</t>
  </si>
  <si>
    <t>Flooring with pressed tiles</t>
  </si>
  <si>
    <t>Painting to doors with synthatic enamel paint</t>
  </si>
  <si>
    <t>Painting to doors with  Poly-Urethane Water Proof Polish Glossy</t>
  </si>
  <si>
    <t>Providing doors and windows as per design</t>
  </si>
  <si>
    <t>20mm HBG Machine chips</t>
  </si>
  <si>
    <t>Examination room</t>
  </si>
  <si>
    <t>Lab and store room</t>
  </si>
  <si>
    <t>Bed room</t>
  </si>
  <si>
    <t>Kitchen</t>
  </si>
  <si>
    <t>Clinic &amp; Lobby</t>
  </si>
  <si>
    <t>Living room</t>
  </si>
  <si>
    <t>In verandah</t>
  </si>
  <si>
    <t>Ramp portion</t>
  </si>
  <si>
    <t>At medicine center</t>
  </si>
  <si>
    <t>Examination room ceiling</t>
  </si>
  <si>
    <t>Clinic &amp; lobby</t>
  </si>
  <si>
    <t>For walls Examination room</t>
  </si>
  <si>
    <t>Platfrom at E.Room</t>
  </si>
  <si>
    <t>Platfrom at Lab and store room</t>
  </si>
  <si>
    <t>Platfrom at kitchen room</t>
  </si>
  <si>
    <t>Deduct door opening</t>
  </si>
  <si>
    <t>deduct windows</t>
  </si>
  <si>
    <t>Provision Navaratnalu Logo</t>
  </si>
  <si>
    <t>S&amp;F of high polished granite 16 to 18 mm mm thick slabs including cost and conveyance of all material and labour charges etc., complete  for platform</t>
  </si>
  <si>
    <t>10Sqm</t>
  </si>
  <si>
    <t>Deduct for working area</t>
  </si>
  <si>
    <t>Deduction</t>
  </si>
  <si>
    <t>Fan point</t>
  </si>
  <si>
    <t xml:space="preserve">Cost of  Frame  </t>
  </si>
  <si>
    <t xml:space="preserve">BMM-V.42 </t>
  </si>
  <si>
    <t xml:space="preserve">Labour charges for frame work </t>
  </si>
  <si>
    <t xml:space="preserve">Rate per 1.00 Sqm </t>
  </si>
  <si>
    <t>Supply and fixing of  Wood Polymer Composite(WPC)  Door Frame section of 63.5x100 MM .The two Vertical members are to be joined together with the horizontal member using 8x75 MM long MS Star full thread screws to be used with reverse forward speed control hand drilling machine. The ready/assembled door frame is fixed to the wall using hold fast or bolt fasteners. A minimum of 4 No.s of screws to be provided for each vertical member &amp; minimum 2no.s for horizontal member, and fixing 28 -30 MM thick solid Wood Polymer Composite (WPC)  double extruded door shutter with 3MM top and bottom rigid layer with an overall density of 750kg/Cum. It will be fixed to the frame using 3 inch /4 inch hinges. A minimum of 4 hinges will be required for fixing the door with the frame 1200 x 2130mm</t>
  </si>
  <si>
    <t>S&amp;F 1200mm dia hume pipes</t>
  </si>
  <si>
    <t>S&amp;F high polished granite stone for cupboards</t>
  </si>
  <si>
    <t>Supply and fixing of  upvc windows</t>
  </si>
  <si>
    <t xml:space="preserve">supply and fixing of name board of size 0.90 x 1.20 mts with Brick masonary and painting and lettering the name board </t>
  </si>
  <si>
    <t>Supply and fixing of  Wood Polymer Composite(WPC)  fixing 28 -30 MM thick solid Wood Polymer Composite (WPC)  double extruded door shutter with 3MM top and bottom rigid layer with an overall density of 750kg/Cum. It will be fixed to the frame using 3 inch /4 inch hinges. A minimum of 4 hinges will be required for fixing the door with the frame 1200 x 2130mm</t>
  </si>
  <si>
    <t>S&amp;F Vitrified tiles stone for cupboards</t>
  </si>
  <si>
    <t xml:space="preserve">Plain Cement Concrete (1:4:8) </t>
  </si>
  <si>
    <t>Painting with Poly Uritrine for doors</t>
  </si>
  <si>
    <r>
      <t xml:space="preserve">Reinforced Cement Concrete  M20 Nominal mix (Cement: Sand: Metal) corresponding Table 9 of IS 456 using 20mm size graded machine crushed hard granite metal from approved quarry including c/c of all materials like Cement, Sand, coarse aggregate, water etc to site, all marerials including labour charges such as machine mixing, laying concrete, curing etc complete but excluding cost of steel and its fabrication charges for finished item of workfor  </t>
    </r>
    <r>
      <rPr>
        <b/>
        <sz val="10"/>
        <rFont val="Calibri"/>
        <family val="2"/>
        <scheme val="minor"/>
      </rPr>
      <t>lintels etc., complete</t>
    </r>
  </si>
  <si>
    <t>Ventilators</t>
  </si>
  <si>
    <t>Door</t>
  </si>
  <si>
    <t>Store room</t>
  </si>
  <si>
    <t>Open room</t>
  </si>
  <si>
    <t>Butt Hinges 75mm  Alluminium</t>
  </si>
  <si>
    <t xml:space="preserve">75mm Alluminium Door handle </t>
  </si>
  <si>
    <t>BMT-G.31</t>
  </si>
  <si>
    <t>MS Grills</t>
  </si>
  <si>
    <t xml:space="preserve">Shutters : Sal Wood </t>
  </si>
  <si>
    <t>20mm HBG Metal</t>
  </si>
  <si>
    <t xml:space="preserve">Plain Cement Concrete  M-20 Nominal mix (Cement: Sand: Metal) corresponding Table 9 of IS 456 using 20mm size  machine crushed hard granite metal from approved quarry including c/c of all materials like Cement, Sand, coarse aggregate, water etc to site, all marerials including labour charges such as machine mixing, laying concrete, curing etc complete but excluding cost of steel and its fabrication charges for finished item of work </t>
  </si>
  <si>
    <t>Contract Profit @ 13.615%</t>
  </si>
  <si>
    <t>wrought &amp; Putup Labour charges  1/3</t>
  </si>
  <si>
    <t xml:space="preserve">Supply and fixing of  sal wood window three shutter   of size 1.50 x 1.35 mts shutter made with Sal wood  including fixers of Aluminum tower bolt, butt hinges No's,  Al handles, window stoppers and MS Z hold fasts with necessary fittings etc., complete.  </t>
  </si>
  <si>
    <t>wrought &amp; Putup Labour charges  2/3</t>
  </si>
  <si>
    <t>Frames only</t>
  </si>
  <si>
    <t>Shutter only</t>
  </si>
  <si>
    <t>Supply and fixing of  sal wood window three shutter   of size 1.50 x 1.35 mt with frame made of sal wood and fixing MS Grills into frames for safety  with necessary fittings etc., complete.  For frame only</t>
  </si>
  <si>
    <t xml:space="preserve">Supplying and fixing of Window of size 1.50 x 1.35 Mts </t>
  </si>
  <si>
    <t xml:space="preserve">Supplying and fixing of Window of size 0.90 x 1.35 Mts </t>
  </si>
  <si>
    <t xml:space="preserve">Seigniorage Charges </t>
  </si>
  <si>
    <t>Inside room</t>
  </si>
  <si>
    <t>Out side Veerandah steps top</t>
  </si>
  <si>
    <t>Sides average</t>
  </si>
  <si>
    <t>Verandah basement sides</t>
  </si>
  <si>
    <t>windows</t>
  </si>
  <si>
    <t>Earthwork in excavation for structures as per drawing and technical specifications Clause 305.1 including setting out, construction of shoring and bracing, removal of stumps and other deleterious material and disposal upto a lead of 50 m, dressing of sides and bottom and backfilling in trenches with excavated suitable material as per Technical Specification 305 MORD / 304 MORTH</t>
  </si>
  <si>
    <t>Unit = 10 Cum</t>
  </si>
  <si>
    <t xml:space="preserve">Rate per 10 Cum </t>
  </si>
  <si>
    <t>RBR-FNDN-1</t>
  </si>
  <si>
    <t>Flooring with Granite Stones</t>
  </si>
  <si>
    <t>Providing Skirting to Granite Stones</t>
  </si>
  <si>
    <t>S&amp;F of  Electrification items</t>
  </si>
  <si>
    <t xml:space="preserve">Earthwork in excavation for structures </t>
  </si>
  <si>
    <r>
      <t xml:space="preserve">Supplying and fixing of  </t>
    </r>
    <r>
      <rPr>
        <b/>
        <sz val="10"/>
        <rFont val="Calibri"/>
        <family val="2"/>
        <scheme val="minor"/>
      </rPr>
      <t>Door</t>
    </r>
    <r>
      <rPr>
        <sz val="10"/>
        <rFont val="Calibri"/>
        <family val="2"/>
        <scheme val="minor"/>
      </rPr>
      <t xml:space="preserve"> of size </t>
    </r>
    <r>
      <rPr>
        <b/>
        <sz val="10"/>
        <rFont val="Calibri"/>
        <family val="2"/>
        <scheme val="minor"/>
      </rPr>
      <t>1.20X2.10M</t>
    </r>
    <r>
      <rPr>
        <sz val="10"/>
        <rFont val="Calibri"/>
        <family val="2"/>
        <scheme val="minor"/>
      </rPr>
      <t xml:space="preserve"> with two panels of Shutter made with Sal</t>
    </r>
    <r>
      <rPr>
        <b/>
        <sz val="10"/>
        <rFont val="Calibri"/>
        <family val="2"/>
        <scheme val="minor"/>
      </rPr>
      <t xml:space="preserve"> wood</t>
    </r>
    <r>
      <rPr>
        <sz val="10"/>
        <rFont val="Calibri"/>
        <family val="2"/>
        <scheme val="minor"/>
      </rPr>
      <t xml:space="preserve"> including   brass tower bolts, handle and butt hinges with all furniture fittings including c/c of all materials and furniture fittings etc complete as per specification  (APSS No 1001 &amp; 1002) </t>
    </r>
    <r>
      <rPr>
        <b/>
        <sz val="10"/>
        <rFont val="Calibri"/>
        <family val="2"/>
        <scheme val="minor"/>
      </rPr>
      <t>Door  Shutters</t>
    </r>
  </si>
  <si>
    <t>wrought &amp; Putup Labour charges 2/3</t>
  </si>
  <si>
    <t>Supplying and fixing of  Door of size 1.20X2.10M with two panels of Shutter made with Sal wood including   brass tower bolts, handle and butt hinges with all furniture fittings including c/c of all materials and furniture fittings etc complete as per specification  (APSS No 1001 &amp; 1002) Door  Shutters</t>
  </si>
  <si>
    <t>wrought &amp; Putup Labour charges 1/3</t>
  </si>
  <si>
    <r>
      <t xml:space="preserve">Supplying and fixing of  </t>
    </r>
    <r>
      <rPr>
        <b/>
        <sz val="10"/>
        <rFont val="Calibri"/>
        <family val="2"/>
        <scheme val="minor"/>
      </rPr>
      <t>Door</t>
    </r>
    <r>
      <rPr>
        <sz val="10"/>
        <rFont val="Calibri"/>
        <family val="2"/>
        <scheme val="minor"/>
      </rPr>
      <t xml:space="preserve"> of size </t>
    </r>
    <r>
      <rPr>
        <b/>
        <sz val="10"/>
        <rFont val="Calibri"/>
        <family val="2"/>
        <scheme val="minor"/>
      </rPr>
      <t>1.20X2.10M</t>
    </r>
    <r>
      <rPr>
        <sz val="10"/>
        <rFont val="Calibri"/>
        <family val="2"/>
        <scheme val="minor"/>
      </rPr>
      <t xml:space="preserve"> with two panels Frame made with sald wood fixing with Z hold fast  including c/c of all materials and furniture fittings etc complete as per specification  (APSS No 1001 &amp; 1002) </t>
    </r>
    <r>
      <rPr>
        <b/>
        <sz val="10"/>
        <rFont val="Calibri"/>
        <family val="2"/>
        <scheme val="minor"/>
      </rPr>
      <t>Door Frame only</t>
    </r>
  </si>
  <si>
    <r>
      <t xml:space="preserve">Supplying and fixing of  </t>
    </r>
    <r>
      <rPr>
        <b/>
        <sz val="10"/>
        <rFont val="Calibri"/>
        <family val="2"/>
        <scheme val="minor"/>
      </rPr>
      <t>Door</t>
    </r>
    <r>
      <rPr>
        <sz val="10"/>
        <rFont val="Calibri"/>
        <family val="2"/>
        <scheme val="minor"/>
      </rPr>
      <t xml:space="preserve"> of size </t>
    </r>
    <r>
      <rPr>
        <b/>
        <sz val="10"/>
        <rFont val="Calibri"/>
        <family val="2"/>
        <scheme val="minor"/>
      </rPr>
      <t>0.75X2.10M</t>
    </r>
    <r>
      <rPr>
        <sz val="10"/>
        <rFont val="Calibri"/>
        <family val="2"/>
        <scheme val="minor"/>
      </rPr>
      <t xml:space="preserve"> with two panels Frame made with sald wood fixing with Z hold fast  including c/c of all materials and furniture fittings etc complete as per specification  (APSS No 1001 &amp; 1002) </t>
    </r>
    <r>
      <rPr>
        <b/>
        <sz val="10"/>
        <rFont val="Calibri"/>
        <family val="2"/>
        <scheme val="minor"/>
      </rPr>
      <t>Door Frame only</t>
    </r>
  </si>
  <si>
    <t>Supply and fixing of  sal wood window three shutter   of size 0.90 x 1.35 mt with frame made of sal wood and fixing MS Grills into frames for safety  with necessary fittings etc., complete.  For frame only</t>
  </si>
  <si>
    <t xml:space="preserve">Supply and fixing of  sal wood window three shutter   of size 0.90 x 1.35 mts shutter made with Sal wood  including fixers of Aluminum tower bolt, butt hinges No's,  Al handles, window stoppers and MS Z hold fasts with necessary fittings etc., complete.  </t>
  </si>
  <si>
    <t>Supplying and fixing of  Door of size 1.20X2.10M with two panels Frame made with sald wood fixing with Z hold fast  including c/c of all materials and furniture fittings etc complete as per specification  (APSS No 1001 &amp; 1002) Door Frame only</t>
  </si>
  <si>
    <t>Supplying and fixing of  Door of size 0.75X2.10M with two panels Frame made with sald wood fixing with Z hold fast  including c/c of all materials and furniture fittings etc complete as per specification  (APSS No 1001 &amp; 1002) Door Frame only</t>
  </si>
  <si>
    <t>Frame only</t>
  </si>
  <si>
    <t>Supplying and fixing of  Door of size 0.75X2.10M with two panels  Shutter made with Sal wood including    tower bolts, handle and butt hinges with all furniture fittings including c/c of all materials and furniture fittings etc complete as per specification  (APSS No 1001 &amp; 1002) Door  Frame and Shutters</t>
  </si>
  <si>
    <t xml:space="preserve">Supplying and fixing of  Door of size 0.75X2.10M with two panels  Shutter made with Sal wood including   brass tower bolts, handle and butt hinges with all furniture fittings including c/c of all materials and furniture fittings etc complete as per specification  (APSS No 1001 &amp; 1002) </t>
  </si>
  <si>
    <t>BMT-B.17</t>
  </si>
  <si>
    <t>BMT-H.88</t>
  </si>
  <si>
    <t>P.No.203</t>
  </si>
  <si>
    <t>ELEC-1.6.3 b</t>
  </si>
  <si>
    <t>MAT-02733</t>
  </si>
  <si>
    <t>ELEC-1.6.1 b</t>
  </si>
  <si>
    <t>ELEC-1.5.6 a</t>
  </si>
  <si>
    <t>BMT-N.92</t>
  </si>
  <si>
    <t>Reinforced Cement Concrete  M20 Nominal mix (Cement: Sand: Metal) corresponding Table 9 of IS 456 using 20mm size graded machine crushed hard granite metal from approved quarry including c/c of all materials like Cement, Sand, coarse aggregate, water etc to site, all marerials including labour charges such as machine mixing, laying concrete, curing etc complete but excluding cost of steel and its fabrication charges for finished item of work for column footings</t>
  </si>
  <si>
    <t>Plain Cement Concrete  M20 Nominal mix (Cement: Sand: Metal) corresponding Table 9 of IS 456 using 20mm size graded machine crushed hard granite metal from approved quarry including c/c of all materials like Cement, Sand, coarse aggregate, water etc to site, all marerials including labour charges such as machine mixing, laying concrete, curing etc complete but excluding cost of steel and its fabrication charges for finished item of work for Steps</t>
  </si>
  <si>
    <t>Reinforced Cement Concrete  M20 Nominal mix (Cement: Sand: Metal) corresponding Table 9 of IS 456 using 20mm size graded machine crushed hard granite metal from approved quarry including c/c of all materials like Cement, Sand, coarse aggregate, water etc to site, all marerials including labour charges such as machine mixing, laying concrete, curing etc complete but excluding cost of steel and its fabrication charges for finished item of work for Columns etc., complete</t>
  </si>
  <si>
    <t>0.45= 390.00 : 1.20 = ?</t>
  </si>
  <si>
    <t>?=1.20 x 390.00 / 0.45</t>
  </si>
  <si>
    <t>?=1040.00</t>
  </si>
  <si>
    <t>0.45= 390 : 0.90 = ?</t>
  </si>
  <si>
    <t>?=0.90 x 390.00 / 0.45</t>
  </si>
  <si>
    <t>?=780.00</t>
  </si>
  <si>
    <t>tube light</t>
  </si>
  <si>
    <t>light point</t>
  </si>
  <si>
    <t>K.Bitragunta</t>
  </si>
  <si>
    <t>Plastering in CM (1:5) 12mm thick double coat</t>
  </si>
  <si>
    <t xml:space="preserve"> DATA SHEET (2024-25) (WATER AND SANITATION ITEMS)</t>
  </si>
  <si>
    <t>For Pedastal</t>
  </si>
  <si>
    <t>Deduct pedastal</t>
  </si>
  <si>
    <t>Deduct lintels</t>
  </si>
  <si>
    <t>RCC M-20 Grade for Column footings</t>
  </si>
  <si>
    <t>RCC M-20 Grade for Pedastal</t>
  </si>
  <si>
    <t>RCC M-20 Grade for Columns</t>
  </si>
  <si>
    <t>20.00 Lakhs</t>
  </si>
  <si>
    <t>DETAILED ESTIMATE CUM ABSTRACT</t>
  </si>
  <si>
    <t>For basement</t>
  </si>
  <si>
    <t>Under inside plinth beam</t>
  </si>
  <si>
    <t>Under flooring</t>
  </si>
  <si>
    <t>Room-1 Tiolet</t>
  </si>
  <si>
    <t>Room-2 Tiolet</t>
  </si>
  <si>
    <t>for portico potion</t>
  </si>
  <si>
    <t>Bed concrete</t>
  </si>
  <si>
    <t>Deduct Column footings</t>
  </si>
  <si>
    <t>Upto GL</t>
  </si>
  <si>
    <t>GL to Plinth beam level</t>
  </si>
  <si>
    <t>Above Plinth beam</t>
  </si>
  <si>
    <t>Inside building</t>
  </si>
  <si>
    <t>Front side portico</t>
  </si>
  <si>
    <t>alround building</t>
  </si>
  <si>
    <t>Outside building</t>
  </si>
  <si>
    <t>Portico</t>
  </si>
  <si>
    <t>Motravulapadu</t>
  </si>
  <si>
    <t>Ramatherdham</t>
  </si>
  <si>
    <t xml:space="preserve">                             Necessary provisions are made for QC Charges at 0.5%, GST charges @ 18% Seigneorage charges,  are shown in the estimate</t>
  </si>
  <si>
    <t>Construction of Community Hall at Chakirala village and  GP of Kanigiri  Mandal.</t>
  </si>
  <si>
    <t>Taking Output 6.00 Cum</t>
  </si>
  <si>
    <t>Rate per 6 Cum</t>
  </si>
  <si>
    <t>KANIGIRI</t>
  </si>
  <si>
    <t>earthwork</t>
  </si>
  <si>
    <t>vertical beam</t>
  </si>
  <si>
    <t>Horizantal beams</t>
  </si>
  <si>
    <t>Beam-1 side</t>
  </si>
  <si>
    <t>Beam-2, 3 sides</t>
  </si>
  <si>
    <t>Beam-4 side</t>
  </si>
  <si>
    <t>Sunshade top and bottom</t>
  </si>
  <si>
    <t>Window  Grills</t>
  </si>
  <si>
    <t>Supply and  Run of 2 of 36/0.3mm (2.50 Sq.mm) with  Run 1 of 22/0.3mm(1.5Sqmm)  FRLS / HFFR PVC insulated flexible ISI mark copper cable in existing pipe for run of mains inlcuding all labour charges etc., complete</t>
  </si>
  <si>
    <t>Supplying and fixing of  Door of size 1.20X2.10M with double panels of frames made with teak wood and Shutter made with medium Teak wood including  MS Z hold fasts , Alluminium tower bolts, handle and butt hinges with all furniture fittings including c/c of all materials and furniture fittings etc complete as per specification  (APSS No 1001 &amp; 1002) Door Frame with Shutters</t>
  </si>
  <si>
    <r>
      <t xml:space="preserve">Supplying and fixing of  </t>
    </r>
    <r>
      <rPr>
        <b/>
        <sz val="10"/>
        <rFont val="Calibri"/>
        <family val="2"/>
        <scheme val="minor"/>
      </rPr>
      <t>Door</t>
    </r>
    <r>
      <rPr>
        <sz val="10"/>
        <rFont val="Calibri"/>
        <family val="2"/>
        <scheme val="minor"/>
      </rPr>
      <t xml:space="preserve"> of size </t>
    </r>
    <r>
      <rPr>
        <b/>
        <sz val="10"/>
        <rFont val="Calibri"/>
        <family val="2"/>
        <scheme val="minor"/>
      </rPr>
      <t>1.20X2.10M</t>
    </r>
    <r>
      <rPr>
        <sz val="10"/>
        <rFont val="Calibri"/>
        <family val="2"/>
        <scheme val="minor"/>
      </rPr>
      <t xml:space="preserve"> with double panels of frames made with teak wood and Shutter made with </t>
    </r>
    <r>
      <rPr>
        <b/>
        <sz val="10"/>
        <rFont val="Calibri"/>
        <family val="2"/>
        <scheme val="minor"/>
      </rPr>
      <t>medium Teak wood</t>
    </r>
    <r>
      <rPr>
        <sz val="10"/>
        <rFont val="Calibri"/>
        <family val="2"/>
        <scheme val="minor"/>
      </rPr>
      <t xml:space="preserve"> including  MS Z hold fasts , Alluminium tower bolts, handle and butt hinges with all furniture fittings including c/c of all materials and furniture fittings etc complete as per specification  (APSS No 1001 &amp; 1002) </t>
    </r>
    <r>
      <rPr>
        <b/>
        <sz val="10"/>
        <rFont val="Calibri"/>
        <family val="2"/>
        <scheme val="minor"/>
      </rPr>
      <t>Door Frame with Shutters</t>
    </r>
  </si>
  <si>
    <t>Providing and fixing factory made uPVC white colour sliding glazed windowupto 1.50 m in height dimension comprising of uPVC multi-chamberedframe with in-built roller track and sash extruded profiles duly reinforcedwith 1.60 ± 0.2 mm thick galvanized mild steel section made from rollforming process of required length (shape &amp; size according to uPVCprofile), appropriate dimension of uPVC extruded glazing beads anduPVC extruded interlocks, EPDM gasket, wool pile, zinc alloy (whitepowder coated) touch locks withhook, zinc alloy body with single nylonrollers (weight bearing capacity to be 40 kg), G.I fasteners 100 x 8 mmsize for fixing frame to finished wall and necessary stainless steel screwsetc. Profile of frame &amp; sash shall be mitred cut and fusion welded at allcorners, including drilling of holes for fixing hardware's and drainage ofwater etc. After fixing frame the gap between frame and adjacent finishedwall shall be filled with weather proof silicon sealent over backer rod ofrequired size and of approved quality, all complete as per approved drawing&amp; direction of Engineer-in-Charge</t>
  </si>
  <si>
    <t>for dias</t>
  </si>
  <si>
    <t>dias</t>
  </si>
  <si>
    <t>dias steps-1 (both sides)</t>
  </si>
  <si>
    <t>dias steps-2 (both sides)</t>
  </si>
  <si>
    <t>dias steps-3 (both sides)</t>
  </si>
  <si>
    <t>dias steps-4 (both sides)</t>
  </si>
  <si>
    <t>Front steps-1</t>
  </si>
  <si>
    <t>Front steps-2</t>
  </si>
  <si>
    <t>Front steps-3</t>
  </si>
  <si>
    <t>Front steps-4</t>
  </si>
  <si>
    <t>At dias portion</t>
  </si>
  <si>
    <t>at hall</t>
  </si>
  <si>
    <t>dias front wall</t>
  </si>
  <si>
    <t>Dias steps treads</t>
  </si>
  <si>
    <t>Dias steps risers</t>
  </si>
  <si>
    <t>verandah steps treads</t>
  </si>
  <si>
    <t>verandah steps risers</t>
  </si>
  <si>
    <t>MPLADS 2024-25</t>
  </si>
  <si>
    <t xml:space="preserve">                              The above road has been administratively sancationed for Rs. 20.00 Lakhs  vide Progs.41/Plg.III/ YVSR (RS)/2024 Dt.09.06.2025 of the District Collector, Prakasam District, Ongole Under MPLADS grant  during the year 2024-25. </t>
  </si>
  <si>
    <t xml:space="preserve">                         Hence the estimat is preapred with the following provisions.</t>
  </si>
  <si>
    <t>Supplying and fixing of Teak wood door of size 1.20 x 2.10 Mts</t>
  </si>
  <si>
    <t>Supplying and fixing of Teak wood door of size 0.90 x 2.10 Mts</t>
  </si>
  <si>
    <t>Consideration amount</t>
  </si>
  <si>
    <t>DMF Amount 30%</t>
  </si>
  <si>
    <t>Maintenance amount 2%</t>
  </si>
  <si>
    <t xml:space="preserve">Grand </t>
  </si>
  <si>
    <t>Conveyance charges-2025-26</t>
  </si>
  <si>
    <t>BMS-W.68</t>
  </si>
  <si>
    <t>P.No.870</t>
  </si>
  <si>
    <t>P.No.872</t>
  </si>
  <si>
    <t>1.5.1 a</t>
  </si>
  <si>
    <t>MINI SSR 2025-26 OF BUILDING ITEMS</t>
  </si>
  <si>
    <t xml:space="preserve">                            The   estimate is prepared as per the current schedule of rates for the year  2025-26 and the work shall be executed as per APSS.</t>
  </si>
  <si>
    <t>Certified that the rates are provided as per SSR 2025-26</t>
  </si>
  <si>
    <t>LEAD STATEMENT (2025-26)</t>
  </si>
  <si>
    <t>DATA  SHEET (2025-26)</t>
  </si>
  <si>
    <t xml:space="preserve"> DATA (SSR-2025-26) (Electrification)</t>
  </si>
  <si>
    <t xml:space="preserve"> DATA  SHEET (2025-26)</t>
  </si>
  <si>
    <t>Rough stone MAT-00302</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</si>
</sst>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6">
    <numFmt numFmtId="41" formatCode="_ * #,##0_ ;_ * \-#,##0_ ;_ * &quot;-&quot;_ ;_ @_ "/>
    <numFmt numFmtId="164" formatCode="&quot;$&quot;#,##0.00_);\(&quot;$&quot;#,##0.00\)"/>
    <numFmt numFmtId="165" formatCode="_(&quot;$&quot;* #,##0.00_);_(&quot;$&quot;* \(#,##0.00\);_(&quot;$&quot;* &quot;-&quot;??_);_(@_)"/>
    <numFmt numFmtId="166" formatCode="_(* #,##0.00_);_(* \(#,##0.00\);_(* &quot;-&quot;??_);_(@_)"/>
    <numFmt numFmtId="167" formatCode="0.000"/>
    <numFmt numFmtId="168" formatCode="0.0"/>
    <numFmt numFmtId="169" formatCode="0.0000"/>
    <numFmt numFmtId="170" formatCode="0.00;[Red]0.00"/>
    <numFmt numFmtId="171" formatCode="_-* #,##0_-;\-* #,##0_-;_-* &quot;-&quot;_-;_-@_-"/>
    <numFmt numFmtId="172" formatCode="0;[Red]0"/>
    <numFmt numFmtId="173" formatCode="#,##0.00;[Red]#,##0.00"/>
    <numFmt numFmtId="174" formatCode="0.000_)"/>
    <numFmt numFmtId="175" formatCode="_([$€-2]* #,##0.00_);_([$€-2]* \(#,##0.00\);_([$€-2]* &quot;-&quot;??_)"/>
    <numFmt numFmtId="176" formatCode="0.00_)"/>
    <numFmt numFmtId="177" formatCode="."/>
    <numFmt numFmtId="178" formatCode="0.000%"/>
  </numFmts>
  <fonts count="171">
    <font>
      <sz val="10"/>
      <name val="Arial"/>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0"/>
      <name val="Arial"/>
      <family val="2"/>
    </font>
    <font>
      <b/>
      <sz val="12"/>
      <name val="Arial"/>
      <family val="2"/>
    </font>
    <font>
      <sz val="10"/>
      <name val="Arial"/>
      <family val="2"/>
    </font>
    <font>
      <sz val="8"/>
      <name val="Arial"/>
      <family val="2"/>
    </font>
    <font>
      <sz val="10"/>
      <color indexed="8"/>
      <name val="Arial"/>
      <family val="2"/>
    </font>
    <font>
      <sz val="10"/>
      <name val="MS Serif"/>
      <family val="1"/>
    </font>
    <font>
      <sz val="10"/>
      <color indexed="16"/>
      <name val="MS Serif"/>
      <family val="1"/>
    </font>
    <font>
      <sz val="8"/>
      <name val="Helv"/>
    </font>
    <font>
      <b/>
      <sz val="8"/>
      <color indexed="8"/>
      <name val="Helv"/>
    </font>
    <font>
      <sz val="10"/>
      <name val="Arial"/>
      <family val="2"/>
    </font>
    <font>
      <b/>
      <sz val="9"/>
      <name val="Arial"/>
      <family val="2"/>
    </font>
    <font>
      <b/>
      <sz val="16"/>
      <name val="Arial"/>
      <family val="2"/>
    </font>
    <font>
      <b/>
      <sz val="10"/>
      <name val="Times New Roman"/>
      <family val="1"/>
    </font>
    <font>
      <b/>
      <sz val="9"/>
      <name val="Verdana"/>
      <family val="2"/>
    </font>
    <font>
      <sz val="7"/>
      <name val="Small Fonts"/>
      <family val="2"/>
    </font>
    <font>
      <b/>
      <sz val="12"/>
      <name val="MS Sans Serif"/>
      <family val="2"/>
    </font>
    <font>
      <sz val="12"/>
      <name val="MS Sans Serif"/>
      <family val="2"/>
    </font>
    <font>
      <u/>
      <sz val="12"/>
      <name val="Verdana"/>
      <family val="2"/>
    </font>
    <font>
      <sz val="11"/>
      <color indexed="8"/>
      <name val="Calibri"/>
      <family val="2"/>
    </font>
    <font>
      <sz val="12"/>
      <name val="Arial"/>
      <family val="2"/>
    </font>
    <font>
      <sz val="10"/>
      <name val="Times New Roman"/>
      <family val="1"/>
    </font>
    <font>
      <sz val="10"/>
      <name val="Arial"/>
      <family val="2"/>
    </font>
    <font>
      <sz val="11"/>
      <color indexed="9"/>
      <name val="Calibri"/>
      <family val="2"/>
    </font>
    <font>
      <b/>
      <sz val="11"/>
      <color indexed="8"/>
      <name val="Calibri"/>
      <family val="2"/>
    </font>
    <font>
      <b/>
      <sz val="18"/>
      <color indexed="62"/>
      <name val="Cambria"/>
      <family val="2"/>
    </font>
    <font>
      <b/>
      <sz val="11"/>
      <name val="Times New Roman"/>
      <family val="1"/>
    </font>
    <font>
      <sz val="11"/>
      <name val="Times New Roman"/>
      <family val="1"/>
    </font>
    <font>
      <sz val="11"/>
      <color indexed="20"/>
      <name val="Calibri"/>
      <family val="2"/>
    </font>
    <font>
      <b/>
      <sz val="11"/>
      <color indexed="52"/>
      <name val="Calibri"/>
      <family val="2"/>
    </font>
    <font>
      <b/>
      <sz val="11"/>
      <color indexed="9"/>
      <name val="Calibri"/>
      <family val="2"/>
    </font>
    <font>
      <i/>
      <sz val="11"/>
      <color indexed="23"/>
      <name val="Calibri"/>
      <family val="2"/>
    </font>
    <font>
      <sz val="11"/>
      <color indexed="17"/>
      <name val="Calibri"/>
      <family val="2"/>
    </font>
    <font>
      <b/>
      <sz val="15"/>
      <color indexed="56"/>
      <name val="Calibri"/>
      <family val="2"/>
    </font>
    <font>
      <b/>
      <sz val="13"/>
      <color indexed="56"/>
      <name val="Calibri"/>
      <family val="2"/>
    </font>
    <font>
      <b/>
      <sz val="11"/>
      <color indexed="56"/>
      <name val="Calibri"/>
      <family val="2"/>
    </font>
    <font>
      <sz val="11"/>
      <color indexed="62"/>
      <name val="Calibri"/>
      <family val="2"/>
    </font>
    <font>
      <sz val="11"/>
      <color indexed="52"/>
      <name val="Calibri"/>
      <family val="2"/>
    </font>
    <font>
      <sz val="11"/>
      <color indexed="60"/>
      <name val="Calibri"/>
      <family val="2"/>
    </font>
    <font>
      <b/>
      <sz val="11"/>
      <color indexed="63"/>
      <name val="Calibri"/>
      <family val="2"/>
    </font>
    <font>
      <b/>
      <sz val="18"/>
      <color indexed="56"/>
      <name val="Cambria"/>
      <family val="2"/>
    </font>
    <font>
      <sz val="11"/>
      <color indexed="10"/>
      <name val="Calibri"/>
      <family val="2"/>
    </font>
    <font>
      <u/>
      <sz val="11"/>
      <color indexed="12"/>
      <name val="Calibri"/>
      <family val="2"/>
    </font>
    <font>
      <sz val="11.5"/>
      <name val="Times New Roman"/>
      <family val="1"/>
    </font>
    <font>
      <sz val="10"/>
      <name val="Helv"/>
      <charset val="204"/>
    </font>
    <font>
      <sz val="11"/>
      <color theme="1"/>
      <name val="Calibri"/>
      <family val="2"/>
      <scheme val="minor"/>
    </font>
    <font>
      <b/>
      <sz val="11"/>
      <color rgb="FFFA7D00"/>
      <name val="Calibri"/>
      <family val="2"/>
      <scheme val="minor"/>
    </font>
    <font>
      <sz val="10"/>
      <name val="Webdings"/>
      <family val="1"/>
      <charset val="2"/>
    </font>
    <font>
      <u/>
      <sz val="16"/>
      <name val="Arial Black"/>
      <family val="2"/>
    </font>
    <font>
      <u/>
      <sz val="12"/>
      <name val="Century"/>
      <family val="1"/>
    </font>
    <font>
      <u/>
      <sz val="16"/>
      <name val="Century"/>
      <family val="1"/>
    </font>
    <font>
      <sz val="16"/>
      <name val="Century"/>
      <family val="1"/>
    </font>
    <font>
      <sz val="10"/>
      <name val="Century"/>
      <family val="1"/>
    </font>
    <font>
      <sz val="14"/>
      <name val="Century"/>
      <family val="1"/>
    </font>
    <font>
      <sz val="11"/>
      <name val="Century"/>
      <family val="1"/>
    </font>
    <font>
      <sz val="12"/>
      <name val="Century"/>
      <family val="1"/>
    </font>
    <font>
      <sz val="14"/>
      <color indexed="10"/>
      <name val="Century"/>
      <family val="1"/>
    </font>
    <font>
      <u/>
      <sz val="18"/>
      <name val="Arial"/>
      <family val="2"/>
    </font>
    <font>
      <sz val="10"/>
      <name val="Wingdings"/>
      <charset val="2"/>
    </font>
    <font>
      <sz val="11"/>
      <color indexed="16"/>
      <name val="Calibri"/>
      <family val="2"/>
    </font>
    <font>
      <b/>
      <sz val="11"/>
      <color indexed="53"/>
      <name val="Calibri"/>
      <family val="2"/>
    </font>
    <font>
      <b/>
      <sz val="15"/>
      <color indexed="62"/>
      <name val="Calibri"/>
      <family val="2"/>
    </font>
    <font>
      <b/>
      <sz val="13"/>
      <color indexed="62"/>
      <name val="Calibri"/>
      <family val="2"/>
    </font>
    <font>
      <b/>
      <sz val="11"/>
      <color indexed="62"/>
      <name val="Calibri"/>
      <family val="2"/>
    </font>
    <font>
      <u/>
      <sz val="10"/>
      <color indexed="12"/>
      <name val="Arial"/>
      <family val="2"/>
    </font>
    <font>
      <u/>
      <sz val="11"/>
      <color indexed="12"/>
      <name val="Times New Roman"/>
      <family val="1"/>
    </font>
    <font>
      <u/>
      <sz val="10"/>
      <color theme="10"/>
      <name val="Arial"/>
      <family val="2"/>
    </font>
    <font>
      <sz val="11"/>
      <color indexed="53"/>
      <name val="Calibri"/>
      <family val="2"/>
    </font>
    <font>
      <b/>
      <sz val="12"/>
      <name val="Courier New"/>
      <family val="3"/>
    </font>
    <font>
      <sz val="10"/>
      <name val="Century Gothic"/>
      <family val="2"/>
    </font>
    <font>
      <sz val="10"/>
      <name val="Bradley Hand ITC"/>
      <family val="4"/>
    </font>
    <font>
      <sz val="10"/>
      <name val="Helv"/>
      <family val="2"/>
    </font>
    <font>
      <sz val="10"/>
      <name val="Helv"/>
    </font>
    <font>
      <sz val="10"/>
      <color theme="1"/>
      <name val="Arial"/>
      <family val="2"/>
    </font>
    <font>
      <u/>
      <sz val="14"/>
      <name val="Calibri"/>
      <family val="2"/>
      <scheme val="minor"/>
    </font>
    <font>
      <sz val="10"/>
      <name val="Calibri"/>
      <family val="2"/>
      <scheme val="minor"/>
    </font>
    <font>
      <sz val="12"/>
      <name val="Calibri"/>
      <family val="2"/>
      <scheme val="minor"/>
    </font>
    <font>
      <b/>
      <sz val="12"/>
      <name val="Calibri"/>
      <family val="2"/>
      <scheme val="minor"/>
    </font>
    <font>
      <sz val="9"/>
      <name val="Calibri"/>
      <family val="2"/>
      <scheme val="minor"/>
    </font>
    <font>
      <sz val="10"/>
      <name val="Calibri"/>
      <family val="2"/>
    </font>
    <font>
      <sz val="10"/>
      <color theme="1" tint="4.9989318521683403E-2"/>
      <name val="Calibri"/>
      <family val="2"/>
      <scheme val="minor"/>
    </font>
    <font>
      <sz val="11"/>
      <name val="Calibri"/>
      <family val="2"/>
      <scheme val="minor"/>
    </font>
    <font>
      <b/>
      <sz val="10"/>
      <name val="Calibri"/>
      <family val="2"/>
      <scheme val="minor"/>
    </font>
    <font>
      <sz val="10"/>
      <name val="Tahoma"/>
      <family val="2"/>
    </font>
    <font>
      <b/>
      <u/>
      <sz val="10"/>
      <name val="Calibri"/>
      <family val="2"/>
      <scheme val="minor"/>
    </font>
    <font>
      <sz val="8"/>
      <name val="Calibri"/>
      <family val="2"/>
      <scheme val="minor"/>
    </font>
    <font>
      <b/>
      <i/>
      <sz val="9"/>
      <name val="Calibri"/>
      <family val="2"/>
      <scheme val="minor"/>
    </font>
    <font>
      <b/>
      <sz val="8"/>
      <name val="Calibri"/>
      <family val="2"/>
      <scheme val="minor"/>
    </font>
    <font>
      <b/>
      <sz val="9"/>
      <name val="Calibri"/>
      <family val="2"/>
      <scheme val="minor"/>
    </font>
    <font>
      <sz val="9"/>
      <color indexed="8"/>
      <name val="Calibri"/>
      <family val="2"/>
      <scheme val="minor"/>
    </font>
    <font>
      <sz val="10"/>
      <color indexed="8"/>
      <name val="Calibri"/>
      <family val="2"/>
      <scheme val="minor"/>
    </font>
    <font>
      <sz val="7"/>
      <name val="Calibri"/>
      <family val="2"/>
      <scheme val="minor"/>
    </font>
    <font>
      <sz val="8"/>
      <color theme="1"/>
      <name val="Calibri"/>
      <family val="2"/>
      <scheme val="minor"/>
    </font>
    <font>
      <b/>
      <sz val="8"/>
      <color theme="1"/>
      <name val="Calibri"/>
      <family val="2"/>
      <scheme val="minor"/>
    </font>
    <font>
      <b/>
      <sz val="8"/>
      <color indexed="8"/>
      <name val="Calibri"/>
      <family val="2"/>
      <scheme val="minor"/>
    </font>
    <font>
      <sz val="8"/>
      <color indexed="8"/>
      <name val="Calibri"/>
      <family val="2"/>
      <scheme val="minor"/>
    </font>
    <font>
      <sz val="10"/>
      <color theme="1"/>
      <name val="Calibri"/>
      <family val="2"/>
      <scheme val="minor"/>
    </font>
    <font>
      <b/>
      <sz val="16"/>
      <name val="Calibri"/>
      <family val="2"/>
      <scheme val="minor"/>
    </font>
    <font>
      <vertAlign val="superscript"/>
      <sz val="10"/>
      <name val="Calibri"/>
      <family val="2"/>
      <scheme val="minor"/>
    </font>
    <font>
      <b/>
      <sz val="14"/>
      <name val="Calibri"/>
      <family val="2"/>
      <scheme val="minor"/>
    </font>
    <font>
      <b/>
      <i/>
      <u/>
      <sz val="16"/>
      <name val="Calibri"/>
      <family val="2"/>
    </font>
    <font>
      <i/>
      <sz val="10"/>
      <name val="Calibri"/>
      <family val="2"/>
    </font>
    <font>
      <b/>
      <i/>
      <sz val="12"/>
      <name val="Calibri"/>
      <family val="2"/>
    </font>
    <font>
      <i/>
      <sz val="12"/>
      <name val="Calibri"/>
      <family val="2"/>
    </font>
    <font>
      <b/>
      <i/>
      <u/>
      <sz val="12"/>
      <name val="Calibri"/>
      <family val="2"/>
    </font>
    <font>
      <i/>
      <sz val="12"/>
      <name val="Calibri"/>
      <family val="2"/>
      <scheme val="minor"/>
    </font>
    <font>
      <sz val="11"/>
      <name val="Calibri"/>
      <family val="2"/>
    </font>
    <font>
      <i/>
      <sz val="11"/>
      <name val="Calibri"/>
      <family val="2"/>
    </font>
    <font>
      <b/>
      <sz val="10"/>
      <name val="Calibri"/>
      <family val="2"/>
    </font>
    <font>
      <sz val="10"/>
      <color rgb="FFFF0000"/>
      <name val="Calibri"/>
      <family val="2"/>
      <scheme val="minor"/>
    </font>
    <font>
      <u/>
      <sz val="10"/>
      <name val="Calibri"/>
      <family val="2"/>
      <scheme val="minor"/>
    </font>
    <font>
      <u/>
      <sz val="10"/>
      <color rgb="FFFF0000"/>
      <name val="Calibri"/>
      <family val="2"/>
      <scheme val="minor"/>
    </font>
    <font>
      <sz val="10"/>
      <name val="Arial"/>
      <family val="2"/>
    </font>
    <font>
      <i/>
      <sz val="10"/>
      <name val="Calibri"/>
      <family val="2"/>
      <scheme val="minor"/>
    </font>
    <font>
      <b/>
      <i/>
      <sz val="10"/>
      <name val="Calibri"/>
      <family val="2"/>
      <scheme val="minor"/>
    </font>
    <font>
      <b/>
      <u/>
      <sz val="12"/>
      <name val="Calibri"/>
      <family val="2"/>
      <scheme val="minor"/>
    </font>
    <font>
      <sz val="18"/>
      <name val="Arial"/>
      <family val="2"/>
    </font>
    <font>
      <b/>
      <sz val="14"/>
      <name val="Arial"/>
      <family val="2"/>
    </font>
    <font>
      <sz val="11"/>
      <name val="Tahoma"/>
      <family val="2"/>
    </font>
    <font>
      <b/>
      <sz val="11"/>
      <name val="Tahoma"/>
      <family val="2"/>
    </font>
    <font>
      <b/>
      <i/>
      <sz val="11"/>
      <name val="Tahoma"/>
      <family val="2"/>
    </font>
    <font>
      <sz val="10"/>
      <name val="Arial Narrow"/>
      <family val="2"/>
    </font>
    <font>
      <sz val="10"/>
      <color rgb="FFFF0000"/>
      <name val="Arial Narrow"/>
      <family val="2"/>
    </font>
    <font>
      <b/>
      <u/>
      <sz val="15"/>
      <name val="Calibri"/>
      <family val="2"/>
      <scheme val="minor"/>
    </font>
    <font>
      <sz val="15"/>
      <name val="Calibri"/>
      <family val="2"/>
      <scheme val="minor"/>
    </font>
    <font>
      <sz val="10"/>
      <color indexed="10"/>
      <name val="Calibri"/>
      <family val="2"/>
      <scheme val="minor"/>
    </font>
    <font>
      <b/>
      <i/>
      <u/>
      <sz val="12"/>
      <name val="Times New Roman"/>
      <family val="1"/>
    </font>
    <font>
      <b/>
      <i/>
      <sz val="11"/>
      <name val="Times New Roman"/>
      <family val="1"/>
    </font>
    <font>
      <b/>
      <i/>
      <sz val="12"/>
      <name val="Times New Roman"/>
      <family val="1"/>
    </font>
    <font>
      <b/>
      <i/>
      <u/>
      <sz val="11"/>
      <name val="Times New Roman"/>
      <family val="1"/>
    </font>
    <font>
      <b/>
      <u/>
      <sz val="10"/>
      <name val="Times New Roman"/>
      <family val="1"/>
    </font>
    <font>
      <b/>
      <u/>
      <sz val="14"/>
      <name val="Tahoma"/>
      <family val="2"/>
    </font>
    <font>
      <u/>
      <sz val="14"/>
      <name val="Tahoma"/>
      <family val="2"/>
    </font>
    <font>
      <b/>
      <u/>
      <sz val="9"/>
      <name val="Tahoma"/>
      <family val="2"/>
    </font>
    <font>
      <b/>
      <sz val="10"/>
      <name val="Tahoma"/>
      <family val="2"/>
    </font>
    <font>
      <b/>
      <sz val="9"/>
      <name val="Tahoma"/>
      <family val="2"/>
    </font>
    <font>
      <sz val="9"/>
      <name val="Tahoma"/>
      <family val="2"/>
    </font>
    <font>
      <sz val="9"/>
      <name val="Calibri"/>
      <family val="2"/>
    </font>
    <font>
      <sz val="8"/>
      <name val="Tahoma"/>
      <family val="2"/>
    </font>
    <font>
      <sz val="8"/>
      <name val="Calibri"/>
      <family val="2"/>
    </font>
    <font>
      <b/>
      <sz val="8"/>
      <name val="Tahoma"/>
      <family val="2"/>
    </font>
    <font>
      <b/>
      <sz val="9"/>
      <color indexed="8"/>
      <name val="Tahoma"/>
      <family val="2"/>
    </font>
    <font>
      <b/>
      <i/>
      <sz val="9"/>
      <name val="Tahoma"/>
      <family val="2"/>
    </font>
    <font>
      <i/>
      <sz val="9"/>
      <name val="Tahoma"/>
      <family val="2"/>
    </font>
    <font>
      <b/>
      <i/>
      <sz val="8"/>
      <name val="Tahoma"/>
      <family val="2"/>
    </font>
    <font>
      <sz val="9"/>
      <color indexed="8"/>
      <name val="Tahoma"/>
      <family val="2"/>
    </font>
    <font>
      <sz val="9"/>
      <color theme="0"/>
      <name val="Tahoma"/>
      <family val="2"/>
    </font>
    <font>
      <sz val="10"/>
      <color theme="1"/>
      <name val="Calibri"/>
      <family val="2"/>
    </font>
    <font>
      <sz val="7"/>
      <name val="Arial"/>
      <family val="2"/>
    </font>
    <font>
      <b/>
      <sz val="10"/>
      <name val="Arial"/>
      <family val="2"/>
    </font>
    <font>
      <sz val="12"/>
      <name val="Calibri"/>
      <family val="2"/>
    </font>
    <font>
      <b/>
      <u/>
      <sz val="12"/>
      <name val="Aharoni"/>
      <charset val="177"/>
    </font>
    <font>
      <u/>
      <sz val="12"/>
      <name val="Aharoni"/>
      <charset val="177"/>
    </font>
    <font>
      <sz val="12"/>
      <color indexed="9"/>
      <name val="Calibri"/>
      <family val="2"/>
    </font>
    <font>
      <i/>
      <sz val="12"/>
      <color theme="1"/>
      <name val="Calibri"/>
      <family val="2"/>
    </font>
    <font>
      <i/>
      <sz val="10"/>
      <color theme="1"/>
      <name val="Calibri"/>
      <family val="2"/>
    </font>
    <font>
      <b/>
      <u/>
      <sz val="13"/>
      <name val="Calibri"/>
      <family val="2"/>
      <scheme val="minor"/>
    </font>
    <font>
      <b/>
      <i/>
      <sz val="8"/>
      <name val="Calibri"/>
      <family val="2"/>
      <scheme val="minor"/>
    </font>
    <font>
      <sz val="10"/>
      <color theme="0"/>
      <name val="Tahoma"/>
      <family val="2"/>
    </font>
  </fonts>
  <fills count="48">
    <fill>
      <patternFill patternType="none"/>
    </fill>
    <fill>
      <patternFill patternType="gray125"/>
    </fill>
    <fill>
      <patternFill patternType="solid">
        <fgColor indexed="31"/>
      </patternFill>
    </fill>
    <fill>
      <patternFill patternType="solid">
        <fgColor indexed="45"/>
      </patternFill>
    </fill>
    <fill>
      <patternFill patternType="solid">
        <fgColor indexed="42"/>
      </patternFill>
    </fill>
    <fill>
      <patternFill patternType="solid">
        <fgColor indexed="46"/>
      </patternFill>
    </fill>
    <fill>
      <patternFill patternType="solid">
        <fgColor indexed="27"/>
      </patternFill>
    </fill>
    <fill>
      <patternFill patternType="solid">
        <fgColor indexed="47"/>
      </patternFill>
    </fill>
    <fill>
      <patternFill patternType="solid">
        <fgColor indexed="44"/>
      </patternFill>
    </fill>
    <fill>
      <patternFill patternType="solid">
        <fgColor indexed="29"/>
      </patternFill>
    </fill>
    <fill>
      <patternFill patternType="solid">
        <fgColor indexed="11"/>
      </patternFill>
    </fill>
    <fill>
      <patternFill patternType="solid">
        <fgColor indexed="51"/>
      </patternFill>
    </fill>
    <fill>
      <patternFill patternType="solid">
        <fgColor indexed="30"/>
      </patternFill>
    </fill>
    <fill>
      <patternFill patternType="solid">
        <fgColor indexed="36"/>
      </patternFill>
    </fill>
    <fill>
      <patternFill patternType="solid">
        <fgColor indexed="49"/>
      </patternFill>
    </fill>
    <fill>
      <patternFill patternType="solid">
        <fgColor indexed="52"/>
      </patternFill>
    </fill>
    <fill>
      <patternFill patternType="solid">
        <fgColor indexed="62"/>
      </patternFill>
    </fill>
    <fill>
      <patternFill patternType="solid">
        <fgColor indexed="31"/>
        <bgColor indexed="31"/>
      </patternFill>
    </fill>
    <fill>
      <patternFill patternType="solid">
        <fgColor indexed="44"/>
        <bgColor indexed="44"/>
      </patternFill>
    </fill>
    <fill>
      <patternFill patternType="solid">
        <fgColor indexed="10"/>
      </patternFill>
    </fill>
    <fill>
      <patternFill patternType="solid">
        <fgColor indexed="26"/>
        <bgColor indexed="26"/>
      </patternFill>
    </fill>
    <fill>
      <patternFill patternType="solid">
        <fgColor indexed="22"/>
        <bgColor indexed="22"/>
      </patternFill>
    </fill>
    <fill>
      <patternFill patternType="solid">
        <fgColor indexed="55"/>
        <bgColor indexed="55"/>
      </patternFill>
    </fill>
    <fill>
      <patternFill patternType="solid">
        <fgColor indexed="57"/>
      </patternFill>
    </fill>
    <fill>
      <patternFill patternType="solid">
        <fgColor indexed="42"/>
        <bgColor indexed="42"/>
      </patternFill>
    </fill>
    <fill>
      <patternFill patternType="solid">
        <fgColor indexed="27"/>
        <bgColor indexed="27"/>
      </patternFill>
    </fill>
    <fill>
      <patternFill patternType="solid">
        <fgColor indexed="53"/>
      </patternFill>
    </fill>
    <fill>
      <patternFill patternType="solid">
        <fgColor indexed="47"/>
        <bgColor indexed="47"/>
      </patternFill>
    </fill>
    <fill>
      <patternFill patternType="solid">
        <fgColor indexed="22"/>
      </patternFill>
    </fill>
    <fill>
      <patternFill patternType="solid">
        <fgColor indexed="55"/>
      </patternFill>
    </fill>
    <fill>
      <patternFill patternType="lightUp">
        <fgColor indexed="9"/>
        <bgColor indexed="55"/>
      </patternFill>
    </fill>
    <fill>
      <patternFill patternType="lightUp">
        <fgColor indexed="9"/>
        <bgColor indexed="29"/>
      </patternFill>
    </fill>
    <fill>
      <patternFill patternType="lightUp">
        <fgColor indexed="9"/>
        <bgColor indexed="22"/>
      </patternFill>
    </fill>
    <fill>
      <patternFill patternType="solid">
        <fgColor indexed="22"/>
        <bgColor indexed="64"/>
      </patternFill>
    </fill>
    <fill>
      <patternFill patternType="solid">
        <fgColor indexed="26"/>
        <bgColor indexed="64"/>
      </patternFill>
    </fill>
    <fill>
      <patternFill patternType="solid">
        <fgColor indexed="43"/>
      </patternFill>
    </fill>
    <fill>
      <patternFill patternType="solid">
        <fgColor indexed="26"/>
      </patternFill>
    </fill>
    <fill>
      <patternFill patternType="solid">
        <fgColor indexed="9"/>
        <bgColor indexed="9"/>
      </patternFill>
    </fill>
    <fill>
      <patternFill patternType="solid">
        <fgColor rgb="FFF2F2F2"/>
      </patternFill>
    </fill>
    <fill>
      <patternFill patternType="solid">
        <fgColor indexed="54"/>
        <bgColor indexed="54"/>
      </patternFill>
    </fill>
    <fill>
      <patternFill patternType="solid">
        <fgColor indexed="25"/>
        <bgColor indexed="25"/>
      </patternFill>
    </fill>
    <fill>
      <patternFill patternType="solid">
        <fgColor indexed="49"/>
        <bgColor indexed="49"/>
      </patternFill>
    </fill>
    <fill>
      <patternFill patternType="solid">
        <fgColor indexed="52"/>
        <bgColor indexed="52"/>
      </patternFill>
    </fill>
    <fill>
      <patternFill patternType="solid">
        <fgColor indexed="45"/>
        <bgColor indexed="45"/>
      </patternFill>
    </fill>
    <fill>
      <patternFill patternType="solid">
        <fgColor indexed="43"/>
        <bgColor indexed="43"/>
      </patternFill>
    </fill>
    <fill>
      <patternFill patternType="solid">
        <fgColor rgb="FFFFFF00"/>
        <bgColor indexed="64"/>
      </patternFill>
    </fill>
    <fill>
      <patternFill patternType="solid">
        <fgColor theme="0" tint="-0.249977111117893"/>
        <bgColor indexed="64"/>
      </patternFill>
    </fill>
    <fill>
      <patternFill patternType="solid">
        <fgColor rgb="FF92D050"/>
        <bgColor indexed="64"/>
      </patternFill>
    </fill>
  </fills>
  <borders count="43">
    <border>
      <left/>
      <right/>
      <top/>
      <bottom/>
      <diagonal/>
    </border>
    <border>
      <left style="thin">
        <color indexed="23"/>
      </left>
      <right style="thin">
        <color indexed="23"/>
      </right>
      <top style="thin">
        <color indexed="23"/>
      </top>
      <bottom style="thin">
        <color indexed="23"/>
      </bottom>
      <diagonal/>
    </border>
    <border>
      <left style="double">
        <color indexed="63"/>
      </left>
      <right style="double">
        <color indexed="63"/>
      </right>
      <top style="double">
        <color indexed="63"/>
      </top>
      <bottom style="double">
        <color indexed="63"/>
      </bottom>
      <diagonal/>
    </border>
    <border>
      <left/>
      <right/>
      <top style="medium">
        <color indexed="64"/>
      </top>
      <bottom style="medium">
        <color indexed="64"/>
      </bottom>
      <diagonal/>
    </border>
    <border>
      <left/>
      <right/>
      <top style="thin">
        <color indexed="64"/>
      </top>
      <bottom style="thin">
        <color indexed="64"/>
      </bottom>
      <diagonal/>
    </border>
    <border>
      <left/>
      <right/>
      <top/>
      <bottom style="thick">
        <color indexed="62"/>
      </bottom>
      <diagonal/>
    </border>
    <border>
      <left/>
      <right/>
      <top/>
      <bottom style="thick">
        <color indexed="22"/>
      </bottom>
      <diagonal/>
    </border>
    <border>
      <left/>
      <right/>
      <top/>
      <bottom style="medium">
        <color indexed="30"/>
      </bottom>
      <diagonal/>
    </border>
    <border>
      <left style="thin">
        <color indexed="64"/>
      </left>
      <right style="thin">
        <color indexed="64"/>
      </right>
      <top style="thin">
        <color indexed="64"/>
      </top>
      <bottom style="thin">
        <color indexed="64"/>
      </bottom>
      <diagonal/>
    </border>
    <border>
      <left/>
      <right/>
      <top/>
      <bottom style="double">
        <color indexed="52"/>
      </bottom>
      <diagonal/>
    </border>
    <border>
      <left/>
      <right style="thin">
        <color indexed="64"/>
      </right>
      <top/>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right/>
      <top/>
      <bottom style="thin">
        <color indexed="64"/>
      </bottom>
      <diagonal/>
    </border>
    <border>
      <left style="hair">
        <color indexed="64"/>
      </left>
      <right style="hair">
        <color indexed="64"/>
      </right>
      <top style="hair">
        <color indexed="64"/>
      </top>
      <bottom style="hair">
        <color indexed="64"/>
      </bottom>
      <diagonal/>
    </border>
    <border>
      <left style="hair">
        <color indexed="64"/>
      </left>
      <right/>
      <top style="hair">
        <color indexed="64"/>
      </top>
      <bottom style="hair">
        <color indexed="64"/>
      </bottom>
      <diagonal/>
    </border>
    <border>
      <left/>
      <right/>
      <top style="hair">
        <color indexed="64"/>
      </top>
      <bottom style="hair">
        <color indexed="64"/>
      </bottom>
      <diagonal/>
    </border>
    <border>
      <left/>
      <right style="hair">
        <color indexed="64"/>
      </right>
      <top style="hair">
        <color indexed="64"/>
      </top>
      <bottom style="hair">
        <color indexed="64"/>
      </bottom>
      <diagonal/>
    </border>
    <border>
      <left/>
      <right/>
      <top style="thin">
        <color indexed="64"/>
      </top>
      <bottom style="double">
        <color indexed="64"/>
      </bottom>
      <diagonal/>
    </border>
    <border>
      <left style="hair">
        <color indexed="64"/>
      </left>
      <right/>
      <top/>
      <bottom style="hair">
        <color indexed="64"/>
      </bottom>
      <diagonal/>
    </border>
    <border>
      <left/>
      <right/>
      <top style="thin">
        <color indexed="64"/>
      </top>
      <bottom/>
      <diagonal/>
    </border>
    <border>
      <left style="thin">
        <color rgb="FF7F7F7F"/>
      </left>
      <right style="thin">
        <color rgb="FF7F7F7F"/>
      </right>
      <top style="thin">
        <color rgb="FF7F7F7F"/>
      </top>
      <bottom style="thin">
        <color rgb="FF7F7F7F"/>
      </bottom>
      <diagonal/>
    </border>
    <border>
      <left/>
      <right/>
      <top/>
      <bottom style="thick">
        <color indexed="54"/>
      </bottom>
      <diagonal/>
    </border>
    <border>
      <left/>
      <right/>
      <top/>
      <bottom style="medium">
        <color indexed="44"/>
      </bottom>
      <diagonal/>
    </border>
    <border>
      <left style="thin">
        <color indexed="64"/>
      </left>
      <right style="thin">
        <color indexed="64"/>
      </right>
      <top style="hair">
        <color indexed="64"/>
      </top>
      <bottom style="hair">
        <color indexed="64"/>
      </bottom>
      <diagonal/>
    </border>
    <border>
      <left/>
      <right/>
      <top style="thin">
        <color indexed="54"/>
      </top>
      <bottom style="double">
        <color indexed="5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style="thin">
        <color indexed="64"/>
      </right>
      <top style="thin">
        <color indexed="64"/>
      </top>
      <bottom/>
      <diagonal/>
    </border>
    <border>
      <left style="thin">
        <color indexed="64"/>
      </left>
      <right/>
      <top style="thin">
        <color indexed="64"/>
      </top>
      <bottom/>
      <diagonal/>
    </border>
    <border>
      <left style="thin">
        <color indexed="64"/>
      </left>
      <right style="thin">
        <color indexed="64"/>
      </right>
      <top style="thin">
        <color indexed="64"/>
      </top>
      <bottom/>
      <diagonal/>
    </border>
    <border>
      <left style="thin">
        <color indexed="64"/>
      </left>
      <right/>
      <top/>
      <bottom/>
      <diagonal/>
    </border>
    <border>
      <left style="thin">
        <color indexed="64"/>
      </left>
      <right style="thin">
        <color indexed="64"/>
      </right>
      <top/>
      <bottom/>
      <diagonal/>
    </border>
    <border>
      <left/>
      <right style="thin">
        <color indexed="64"/>
      </right>
      <top/>
      <bottom style="thin">
        <color indexed="64"/>
      </bottom>
      <diagonal/>
    </border>
    <border>
      <left style="thin">
        <color indexed="64"/>
      </left>
      <right/>
      <top/>
      <bottom style="thin">
        <color indexed="64"/>
      </bottom>
      <diagonal/>
    </border>
    <border>
      <left style="thin">
        <color indexed="64"/>
      </left>
      <right style="thin">
        <color indexed="64"/>
      </right>
      <top/>
      <bottom style="thin">
        <color indexed="64"/>
      </bottom>
      <diagonal/>
    </border>
    <border>
      <left style="hair">
        <color indexed="64"/>
      </left>
      <right style="hair">
        <color indexed="64"/>
      </right>
      <top style="hair">
        <color indexed="64"/>
      </top>
      <bottom/>
      <diagonal/>
    </border>
    <border>
      <left style="hair">
        <color indexed="64"/>
      </left>
      <right/>
      <top style="hair">
        <color indexed="64"/>
      </top>
      <bottom/>
      <diagonal/>
    </border>
    <border>
      <left/>
      <right style="hair">
        <color indexed="64"/>
      </right>
      <top style="hair">
        <color indexed="64"/>
      </top>
      <bottom/>
      <diagonal/>
    </border>
    <border>
      <left style="hair">
        <color indexed="64"/>
      </left>
      <right style="hair">
        <color indexed="64"/>
      </right>
      <top/>
      <bottom style="hair">
        <color indexed="64"/>
      </bottom>
      <diagonal/>
    </border>
    <border>
      <left/>
      <right style="hair">
        <color indexed="64"/>
      </right>
      <top/>
      <bottom style="hair">
        <color indexed="64"/>
      </bottom>
      <diagonal/>
    </border>
    <border>
      <left/>
      <right/>
      <top/>
      <bottom style="hair">
        <color indexed="64"/>
      </bottom>
      <diagonal/>
    </border>
  </borders>
  <cellStyleXfs count="1672">
    <xf numFmtId="0" fontId="0" fillId="0" borderId="0"/>
    <xf numFmtId="0" fontId="31" fillId="2" borderId="0" applyNumberFormat="0" applyBorder="0" applyAlignment="0" applyProtection="0"/>
    <xf numFmtId="0" fontId="31" fillId="3" borderId="0" applyNumberFormat="0" applyBorder="0" applyAlignment="0" applyProtection="0"/>
    <xf numFmtId="0" fontId="31" fillId="4" borderId="0" applyNumberFormat="0" applyBorder="0" applyAlignment="0" applyProtection="0"/>
    <xf numFmtId="0" fontId="31" fillId="5" borderId="0" applyNumberFormat="0" applyBorder="0" applyAlignment="0" applyProtection="0"/>
    <xf numFmtId="0" fontId="31" fillId="6" borderId="0" applyNumberFormat="0" applyBorder="0" applyAlignment="0" applyProtection="0"/>
    <xf numFmtId="0" fontId="31" fillId="7" borderId="0" applyNumberFormat="0" applyBorder="0" applyAlignment="0" applyProtection="0"/>
    <xf numFmtId="0" fontId="31" fillId="8" borderId="0" applyNumberFormat="0" applyBorder="0" applyAlignment="0" applyProtection="0"/>
    <xf numFmtId="0" fontId="31" fillId="9" borderId="0" applyNumberFormat="0" applyBorder="0" applyAlignment="0" applyProtection="0"/>
    <xf numFmtId="0" fontId="31" fillId="10" borderId="0" applyNumberFormat="0" applyBorder="0" applyAlignment="0" applyProtection="0"/>
    <xf numFmtId="0" fontId="31" fillId="5" borderId="0" applyNumberFormat="0" applyBorder="0" applyAlignment="0" applyProtection="0"/>
    <xf numFmtId="0" fontId="31" fillId="8" borderId="0" applyNumberFormat="0" applyBorder="0" applyAlignment="0" applyProtection="0"/>
    <xf numFmtId="0" fontId="31" fillId="11" borderId="0" applyNumberFormat="0" applyBorder="0" applyAlignment="0" applyProtection="0"/>
    <xf numFmtId="0" fontId="35" fillId="12" borderId="0" applyNumberFormat="0" applyBorder="0" applyAlignment="0" applyProtection="0"/>
    <xf numFmtId="0" fontId="35" fillId="9" borderId="0" applyNumberFormat="0" applyBorder="0" applyAlignment="0" applyProtection="0"/>
    <xf numFmtId="0" fontId="35" fillId="10" borderId="0" applyNumberFormat="0" applyBorder="0" applyAlignment="0" applyProtection="0"/>
    <xf numFmtId="0" fontId="35" fillId="13" borderId="0" applyNumberFormat="0" applyBorder="0" applyAlignment="0" applyProtection="0"/>
    <xf numFmtId="0" fontId="35" fillId="14" borderId="0" applyNumberFormat="0" applyBorder="0" applyAlignment="0" applyProtection="0"/>
    <xf numFmtId="0" fontId="35" fillId="15" borderId="0" applyNumberFormat="0" applyBorder="0" applyAlignment="0" applyProtection="0"/>
    <xf numFmtId="0" fontId="31" fillId="17" borderId="0" applyNumberFormat="0" applyBorder="0" applyAlignment="0" applyProtection="0"/>
    <xf numFmtId="0" fontId="31" fillId="17" borderId="0" applyNumberFormat="0" applyBorder="0" applyAlignment="0" applyProtection="0"/>
    <xf numFmtId="0" fontId="35" fillId="18" borderId="0" applyNumberFormat="0" applyBorder="0" applyAlignment="0" applyProtection="0"/>
    <xf numFmtId="0" fontId="35" fillId="16" borderId="0" applyNumberFormat="0" applyBorder="0" applyAlignment="0" applyProtection="0"/>
    <xf numFmtId="0" fontId="31" fillId="20" borderId="0" applyNumberFormat="0" applyBorder="0" applyAlignment="0" applyProtection="0"/>
    <xf numFmtId="0" fontId="31" fillId="21" borderId="0" applyNumberFormat="0" applyBorder="0" applyAlignment="0" applyProtection="0"/>
    <xf numFmtId="0" fontId="35" fillId="22" borderId="0" applyNumberFormat="0" applyBorder="0" applyAlignment="0" applyProtection="0"/>
    <xf numFmtId="0" fontId="35" fillId="19" borderId="0" applyNumberFormat="0" applyBorder="0" applyAlignment="0" applyProtection="0"/>
    <xf numFmtId="0" fontId="31" fillId="20" borderId="0" applyNumberFormat="0" applyBorder="0" applyAlignment="0" applyProtection="0"/>
    <xf numFmtId="0" fontId="31" fillId="24" borderId="0" applyNumberFormat="0" applyBorder="0" applyAlignment="0" applyProtection="0"/>
    <xf numFmtId="0" fontId="35" fillId="21" borderId="0" applyNumberFormat="0" applyBorder="0" applyAlignment="0" applyProtection="0"/>
    <xf numFmtId="0" fontId="35" fillId="23" borderId="0" applyNumberFormat="0" applyBorder="0" applyAlignment="0" applyProtection="0"/>
    <xf numFmtId="0" fontId="31" fillId="17" borderId="0" applyNumberFormat="0" applyBorder="0" applyAlignment="0" applyProtection="0"/>
    <xf numFmtId="0" fontId="31" fillId="21" borderId="0" applyNumberFormat="0" applyBorder="0" applyAlignment="0" applyProtection="0"/>
    <xf numFmtId="0" fontId="35" fillId="21" borderId="0" applyNumberFormat="0" applyBorder="0" applyAlignment="0" applyProtection="0"/>
    <xf numFmtId="0" fontId="35" fillId="13" borderId="0" applyNumberFormat="0" applyBorder="0" applyAlignment="0" applyProtection="0"/>
    <xf numFmtId="0" fontId="31" fillId="25" borderId="0" applyNumberFormat="0" applyBorder="0" applyAlignment="0" applyProtection="0"/>
    <xf numFmtId="0" fontId="31" fillId="17" borderId="0" applyNumberFormat="0" applyBorder="0" applyAlignment="0" applyProtection="0"/>
    <xf numFmtId="0" fontId="35" fillId="18" borderId="0" applyNumberFormat="0" applyBorder="0" applyAlignment="0" applyProtection="0"/>
    <xf numFmtId="0" fontId="35" fillId="14" borderId="0" applyNumberFormat="0" applyBorder="0" applyAlignment="0" applyProtection="0"/>
    <xf numFmtId="0" fontId="31" fillId="20" borderId="0" applyNumberFormat="0" applyBorder="0" applyAlignment="0" applyProtection="0"/>
    <xf numFmtId="0" fontId="31" fillId="27" borderId="0" applyNumberFormat="0" applyBorder="0" applyAlignment="0" applyProtection="0"/>
    <xf numFmtId="0" fontId="35" fillId="27" borderId="0" applyNumberFormat="0" applyBorder="0" applyAlignment="0" applyProtection="0"/>
    <xf numFmtId="0" fontId="35" fillId="26" borderId="0" applyNumberFormat="0" applyBorder="0" applyAlignment="0" applyProtection="0"/>
    <xf numFmtId="0" fontId="40" fillId="3" borderId="0" applyNumberFormat="0" applyBorder="0" applyAlignment="0" applyProtection="0"/>
    <xf numFmtId="0" fontId="17" fillId="0" borderId="0" applyFill="0" applyBorder="0" applyAlignment="0"/>
    <xf numFmtId="0" fontId="41" fillId="28" borderId="1" applyNumberFormat="0" applyAlignment="0" applyProtection="0"/>
    <xf numFmtId="0" fontId="42" fillId="29" borderId="2" applyNumberFormat="0" applyAlignment="0" applyProtection="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166" fontId="15" fillId="0" borderId="0" applyFont="0" applyFill="0" applyBorder="0" applyAlignment="0" applyProtection="0"/>
    <xf numFmtId="172" fontId="33" fillId="0" borderId="0" applyFont="0" applyFill="0" applyBorder="0" applyAlignment="0" applyProtection="0"/>
    <xf numFmtId="166" fontId="15" fillId="0" borderId="0" applyFont="0" applyFill="0" applyBorder="0" applyAlignment="0" applyProtection="0"/>
    <xf numFmtId="164" fontId="33" fillId="0" borderId="0" applyFont="0" applyFill="0" applyBorder="0" applyAlignment="0" applyProtection="0"/>
    <xf numFmtId="170" fontId="33" fillId="0" borderId="0" applyFont="0" applyFill="0" applyBorder="0" applyAlignment="0" applyProtection="0"/>
    <xf numFmtId="166" fontId="15" fillId="0" borderId="0" applyFont="0" applyFill="0" applyBorder="0" applyAlignment="0" applyProtection="0"/>
    <xf numFmtId="166" fontId="15" fillId="0" borderId="0" applyFont="0" applyFill="0" applyBorder="0" applyAlignment="0" applyProtection="0"/>
    <xf numFmtId="164" fontId="33" fillId="0" borderId="0" applyFont="0" applyFill="0" applyBorder="0" applyAlignment="0" applyProtection="0"/>
    <xf numFmtId="164" fontId="33" fillId="0" borderId="0" applyFont="0" applyFill="0" applyBorder="0" applyAlignment="0" applyProtection="0"/>
    <xf numFmtId="0" fontId="18" fillId="0" borderId="0" applyNumberFormat="0" applyAlignment="0">
      <alignment horizontal="left"/>
    </xf>
    <xf numFmtId="0" fontId="36" fillId="30" borderId="0" applyNumberFormat="0" applyBorder="0" applyAlignment="0" applyProtection="0"/>
    <xf numFmtId="0" fontId="36" fillId="31" borderId="0" applyNumberFormat="0" applyBorder="0" applyAlignment="0" applyProtection="0"/>
    <xf numFmtId="0" fontId="36" fillId="32" borderId="0" applyNumberFormat="0" applyBorder="0" applyAlignment="0" applyProtection="0"/>
    <xf numFmtId="0" fontId="19" fillId="0" borderId="0" applyNumberFormat="0" applyAlignment="0">
      <alignment horizontal="left"/>
    </xf>
    <xf numFmtId="0" fontId="43" fillId="0" borderId="0" applyNumberFormat="0" applyFill="0" applyBorder="0" applyAlignment="0" applyProtection="0"/>
    <xf numFmtId="2" fontId="15" fillId="0" borderId="0" applyFont="0" applyFill="0" applyBorder="0" applyAlignment="0" applyProtection="0"/>
    <xf numFmtId="1" fontId="22" fillId="0" borderId="0"/>
    <xf numFmtId="1" fontId="15" fillId="0" borderId="0"/>
    <xf numFmtId="1" fontId="15" fillId="0" borderId="0"/>
    <xf numFmtId="1" fontId="15" fillId="0" borderId="0"/>
    <xf numFmtId="0" fontId="44" fillId="4" borderId="0" applyNumberFormat="0" applyBorder="0" applyAlignment="0" applyProtection="0"/>
    <xf numFmtId="38" fontId="16" fillId="33" borderId="0" applyNumberFormat="0" applyBorder="0" applyAlignment="0" applyProtection="0"/>
    <xf numFmtId="0" fontId="14" fillId="0" borderId="3" applyNumberFormat="0" applyAlignment="0" applyProtection="0">
      <alignment horizontal="left" vertical="center"/>
    </xf>
    <xf numFmtId="0" fontId="14" fillId="0" borderId="4">
      <alignment horizontal="left" vertical="center"/>
    </xf>
    <xf numFmtId="0" fontId="45" fillId="0" borderId="5" applyNumberFormat="0" applyFill="0" applyAlignment="0" applyProtection="0"/>
    <xf numFmtId="0" fontId="46" fillId="0" borderId="6" applyNumberFormat="0" applyFill="0" applyAlignment="0" applyProtection="0"/>
    <xf numFmtId="0" fontId="47" fillId="0" borderId="7" applyNumberFormat="0" applyFill="0" applyAlignment="0" applyProtection="0"/>
    <xf numFmtId="0" fontId="47" fillId="0" borderId="0" applyNumberFormat="0" applyFill="0" applyBorder="0" applyAlignment="0" applyProtection="0"/>
    <xf numFmtId="0" fontId="54" fillId="0" borderId="0" applyNumberFormat="0" applyFill="0" applyBorder="0" applyAlignment="0" applyProtection="0">
      <alignment vertical="top"/>
      <protection locked="0"/>
    </xf>
    <xf numFmtId="10" fontId="16" fillId="34" borderId="8" applyNumberFormat="0" applyBorder="0" applyAlignment="0" applyProtection="0"/>
    <xf numFmtId="0" fontId="48" fillId="7" borderId="1" applyNumberFormat="0" applyAlignment="0" applyProtection="0"/>
    <xf numFmtId="0" fontId="49" fillId="0" borderId="9" applyNumberFormat="0" applyFill="0" applyAlignment="0" applyProtection="0"/>
    <xf numFmtId="0" fontId="24" fillId="0" borderId="0" applyProtection="0">
      <alignment horizontal="center" vertical="center"/>
    </xf>
    <xf numFmtId="168" fontId="25" fillId="0" borderId="10">
      <alignment horizontal="right"/>
    </xf>
    <xf numFmtId="168" fontId="25" fillId="0" borderId="10">
      <alignment horizontal="right"/>
    </xf>
    <xf numFmtId="168" fontId="25" fillId="0" borderId="10">
      <alignment horizontal="right"/>
    </xf>
    <xf numFmtId="0" fontId="26" fillId="0" borderId="8">
      <alignment wrapText="1"/>
    </xf>
    <xf numFmtId="0" fontId="50" fillId="35" borderId="0" applyNumberFormat="0" applyBorder="0" applyAlignment="0" applyProtection="0"/>
    <xf numFmtId="37" fontId="27" fillId="0" borderId="0"/>
    <xf numFmtId="0" fontId="13" fillId="0" borderId="0"/>
    <xf numFmtId="0" fontId="15" fillId="0" borderId="0"/>
    <xf numFmtId="0" fontId="15" fillId="0" borderId="0"/>
    <xf numFmtId="0" fontId="15" fillId="0" borderId="0"/>
    <xf numFmtId="0" fontId="34" fillId="0" borderId="0"/>
    <xf numFmtId="0" fontId="15" fillId="0" borderId="0"/>
    <xf numFmtId="0" fontId="15" fillId="0" borderId="0"/>
    <xf numFmtId="0" fontId="15" fillId="0" borderId="0"/>
    <xf numFmtId="0" fontId="15" fillId="0" borderId="0"/>
    <xf numFmtId="0" fontId="31" fillId="0" borderId="0"/>
    <xf numFmtId="0" fontId="15" fillId="0" borderId="0"/>
    <xf numFmtId="0" fontId="15" fillId="0" borderId="0"/>
    <xf numFmtId="0" fontId="15" fillId="0" borderId="0"/>
    <xf numFmtId="0" fontId="33" fillId="0" borderId="0"/>
    <xf numFmtId="0" fontId="33" fillId="0" borderId="0"/>
    <xf numFmtId="0" fontId="33" fillId="0" borderId="0"/>
    <xf numFmtId="0" fontId="15" fillId="0" borderId="0"/>
    <xf numFmtId="0" fontId="22" fillId="0" borderId="0"/>
    <xf numFmtId="0" fontId="33"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31" fillId="0" borderId="0"/>
    <xf numFmtId="0" fontId="33" fillId="0" borderId="0"/>
    <xf numFmtId="0" fontId="5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22" fillId="0" borderId="0"/>
    <xf numFmtId="0" fontId="15" fillId="0" borderId="0"/>
    <xf numFmtId="0" fontId="15" fillId="0" borderId="0"/>
    <xf numFmtId="0" fontId="15" fillId="0" borderId="0"/>
    <xf numFmtId="0" fontId="57" fillId="0" borderId="0"/>
    <xf numFmtId="0" fontId="57" fillId="0" borderId="0"/>
    <xf numFmtId="0" fontId="33" fillId="0" borderId="0"/>
    <xf numFmtId="0" fontId="57" fillId="0" borderId="0"/>
    <xf numFmtId="0" fontId="15" fillId="36" borderId="11" applyNumberFormat="0" applyFont="0" applyAlignment="0" applyProtection="0"/>
    <xf numFmtId="0" fontId="51" fillId="28" borderId="12" applyNumberFormat="0" applyAlignment="0" applyProtection="0"/>
    <xf numFmtId="10" fontId="13" fillId="0" borderId="0" applyFont="0" applyFill="0" applyBorder="0" applyAlignment="0" applyProtection="0"/>
    <xf numFmtId="10" fontId="15" fillId="0" borderId="0" applyFont="0" applyFill="0" applyBorder="0" applyAlignment="0" applyProtection="0"/>
    <xf numFmtId="10" fontId="15" fillId="0" borderId="0" applyFont="0" applyFill="0" applyBorder="0" applyAlignment="0" applyProtection="0"/>
    <xf numFmtId="10" fontId="34"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15" fillId="0" borderId="0" applyFont="0" applyFill="0" applyBorder="0" applyAlignment="0" applyProtection="0"/>
    <xf numFmtId="9" fontId="33" fillId="0" borderId="0" applyFont="0" applyFill="0" applyBorder="0" applyAlignment="0" applyProtection="0"/>
    <xf numFmtId="9" fontId="57" fillId="0" borderId="0" applyFont="0" applyFill="0" applyBorder="0" applyAlignment="0" applyProtection="0"/>
    <xf numFmtId="9" fontId="33" fillId="0" borderId="0" applyFont="0" applyFill="0" applyBorder="0" applyAlignment="0" applyProtection="0"/>
    <xf numFmtId="14" fontId="20" fillId="0" borderId="0" applyNumberFormat="0" applyFill="0" applyBorder="0" applyAlignment="0" applyProtection="0">
      <alignment horizontal="left"/>
    </xf>
    <xf numFmtId="0" fontId="37" fillId="0" borderId="0" applyNumberFormat="0" applyFill="0" applyBorder="0" applyAlignment="0" applyProtection="0"/>
    <xf numFmtId="0" fontId="28" fillId="0" borderId="8">
      <alignment horizontal="center"/>
    </xf>
    <xf numFmtId="0" fontId="56" fillId="0" borderId="0"/>
    <xf numFmtId="0" fontId="28" fillId="0" borderId="8">
      <alignment horizontal="center"/>
    </xf>
    <xf numFmtId="0" fontId="28" fillId="0" borderId="0">
      <alignment horizontal="center" vertical="center"/>
    </xf>
    <xf numFmtId="0" fontId="29" fillId="37" borderId="0" applyNumberFormat="0" applyFill="0">
      <alignment horizontal="left" vertical="center"/>
    </xf>
    <xf numFmtId="0" fontId="30" fillId="0" borderId="8">
      <alignment horizontal="center" vertical="center" wrapText="1"/>
    </xf>
    <xf numFmtId="40" fontId="21" fillId="0" borderId="0" applyBorder="0">
      <alignment horizontal="right"/>
    </xf>
    <xf numFmtId="171" fontId="15" fillId="0" borderId="0" applyFont="0" applyFill="0" applyBorder="0" applyAlignment="0" applyProtection="0"/>
    <xf numFmtId="171" fontId="15" fillId="0" borderId="0" applyFont="0" applyFill="0" applyBorder="0" applyAlignment="0" applyProtection="0"/>
    <xf numFmtId="171" fontId="15" fillId="0" borderId="0" applyFont="0" applyFill="0" applyBorder="0" applyAlignment="0" applyProtection="0"/>
    <xf numFmtId="0" fontId="22" fillId="0" borderId="0"/>
    <xf numFmtId="0" fontId="15" fillId="0" borderId="0"/>
    <xf numFmtId="0" fontId="15" fillId="0" borderId="0"/>
    <xf numFmtId="0" fontId="15" fillId="0" borderId="0"/>
    <xf numFmtId="40" fontId="38" fillId="0" borderId="0"/>
    <xf numFmtId="0" fontId="52" fillId="0" borderId="0" applyNumberFormat="0" applyFill="0" applyBorder="0" applyAlignment="0" applyProtection="0"/>
    <xf numFmtId="0" fontId="36" fillId="0" borderId="13" applyNumberFormat="0" applyFill="0" applyAlignment="0" applyProtection="0"/>
    <xf numFmtId="0" fontId="15" fillId="0" borderId="14">
      <alignment horizontal="center"/>
    </xf>
    <xf numFmtId="0" fontId="53" fillId="0" borderId="0" applyNumberFormat="0" applyFill="0" applyBorder="0" applyAlignment="0" applyProtection="0"/>
    <xf numFmtId="0" fontId="33" fillId="0" borderId="0"/>
    <xf numFmtId="0" fontId="12" fillId="0" borderId="0"/>
    <xf numFmtId="0" fontId="39" fillId="0" borderId="0"/>
    <xf numFmtId="0" fontId="15" fillId="0" borderId="0"/>
    <xf numFmtId="0" fontId="31" fillId="2" borderId="0" applyNumberFormat="0" applyBorder="0" applyAlignment="0" applyProtection="0"/>
    <xf numFmtId="0" fontId="31" fillId="2" borderId="0" applyNumberFormat="0" applyBorder="0" applyAlignment="0" applyProtection="0"/>
    <xf numFmtId="0" fontId="31" fillId="2" borderId="0" applyNumberFormat="0" applyBorder="0" applyAlignment="0" applyProtection="0"/>
    <xf numFmtId="0" fontId="31" fillId="2" borderId="0" applyNumberFormat="0" applyBorder="0" applyAlignment="0" applyProtection="0"/>
    <xf numFmtId="0" fontId="31" fillId="2" borderId="0" applyNumberFormat="0" applyBorder="0" applyAlignment="0" applyProtection="0"/>
    <xf numFmtId="0" fontId="31" fillId="2" borderId="0" applyNumberFormat="0" applyBorder="0" applyAlignment="0" applyProtection="0"/>
    <xf numFmtId="0" fontId="31" fillId="2" borderId="0" applyNumberFormat="0" applyBorder="0" applyAlignment="0" applyProtection="0"/>
    <xf numFmtId="0" fontId="31" fillId="2" borderId="0" applyNumberFormat="0" applyBorder="0" applyAlignment="0" applyProtection="0"/>
    <xf numFmtId="0" fontId="31" fillId="2" borderId="0" applyNumberFormat="0" applyBorder="0" applyAlignment="0" applyProtection="0"/>
    <xf numFmtId="0" fontId="31" fillId="3" borderId="0" applyNumberFormat="0" applyBorder="0" applyAlignment="0" applyProtection="0"/>
    <xf numFmtId="0" fontId="31" fillId="3" borderId="0" applyNumberFormat="0" applyBorder="0" applyAlignment="0" applyProtection="0"/>
    <xf numFmtId="0" fontId="31" fillId="3" borderId="0" applyNumberFormat="0" applyBorder="0" applyAlignment="0" applyProtection="0"/>
    <xf numFmtId="0" fontId="31" fillId="3" borderId="0" applyNumberFormat="0" applyBorder="0" applyAlignment="0" applyProtection="0"/>
    <xf numFmtId="0" fontId="31" fillId="3" borderId="0" applyNumberFormat="0" applyBorder="0" applyAlignment="0" applyProtection="0"/>
    <xf numFmtId="0" fontId="31" fillId="3" borderId="0" applyNumberFormat="0" applyBorder="0" applyAlignment="0" applyProtection="0"/>
    <xf numFmtId="0" fontId="31" fillId="3" borderId="0" applyNumberFormat="0" applyBorder="0" applyAlignment="0" applyProtection="0"/>
    <xf numFmtId="0" fontId="31" fillId="3" borderId="0" applyNumberFormat="0" applyBorder="0" applyAlignment="0" applyProtection="0"/>
    <xf numFmtId="0" fontId="31" fillId="3" borderId="0" applyNumberFormat="0" applyBorder="0" applyAlignment="0" applyProtection="0"/>
    <xf numFmtId="0" fontId="31" fillId="4" borderId="0" applyNumberFormat="0" applyBorder="0" applyAlignment="0" applyProtection="0"/>
    <xf numFmtId="0" fontId="31" fillId="4" borderId="0" applyNumberFormat="0" applyBorder="0" applyAlignment="0" applyProtection="0"/>
    <xf numFmtId="0" fontId="31" fillId="4" borderId="0" applyNumberFormat="0" applyBorder="0" applyAlignment="0" applyProtection="0"/>
    <xf numFmtId="0" fontId="31" fillId="4" borderId="0" applyNumberFormat="0" applyBorder="0" applyAlignment="0" applyProtection="0"/>
    <xf numFmtId="0" fontId="31" fillId="4" borderId="0" applyNumberFormat="0" applyBorder="0" applyAlignment="0" applyProtection="0"/>
    <xf numFmtId="0" fontId="31" fillId="4" borderId="0" applyNumberFormat="0" applyBorder="0" applyAlignment="0" applyProtection="0"/>
    <xf numFmtId="0" fontId="31" fillId="4" borderId="0" applyNumberFormat="0" applyBorder="0" applyAlignment="0" applyProtection="0"/>
    <xf numFmtId="0" fontId="31" fillId="4" borderId="0" applyNumberFormat="0" applyBorder="0" applyAlignment="0" applyProtection="0"/>
    <xf numFmtId="0" fontId="31" fillId="4" borderId="0" applyNumberFormat="0" applyBorder="0" applyAlignment="0" applyProtection="0"/>
    <xf numFmtId="0" fontId="31" fillId="5" borderId="0" applyNumberFormat="0" applyBorder="0" applyAlignment="0" applyProtection="0"/>
    <xf numFmtId="0" fontId="31" fillId="5" borderId="0" applyNumberFormat="0" applyBorder="0" applyAlignment="0" applyProtection="0"/>
    <xf numFmtId="0" fontId="31" fillId="5" borderId="0" applyNumberFormat="0" applyBorder="0" applyAlignment="0" applyProtection="0"/>
    <xf numFmtId="0" fontId="31" fillId="5" borderId="0" applyNumberFormat="0" applyBorder="0" applyAlignment="0" applyProtection="0"/>
    <xf numFmtId="0" fontId="31" fillId="5" borderId="0" applyNumberFormat="0" applyBorder="0" applyAlignment="0" applyProtection="0"/>
    <xf numFmtId="0" fontId="31" fillId="5" borderId="0" applyNumberFormat="0" applyBorder="0" applyAlignment="0" applyProtection="0"/>
    <xf numFmtId="0" fontId="31" fillId="5" borderId="0" applyNumberFormat="0" applyBorder="0" applyAlignment="0" applyProtection="0"/>
    <xf numFmtId="0" fontId="31" fillId="5" borderId="0" applyNumberFormat="0" applyBorder="0" applyAlignment="0" applyProtection="0"/>
    <xf numFmtId="0" fontId="31" fillId="5" borderId="0" applyNumberFormat="0" applyBorder="0" applyAlignment="0" applyProtection="0"/>
    <xf numFmtId="0" fontId="31" fillId="6" borderId="0" applyNumberFormat="0" applyBorder="0" applyAlignment="0" applyProtection="0"/>
    <xf numFmtId="0" fontId="31" fillId="6" borderId="0" applyNumberFormat="0" applyBorder="0" applyAlignment="0" applyProtection="0"/>
    <xf numFmtId="0" fontId="31" fillId="6" borderId="0" applyNumberFormat="0" applyBorder="0" applyAlignment="0" applyProtection="0"/>
    <xf numFmtId="0" fontId="31" fillId="6" borderId="0" applyNumberFormat="0" applyBorder="0" applyAlignment="0" applyProtection="0"/>
    <xf numFmtId="0" fontId="31" fillId="6" borderId="0" applyNumberFormat="0" applyBorder="0" applyAlignment="0" applyProtection="0"/>
    <xf numFmtId="0" fontId="31" fillId="6" borderId="0" applyNumberFormat="0" applyBorder="0" applyAlignment="0" applyProtection="0"/>
    <xf numFmtId="0" fontId="31" fillId="6" borderId="0" applyNumberFormat="0" applyBorder="0" applyAlignment="0" applyProtection="0"/>
    <xf numFmtId="0" fontId="31" fillId="6" borderId="0" applyNumberFormat="0" applyBorder="0" applyAlignment="0" applyProtection="0"/>
    <xf numFmtId="0" fontId="31" fillId="6" borderId="0" applyNumberFormat="0" applyBorder="0" applyAlignment="0" applyProtection="0"/>
    <xf numFmtId="0" fontId="31" fillId="7" borderId="0" applyNumberFormat="0" applyBorder="0" applyAlignment="0" applyProtection="0"/>
    <xf numFmtId="0" fontId="31" fillId="7" borderId="0" applyNumberFormat="0" applyBorder="0" applyAlignment="0" applyProtection="0"/>
    <xf numFmtId="0" fontId="31" fillId="7" borderId="0" applyNumberFormat="0" applyBorder="0" applyAlignment="0" applyProtection="0"/>
    <xf numFmtId="0" fontId="31" fillId="7" borderId="0" applyNumberFormat="0" applyBorder="0" applyAlignment="0" applyProtection="0"/>
    <xf numFmtId="0" fontId="31" fillId="7" borderId="0" applyNumberFormat="0" applyBorder="0" applyAlignment="0" applyProtection="0"/>
    <xf numFmtId="0" fontId="31" fillId="7" borderId="0" applyNumberFormat="0" applyBorder="0" applyAlignment="0" applyProtection="0"/>
    <xf numFmtId="0" fontId="31" fillId="7" borderId="0" applyNumberFormat="0" applyBorder="0" applyAlignment="0" applyProtection="0"/>
    <xf numFmtId="0" fontId="31" fillId="7" borderId="0" applyNumberFormat="0" applyBorder="0" applyAlignment="0" applyProtection="0"/>
    <xf numFmtId="0" fontId="31" fillId="7" borderId="0" applyNumberFormat="0" applyBorder="0" applyAlignment="0" applyProtection="0"/>
    <xf numFmtId="0" fontId="31" fillId="8" borderId="0" applyNumberFormat="0" applyBorder="0" applyAlignment="0" applyProtection="0"/>
    <xf numFmtId="0" fontId="31" fillId="8" borderId="0" applyNumberFormat="0" applyBorder="0" applyAlignment="0" applyProtection="0"/>
    <xf numFmtId="0" fontId="31" fillId="8" borderId="0" applyNumberFormat="0" applyBorder="0" applyAlignment="0" applyProtection="0"/>
    <xf numFmtId="0" fontId="31" fillId="8" borderId="0" applyNumberFormat="0" applyBorder="0" applyAlignment="0" applyProtection="0"/>
    <xf numFmtId="0" fontId="31" fillId="8" borderId="0" applyNumberFormat="0" applyBorder="0" applyAlignment="0" applyProtection="0"/>
    <xf numFmtId="0" fontId="31" fillId="8" borderId="0" applyNumberFormat="0" applyBorder="0" applyAlignment="0" applyProtection="0"/>
    <xf numFmtId="0" fontId="31" fillId="8" borderId="0" applyNumberFormat="0" applyBorder="0" applyAlignment="0" applyProtection="0"/>
    <xf numFmtId="0" fontId="31" fillId="8" borderId="0" applyNumberFormat="0" applyBorder="0" applyAlignment="0" applyProtection="0"/>
    <xf numFmtId="0" fontId="31" fillId="8" borderId="0" applyNumberFormat="0" applyBorder="0" applyAlignment="0" applyProtection="0"/>
    <xf numFmtId="0" fontId="31" fillId="9" borderId="0" applyNumberFormat="0" applyBorder="0" applyAlignment="0" applyProtection="0"/>
    <xf numFmtId="0" fontId="31" fillId="9" borderId="0" applyNumberFormat="0" applyBorder="0" applyAlignment="0" applyProtection="0"/>
    <xf numFmtId="0" fontId="31" fillId="9" borderId="0" applyNumberFormat="0" applyBorder="0" applyAlignment="0" applyProtection="0"/>
    <xf numFmtId="0" fontId="31" fillId="9" borderId="0" applyNumberFormat="0" applyBorder="0" applyAlignment="0" applyProtection="0"/>
    <xf numFmtId="0" fontId="31" fillId="9" borderId="0" applyNumberFormat="0" applyBorder="0" applyAlignment="0" applyProtection="0"/>
    <xf numFmtId="0" fontId="31" fillId="9" borderId="0" applyNumberFormat="0" applyBorder="0" applyAlignment="0" applyProtection="0"/>
    <xf numFmtId="0" fontId="31" fillId="9" borderId="0" applyNumberFormat="0" applyBorder="0" applyAlignment="0" applyProtection="0"/>
    <xf numFmtId="0" fontId="31" fillId="9" borderId="0" applyNumberFormat="0" applyBorder="0" applyAlignment="0" applyProtection="0"/>
    <xf numFmtId="0" fontId="31" fillId="9" borderId="0" applyNumberFormat="0" applyBorder="0" applyAlignment="0" applyProtection="0"/>
    <xf numFmtId="0" fontId="31" fillId="10" borderId="0" applyNumberFormat="0" applyBorder="0" applyAlignment="0" applyProtection="0"/>
    <xf numFmtId="0" fontId="31" fillId="10" borderId="0" applyNumberFormat="0" applyBorder="0" applyAlignment="0" applyProtection="0"/>
    <xf numFmtId="0" fontId="31" fillId="10" borderId="0" applyNumberFormat="0" applyBorder="0" applyAlignment="0" applyProtection="0"/>
    <xf numFmtId="0" fontId="31" fillId="10" borderId="0" applyNumberFormat="0" applyBorder="0" applyAlignment="0" applyProtection="0"/>
    <xf numFmtId="0" fontId="31" fillId="10" borderId="0" applyNumberFormat="0" applyBorder="0" applyAlignment="0" applyProtection="0"/>
    <xf numFmtId="0" fontId="31" fillId="10" borderId="0" applyNumberFormat="0" applyBorder="0" applyAlignment="0" applyProtection="0"/>
    <xf numFmtId="0" fontId="31" fillId="10" borderId="0" applyNumberFormat="0" applyBorder="0" applyAlignment="0" applyProtection="0"/>
    <xf numFmtId="0" fontId="31" fillId="10" borderId="0" applyNumberFormat="0" applyBorder="0" applyAlignment="0" applyProtection="0"/>
    <xf numFmtId="0" fontId="31" fillId="10" borderId="0" applyNumberFormat="0" applyBorder="0" applyAlignment="0" applyProtection="0"/>
    <xf numFmtId="0" fontId="31" fillId="5" borderId="0" applyNumberFormat="0" applyBorder="0" applyAlignment="0" applyProtection="0"/>
    <xf numFmtId="0" fontId="31" fillId="5" borderId="0" applyNumberFormat="0" applyBorder="0" applyAlignment="0" applyProtection="0"/>
    <xf numFmtId="0" fontId="31" fillId="5" borderId="0" applyNumberFormat="0" applyBorder="0" applyAlignment="0" applyProtection="0"/>
    <xf numFmtId="0" fontId="31" fillId="5" borderId="0" applyNumberFormat="0" applyBorder="0" applyAlignment="0" applyProtection="0"/>
    <xf numFmtId="0" fontId="31" fillId="5" borderId="0" applyNumberFormat="0" applyBorder="0" applyAlignment="0" applyProtection="0"/>
    <xf numFmtId="0" fontId="31" fillId="5" borderId="0" applyNumberFormat="0" applyBorder="0" applyAlignment="0" applyProtection="0"/>
    <xf numFmtId="0" fontId="31" fillId="5" borderId="0" applyNumberFormat="0" applyBorder="0" applyAlignment="0" applyProtection="0"/>
    <xf numFmtId="0" fontId="31" fillId="5" borderId="0" applyNumberFormat="0" applyBorder="0" applyAlignment="0" applyProtection="0"/>
    <xf numFmtId="0" fontId="31" fillId="5" borderId="0" applyNumberFormat="0" applyBorder="0" applyAlignment="0" applyProtection="0"/>
    <xf numFmtId="0" fontId="31" fillId="8" borderId="0" applyNumberFormat="0" applyBorder="0" applyAlignment="0" applyProtection="0"/>
    <xf numFmtId="0" fontId="31" fillId="8" borderId="0" applyNumberFormat="0" applyBorder="0" applyAlignment="0" applyProtection="0"/>
    <xf numFmtId="0" fontId="31" fillId="8" borderId="0" applyNumberFormat="0" applyBorder="0" applyAlignment="0" applyProtection="0"/>
    <xf numFmtId="0" fontId="31" fillId="8" borderId="0" applyNumberFormat="0" applyBorder="0" applyAlignment="0" applyProtection="0"/>
    <xf numFmtId="0" fontId="31" fillId="8" borderId="0" applyNumberFormat="0" applyBorder="0" applyAlignment="0" applyProtection="0"/>
    <xf numFmtId="0" fontId="31" fillId="8" borderId="0" applyNumberFormat="0" applyBorder="0" applyAlignment="0" applyProtection="0"/>
    <xf numFmtId="0" fontId="31" fillId="8" borderId="0" applyNumberFormat="0" applyBorder="0" applyAlignment="0" applyProtection="0"/>
    <xf numFmtId="0" fontId="31" fillId="8" borderId="0" applyNumberFormat="0" applyBorder="0" applyAlignment="0" applyProtection="0"/>
    <xf numFmtId="0" fontId="31" fillId="8" borderId="0" applyNumberFormat="0" applyBorder="0" applyAlignment="0" applyProtection="0"/>
    <xf numFmtId="0" fontId="31" fillId="11" borderId="0" applyNumberFormat="0" applyBorder="0" applyAlignment="0" applyProtection="0"/>
    <xf numFmtId="0" fontId="31" fillId="11" borderId="0" applyNumberFormat="0" applyBorder="0" applyAlignment="0" applyProtection="0"/>
    <xf numFmtId="0" fontId="31" fillId="11" borderId="0" applyNumberFormat="0" applyBorder="0" applyAlignment="0" applyProtection="0"/>
    <xf numFmtId="0" fontId="31" fillId="11" borderId="0" applyNumberFormat="0" applyBorder="0" applyAlignment="0" applyProtection="0"/>
    <xf numFmtId="0" fontId="31" fillId="11" borderId="0" applyNumberFormat="0" applyBorder="0" applyAlignment="0" applyProtection="0"/>
    <xf numFmtId="0" fontId="31" fillId="11" borderId="0" applyNumberFormat="0" applyBorder="0" applyAlignment="0" applyProtection="0"/>
    <xf numFmtId="0" fontId="31" fillId="11" borderId="0" applyNumberFormat="0" applyBorder="0" applyAlignment="0" applyProtection="0"/>
    <xf numFmtId="0" fontId="31" fillId="11" borderId="0" applyNumberFormat="0" applyBorder="0" applyAlignment="0" applyProtection="0"/>
    <xf numFmtId="0" fontId="31" fillId="11" borderId="0" applyNumberFormat="0" applyBorder="0" applyAlignment="0" applyProtection="0"/>
    <xf numFmtId="0" fontId="35" fillId="12" borderId="0" applyNumberFormat="0" applyBorder="0" applyAlignment="0" applyProtection="0"/>
    <xf numFmtId="0" fontId="35" fillId="12" borderId="0" applyNumberFormat="0" applyBorder="0" applyAlignment="0" applyProtection="0"/>
    <xf numFmtId="0" fontId="35" fillId="12" borderId="0" applyNumberFormat="0" applyBorder="0" applyAlignment="0" applyProtection="0"/>
    <xf numFmtId="0" fontId="35" fillId="12" borderId="0" applyNumberFormat="0" applyBorder="0" applyAlignment="0" applyProtection="0"/>
    <xf numFmtId="0" fontId="35" fillId="12" borderId="0" applyNumberFormat="0" applyBorder="0" applyAlignment="0" applyProtection="0"/>
    <xf numFmtId="0" fontId="35" fillId="12" borderId="0" applyNumberFormat="0" applyBorder="0" applyAlignment="0" applyProtection="0"/>
    <xf numFmtId="0" fontId="35" fillId="12" borderId="0" applyNumberFormat="0" applyBorder="0" applyAlignment="0" applyProtection="0"/>
    <xf numFmtId="0" fontId="35" fillId="12" borderId="0" applyNumberFormat="0" applyBorder="0" applyAlignment="0" applyProtection="0"/>
    <xf numFmtId="0" fontId="35" fillId="12" borderId="0" applyNumberFormat="0" applyBorder="0" applyAlignment="0" applyProtection="0"/>
    <xf numFmtId="0" fontId="35" fillId="9" borderId="0" applyNumberFormat="0" applyBorder="0" applyAlignment="0" applyProtection="0"/>
    <xf numFmtId="0" fontId="35" fillId="9" borderId="0" applyNumberFormat="0" applyBorder="0" applyAlignment="0" applyProtection="0"/>
    <xf numFmtId="0" fontId="35" fillId="9" borderId="0" applyNumberFormat="0" applyBorder="0" applyAlignment="0" applyProtection="0"/>
    <xf numFmtId="0" fontId="35" fillId="9" borderId="0" applyNumberFormat="0" applyBorder="0" applyAlignment="0" applyProtection="0"/>
    <xf numFmtId="0" fontId="35" fillId="9" borderId="0" applyNumberFormat="0" applyBorder="0" applyAlignment="0" applyProtection="0"/>
    <xf numFmtId="0" fontId="35" fillId="9" borderId="0" applyNumberFormat="0" applyBorder="0" applyAlignment="0" applyProtection="0"/>
    <xf numFmtId="0" fontId="35" fillId="9" borderId="0" applyNumberFormat="0" applyBorder="0" applyAlignment="0" applyProtection="0"/>
    <xf numFmtId="0" fontId="35" fillId="9" borderId="0" applyNumberFormat="0" applyBorder="0" applyAlignment="0" applyProtection="0"/>
    <xf numFmtId="0" fontId="35" fillId="9" borderId="0" applyNumberFormat="0" applyBorder="0" applyAlignment="0" applyProtection="0"/>
    <xf numFmtId="0" fontId="35" fillId="10" borderId="0" applyNumberFormat="0" applyBorder="0" applyAlignment="0" applyProtection="0"/>
    <xf numFmtId="0" fontId="35" fillId="10" borderId="0" applyNumberFormat="0" applyBorder="0" applyAlignment="0" applyProtection="0"/>
    <xf numFmtId="0" fontId="35" fillId="10" borderId="0" applyNumberFormat="0" applyBorder="0" applyAlignment="0" applyProtection="0"/>
    <xf numFmtId="0" fontId="35" fillId="10" borderId="0" applyNumberFormat="0" applyBorder="0" applyAlignment="0" applyProtection="0"/>
    <xf numFmtId="0" fontId="35" fillId="10" borderId="0" applyNumberFormat="0" applyBorder="0" applyAlignment="0" applyProtection="0"/>
    <xf numFmtId="0" fontId="35" fillId="10" borderId="0" applyNumberFormat="0" applyBorder="0" applyAlignment="0" applyProtection="0"/>
    <xf numFmtId="0" fontId="35" fillId="10" borderId="0" applyNumberFormat="0" applyBorder="0" applyAlignment="0" applyProtection="0"/>
    <xf numFmtId="0" fontId="35" fillId="10" borderId="0" applyNumberFormat="0" applyBorder="0" applyAlignment="0" applyProtection="0"/>
    <xf numFmtId="0" fontId="35" fillId="10" borderId="0" applyNumberFormat="0" applyBorder="0" applyAlignment="0" applyProtection="0"/>
    <xf numFmtId="0" fontId="35" fillId="13" borderId="0" applyNumberFormat="0" applyBorder="0" applyAlignment="0" applyProtection="0"/>
    <xf numFmtId="0" fontId="35" fillId="13" borderId="0" applyNumberFormat="0" applyBorder="0" applyAlignment="0" applyProtection="0"/>
    <xf numFmtId="0" fontId="35" fillId="13" borderId="0" applyNumberFormat="0" applyBorder="0" applyAlignment="0" applyProtection="0"/>
    <xf numFmtId="0" fontId="35" fillId="13" borderId="0" applyNumberFormat="0" applyBorder="0" applyAlignment="0" applyProtection="0"/>
    <xf numFmtId="0" fontId="35" fillId="13" borderId="0" applyNumberFormat="0" applyBorder="0" applyAlignment="0" applyProtection="0"/>
    <xf numFmtId="0" fontId="35" fillId="13" borderId="0" applyNumberFormat="0" applyBorder="0" applyAlignment="0" applyProtection="0"/>
    <xf numFmtId="0" fontId="35" fillId="13" borderId="0" applyNumberFormat="0" applyBorder="0" applyAlignment="0" applyProtection="0"/>
    <xf numFmtId="0" fontId="35" fillId="13" borderId="0" applyNumberFormat="0" applyBorder="0" applyAlignment="0" applyProtection="0"/>
    <xf numFmtId="0" fontId="35" fillId="13" borderId="0" applyNumberFormat="0" applyBorder="0" applyAlignment="0" applyProtection="0"/>
    <xf numFmtId="0" fontId="35" fillId="14" borderId="0" applyNumberFormat="0" applyBorder="0" applyAlignment="0" applyProtection="0"/>
    <xf numFmtId="0" fontId="35" fillId="14" borderId="0" applyNumberFormat="0" applyBorder="0" applyAlignment="0" applyProtection="0"/>
    <xf numFmtId="0" fontId="35" fillId="14" borderId="0" applyNumberFormat="0" applyBorder="0" applyAlignment="0" applyProtection="0"/>
    <xf numFmtId="0" fontId="35" fillId="14" borderId="0" applyNumberFormat="0" applyBorder="0" applyAlignment="0" applyProtection="0"/>
    <xf numFmtId="0" fontId="35" fillId="14" borderId="0" applyNumberFormat="0" applyBorder="0" applyAlignment="0" applyProtection="0"/>
    <xf numFmtId="0" fontId="35" fillId="14" borderId="0" applyNumberFormat="0" applyBorder="0" applyAlignment="0" applyProtection="0"/>
    <xf numFmtId="0" fontId="35" fillId="14" borderId="0" applyNumberFormat="0" applyBorder="0" applyAlignment="0" applyProtection="0"/>
    <xf numFmtId="0" fontId="35" fillId="14" borderId="0" applyNumberFormat="0" applyBorder="0" applyAlignment="0" applyProtection="0"/>
    <xf numFmtId="0" fontId="35" fillId="14" borderId="0" applyNumberFormat="0" applyBorder="0" applyAlignment="0" applyProtection="0"/>
    <xf numFmtId="0" fontId="35" fillId="15" borderId="0" applyNumberFormat="0" applyBorder="0" applyAlignment="0" applyProtection="0"/>
    <xf numFmtId="0" fontId="35" fillId="15" borderId="0" applyNumberFormat="0" applyBorder="0" applyAlignment="0" applyProtection="0"/>
    <xf numFmtId="0" fontId="35" fillId="15" borderId="0" applyNumberFormat="0" applyBorder="0" applyAlignment="0" applyProtection="0"/>
    <xf numFmtId="0" fontId="35" fillId="15" borderId="0" applyNumberFormat="0" applyBorder="0" applyAlignment="0" applyProtection="0"/>
    <xf numFmtId="0" fontId="35" fillId="15" borderId="0" applyNumberFormat="0" applyBorder="0" applyAlignment="0" applyProtection="0"/>
    <xf numFmtId="0" fontId="35" fillId="15" borderId="0" applyNumberFormat="0" applyBorder="0" applyAlignment="0" applyProtection="0"/>
    <xf numFmtId="0" fontId="35" fillId="15" borderId="0" applyNumberFormat="0" applyBorder="0" applyAlignment="0" applyProtection="0"/>
    <xf numFmtId="0" fontId="35" fillId="15" borderId="0" applyNumberFormat="0" applyBorder="0" applyAlignment="0" applyProtection="0"/>
    <xf numFmtId="0" fontId="35" fillId="15" borderId="0" applyNumberFormat="0" applyBorder="0" applyAlignment="0" applyProtection="0"/>
    <xf numFmtId="0" fontId="31" fillId="17" borderId="0" applyNumberFormat="0" applyBorder="0" applyAlignment="0" applyProtection="0"/>
    <xf numFmtId="0" fontId="31" fillId="17" borderId="0" applyNumberFormat="0" applyBorder="0" applyAlignment="0" applyProtection="0"/>
    <xf numFmtId="0" fontId="31" fillId="17" borderId="0" applyNumberFormat="0" applyBorder="0" applyAlignment="0" applyProtection="0"/>
    <xf numFmtId="0" fontId="31" fillId="17" borderId="0" applyNumberFormat="0" applyBorder="0" applyAlignment="0" applyProtection="0"/>
    <xf numFmtId="0" fontId="31" fillId="17" borderId="0" applyNumberFormat="0" applyBorder="0" applyAlignment="0" applyProtection="0"/>
    <xf numFmtId="0" fontId="31" fillId="17" borderId="0" applyNumberFormat="0" applyBorder="0" applyAlignment="0" applyProtection="0"/>
    <xf numFmtId="0" fontId="35" fillId="39" borderId="0" applyNumberFormat="0" applyBorder="0" applyAlignment="0" applyProtection="0"/>
    <xf numFmtId="0" fontId="35" fillId="39" borderId="0" applyNumberFormat="0" applyBorder="0" applyAlignment="0" applyProtection="0"/>
    <xf numFmtId="0" fontId="35" fillId="39" borderId="0" applyNumberFormat="0" applyBorder="0" applyAlignment="0" applyProtection="0"/>
    <xf numFmtId="0" fontId="35" fillId="39" borderId="0" applyNumberFormat="0" applyBorder="0" applyAlignment="0" applyProtection="0"/>
    <xf numFmtId="0" fontId="35" fillId="39" borderId="0" applyNumberFormat="0" applyBorder="0" applyAlignment="0" applyProtection="0"/>
    <xf numFmtId="0" fontId="35" fillId="39" borderId="0" applyNumberFormat="0" applyBorder="0" applyAlignment="0" applyProtection="0"/>
    <xf numFmtId="0" fontId="35" fillId="16" borderId="0" applyNumberFormat="0" applyBorder="0" applyAlignment="0" applyProtection="0"/>
    <xf numFmtId="0" fontId="35" fillId="39" borderId="0" applyNumberFormat="0" applyBorder="0" applyAlignment="0" applyProtection="0"/>
    <xf numFmtId="0" fontId="35" fillId="16" borderId="0" applyNumberFormat="0" applyBorder="0" applyAlignment="0" applyProtection="0"/>
    <xf numFmtId="0" fontId="35" fillId="16" borderId="0" applyNumberFormat="0" applyBorder="0" applyAlignment="0" applyProtection="0"/>
    <xf numFmtId="0" fontId="35" fillId="39" borderId="0" applyNumberFormat="0" applyBorder="0" applyAlignment="0" applyProtection="0"/>
    <xf numFmtId="0" fontId="35" fillId="39" borderId="0" applyNumberFormat="0" applyBorder="0" applyAlignment="0" applyProtection="0"/>
    <xf numFmtId="0" fontId="35" fillId="39" borderId="0" applyNumberFormat="0" applyBorder="0" applyAlignment="0" applyProtection="0"/>
    <xf numFmtId="0" fontId="35" fillId="39" borderId="0" applyNumberFormat="0" applyBorder="0" applyAlignment="0" applyProtection="0"/>
    <xf numFmtId="0" fontId="35" fillId="39" borderId="0" applyNumberFormat="0" applyBorder="0" applyAlignment="0" applyProtection="0"/>
    <xf numFmtId="0" fontId="35" fillId="39" borderId="0" applyNumberFormat="0" applyBorder="0" applyAlignment="0" applyProtection="0"/>
    <xf numFmtId="0" fontId="35" fillId="39" borderId="0" applyNumberFormat="0" applyBorder="0" applyAlignment="0" applyProtection="0"/>
    <xf numFmtId="0" fontId="31" fillId="20" borderId="0" applyNumberFormat="0" applyBorder="0" applyAlignment="0" applyProtection="0"/>
    <xf numFmtId="0" fontId="31" fillId="20" borderId="0" applyNumberFormat="0" applyBorder="0" applyAlignment="0" applyProtection="0"/>
    <xf numFmtId="0" fontId="31" fillId="20" borderId="0" applyNumberFormat="0" applyBorder="0" applyAlignment="0" applyProtection="0"/>
    <xf numFmtId="0" fontId="31" fillId="21" borderId="0" applyNumberFormat="0" applyBorder="0" applyAlignment="0" applyProtection="0"/>
    <xf numFmtId="0" fontId="31" fillId="21" borderId="0" applyNumberFormat="0" applyBorder="0" applyAlignment="0" applyProtection="0"/>
    <xf numFmtId="0" fontId="31" fillId="21" borderId="0" applyNumberFormat="0" applyBorder="0" applyAlignment="0" applyProtection="0"/>
    <xf numFmtId="0" fontId="35" fillId="40" borderId="0" applyNumberFormat="0" applyBorder="0" applyAlignment="0" applyProtection="0"/>
    <xf numFmtId="0" fontId="35" fillId="40" borderId="0" applyNumberFormat="0" applyBorder="0" applyAlignment="0" applyProtection="0"/>
    <xf numFmtId="0" fontId="35" fillId="40" borderId="0" applyNumberFormat="0" applyBorder="0" applyAlignment="0" applyProtection="0"/>
    <xf numFmtId="0" fontId="35" fillId="40" borderId="0" applyNumberFormat="0" applyBorder="0" applyAlignment="0" applyProtection="0"/>
    <xf numFmtId="0" fontId="35" fillId="40" borderId="0" applyNumberFormat="0" applyBorder="0" applyAlignment="0" applyProtection="0"/>
    <xf numFmtId="0" fontId="35" fillId="40" borderId="0" applyNumberFormat="0" applyBorder="0" applyAlignment="0" applyProtection="0"/>
    <xf numFmtId="0" fontId="35" fillId="19" borderId="0" applyNumberFormat="0" applyBorder="0" applyAlignment="0" applyProtection="0"/>
    <xf numFmtId="0" fontId="35" fillId="40" borderId="0" applyNumberFormat="0" applyBorder="0" applyAlignment="0" applyProtection="0"/>
    <xf numFmtId="0" fontId="35" fillId="19" borderId="0" applyNumberFormat="0" applyBorder="0" applyAlignment="0" applyProtection="0"/>
    <xf numFmtId="0" fontId="35" fillId="19" borderId="0" applyNumberFormat="0" applyBorder="0" applyAlignment="0" applyProtection="0"/>
    <xf numFmtId="0" fontId="35" fillId="40" borderId="0" applyNumberFormat="0" applyBorder="0" applyAlignment="0" applyProtection="0"/>
    <xf numFmtId="0" fontId="35" fillId="40" borderId="0" applyNumberFormat="0" applyBorder="0" applyAlignment="0" applyProtection="0"/>
    <xf numFmtId="0" fontId="35" fillId="40" borderId="0" applyNumberFormat="0" applyBorder="0" applyAlignment="0" applyProtection="0"/>
    <xf numFmtId="0" fontId="35" fillId="40" borderId="0" applyNumberFormat="0" applyBorder="0" applyAlignment="0" applyProtection="0"/>
    <xf numFmtId="0" fontId="35" fillId="40" borderId="0" applyNumberFormat="0" applyBorder="0" applyAlignment="0" applyProtection="0"/>
    <xf numFmtId="0" fontId="35" fillId="40" borderId="0" applyNumberFormat="0" applyBorder="0" applyAlignment="0" applyProtection="0"/>
    <xf numFmtId="0" fontId="35" fillId="40" borderId="0" applyNumberFormat="0" applyBorder="0" applyAlignment="0" applyProtection="0"/>
    <xf numFmtId="0" fontId="31" fillId="20" borderId="0" applyNumberFormat="0" applyBorder="0" applyAlignment="0" applyProtection="0"/>
    <xf numFmtId="0" fontId="31" fillId="20" borderId="0" applyNumberFormat="0" applyBorder="0" applyAlignment="0" applyProtection="0"/>
    <xf numFmtId="0" fontId="31" fillId="20" borderId="0" applyNumberFormat="0" applyBorder="0" applyAlignment="0" applyProtection="0"/>
    <xf numFmtId="0" fontId="31" fillId="24" borderId="0" applyNumberFormat="0" applyBorder="0" applyAlignment="0" applyProtection="0"/>
    <xf numFmtId="0" fontId="31" fillId="24" borderId="0" applyNumberFormat="0" applyBorder="0" applyAlignment="0" applyProtection="0"/>
    <xf numFmtId="0" fontId="31" fillId="24" borderId="0" applyNumberFormat="0" applyBorder="0" applyAlignment="0" applyProtection="0"/>
    <xf numFmtId="0" fontId="35" fillId="22" borderId="0" applyNumberFormat="0" applyBorder="0" applyAlignment="0" applyProtection="0"/>
    <xf numFmtId="0" fontId="35" fillId="22" borderId="0" applyNumberFormat="0" applyBorder="0" applyAlignment="0" applyProtection="0"/>
    <xf numFmtId="0" fontId="35" fillId="22" borderId="0" applyNumberFormat="0" applyBorder="0" applyAlignment="0" applyProtection="0"/>
    <xf numFmtId="0" fontId="35" fillId="22" borderId="0" applyNumberFormat="0" applyBorder="0" applyAlignment="0" applyProtection="0"/>
    <xf numFmtId="0" fontId="35" fillId="22" borderId="0" applyNumberFormat="0" applyBorder="0" applyAlignment="0" applyProtection="0"/>
    <xf numFmtId="0" fontId="35" fillId="22" borderId="0" applyNumberFormat="0" applyBorder="0" applyAlignment="0" applyProtection="0"/>
    <xf numFmtId="0" fontId="35" fillId="23" borderId="0" applyNumberFormat="0" applyBorder="0" applyAlignment="0" applyProtection="0"/>
    <xf numFmtId="0" fontId="35" fillId="22" borderId="0" applyNumberFormat="0" applyBorder="0" applyAlignment="0" applyProtection="0"/>
    <xf numFmtId="0" fontId="35" fillId="23" borderId="0" applyNumberFormat="0" applyBorder="0" applyAlignment="0" applyProtection="0"/>
    <xf numFmtId="0" fontId="35" fillId="23" borderId="0" applyNumberFormat="0" applyBorder="0" applyAlignment="0" applyProtection="0"/>
    <xf numFmtId="0" fontId="35" fillId="22" borderId="0" applyNumberFormat="0" applyBorder="0" applyAlignment="0" applyProtection="0"/>
    <xf numFmtId="0" fontId="35" fillId="22" borderId="0" applyNumberFormat="0" applyBorder="0" applyAlignment="0" applyProtection="0"/>
    <xf numFmtId="0" fontId="35" fillId="22" borderId="0" applyNumberFormat="0" applyBorder="0" applyAlignment="0" applyProtection="0"/>
    <xf numFmtId="0" fontId="35" fillId="22" borderId="0" applyNumberFormat="0" applyBorder="0" applyAlignment="0" applyProtection="0"/>
    <xf numFmtId="0" fontId="35" fillId="22" borderId="0" applyNumberFormat="0" applyBorder="0" applyAlignment="0" applyProtection="0"/>
    <xf numFmtId="0" fontId="35" fillId="22" borderId="0" applyNumberFormat="0" applyBorder="0" applyAlignment="0" applyProtection="0"/>
    <xf numFmtId="0" fontId="35" fillId="22" borderId="0" applyNumberFormat="0" applyBorder="0" applyAlignment="0" applyProtection="0"/>
    <xf numFmtId="0" fontId="31" fillId="17" borderId="0" applyNumberFormat="0" applyBorder="0" applyAlignment="0" applyProtection="0"/>
    <xf numFmtId="0" fontId="31" fillId="17" borderId="0" applyNumberFormat="0" applyBorder="0" applyAlignment="0" applyProtection="0"/>
    <xf numFmtId="0" fontId="31" fillId="17" borderId="0" applyNumberFormat="0" applyBorder="0" applyAlignment="0" applyProtection="0"/>
    <xf numFmtId="0" fontId="31" fillId="21" borderId="0" applyNumberFormat="0" applyBorder="0" applyAlignment="0" applyProtection="0"/>
    <xf numFmtId="0" fontId="31" fillId="21" borderId="0" applyNumberFormat="0" applyBorder="0" applyAlignment="0" applyProtection="0"/>
    <xf numFmtId="0" fontId="31" fillId="21" borderId="0" applyNumberFormat="0" applyBorder="0" applyAlignment="0" applyProtection="0"/>
    <xf numFmtId="0" fontId="35" fillId="39" borderId="0" applyNumberFormat="0" applyBorder="0" applyAlignment="0" applyProtection="0"/>
    <xf numFmtId="0" fontId="35" fillId="39" borderId="0" applyNumberFormat="0" applyBorder="0" applyAlignment="0" applyProtection="0"/>
    <xf numFmtId="0" fontId="35" fillId="39" borderId="0" applyNumberFormat="0" applyBorder="0" applyAlignment="0" applyProtection="0"/>
    <xf numFmtId="0" fontId="35" fillId="39" borderId="0" applyNumberFormat="0" applyBorder="0" applyAlignment="0" applyProtection="0"/>
    <xf numFmtId="0" fontId="35" fillId="39" borderId="0" applyNumberFormat="0" applyBorder="0" applyAlignment="0" applyProtection="0"/>
    <xf numFmtId="0" fontId="35" fillId="39" borderId="0" applyNumberFormat="0" applyBorder="0" applyAlignment="0" applyProtection="0"/>
    <xf numFmtId="0" fontId="35" fillId="13" borderId="0" applyNumberFormat="0" applyBorder="0" applyAlignment="0" applyProtection="0"/>
    <xf numFmtId="0" fontId="35" fillId="39" borderId="0" applyNumberFormat="0" applyBorder="0" applyAlignment="0" applyProtection="0"/>
    <xf numFmtId="0" fontId="35" fillId="13" borderId="0" applyNumberFormat="0" applyBorder="0" applyAlignment="0" applyProtection="0"/>
    <xf numFmtId="0" fontId="35" fillId="13" borderId="0" applyNumberFormat="0" applyBorder="0" applyAlignment="0" applyProtection="0"/>
    <xf numFmtId="0" fontId="35" fillId="39" borderId="0" applyNumberFormat="0" applyBorder="0" applyAlignment="0" applyProtection="0"/>
    <xf numFmtId="0" fontId="35" fillId="39" borderId="0" applyNumberFormat="0" applyBorder="0" applyAlignment="0" applyProtection="0"/>
    <xf numFmtId="0" fontId="35" fillId="39" borderId="0" applyNumberFormat="0" applyBorder="0" applyAlignment="0" applyProtection="0"/>
    <xf numFmtId="0" fontId="35" fillId="39" borderId="0" applyNumberFormat="0" applyBorder="0" applyAlignment="0" applyProtection="0"/>
    <xf numFmtId="0" fontId="35" fillId="39" borderId="0" applyNumberFormat="0" applyBorder="0" applyAlignment="0" applyProtection="0"/>
    <xf numFmtId="0" fontId="35" fillId="39" borderId="0" applyNumberFormat="0" applyBorder="0" applyAlignment="0" applyProtection="0"/>
    <xf numFmtId="0" fontId="35" fillId="39" borderId="0" applyNumberFormat="0" applyBorder="0" applyAlignment="0" applyProtection="0"/>
    <xf numFmtId="0" fontId="31" fillId="25" borderId="0" applyNumberFormat="0" applyBorder="0" applyAlignment="0" applyProtection="0"/>
    <xf numFmtId="0" fontId="31" fillId="25" borderId="0" applyNumberFormat="0" applyBorder="0" applyAlignment="0" applyProtection="0"/>
    <xf numFmtId="0" fontId="31" fillId="25" borderId="0" applyNumberFormat="0" applyBorder="0" applyAlignment="0" applyProtection="0"/>
    <xf numFmtId="0" fontId="31" fillId="17" borderId="0" applyNumberFormat="0" applyBorder="0" applyAlignment="0" applyProtection="0"/>
    <xf numFmtId="0" fontId="31" fillId="17" borderId="0" applyNumberFormat="0" applyBorder="0" applyAlignment="0" applyProtection="0"/>
    <xf numFmtId="0" fontId="31" fillId="17" borderId="0" applyNumberFormat="0" applyBorder="0" applyAlignment="0" applyProtection="0"/>
    <xf numFmtId="0" fontId="35" fillId="41" borderId="0" applyNumberFormat="0" applyBorder="0" applyAlignment="0" applyProtection="0"/>
    <xf numFmtId="0" fontId="35" fillId="41" borderId="0" applyNumberFormat="0" applyBorder="0" applyAlignment="0" applyProtection="0"/>
    <xf numFmtId="0" fontId="35" fillId="41" borderId="0" applyNumberFormat="0" applyBorder="0" applyAlignment="0" applyProtection="0"/>
    <xf numFmtId="0" fontId="35" fillId="41" borderId="0" applyNumberFormat="0" applyBorder="0" applyAlignment="0" applyProtection="0"/>
    <xf numFmtId="0" fontId="35" fillId="41" borderId="0" applyNumberFormat="0" applyBorder="0" applyAlignment="0" applyProtection="0"/>
    <xf numFmtId="0" fontId="35" fillId="41" borderId="0" applyNumberFormat="0" applyBorder="0" applyAlignment="0" applyProtection="0"/>
    <xf numFmtId="0" fontId="35" fillId="14" borderId="0" applyNumberFormat="0" applyBorder="0" applyAlignment="0" applyProtection="0"/>
    <xf numFmtId="0" fontId="35" fillId="41" borderId="0" applyNumberFormat="0" applyBorder="0" applyAlignment="0" applyProtection="0"/>
    <xf numFmtId="0" fontId="35" fillId="14" borderId="0" applyNumberFormat="0" applyBorder="0" applyAlignment="0" applyProtection="0"/>
    <xf numFmtId="0" fontId="35" fillId="14" borderId="0" applyNumberFormat="0" applyBorder="0" applyAlignment="0" applyProtection="0"/>
    <xf numFmtId="0" fontId="35" fillId="41" borderId="0" applyNumberFormat="0" applyBorder="0" applyAlignment="0" applyProtection="0"/>
    <xf numFmtId="0" fontId="35" fillId="41" borderId="0" applyNumberFormat="0" applyBorder="0" applyAlignment="0" applyProtection="0"/>
    <xf numFmtId="0" fontId="35" fillId="41" borderId="0" applyNumberFormat="0" applyBorder="0" applyAlignment="0" applyProtection="0"/>
    <xf numFmtId="0" fontId="35" fillId="41" borderId="0" applyNumberFormat="0" applyBorder="0" applyAlignment="0" applyProtection="0"/>
    <xf numFmtId="0" fontId="35" fillId="41" borderId="0" applyNumberFormat="0" applyBorder="0" applyAlignment="0" applyProtection="0"/>
    <xf numFmtId="0" fontId="35" fillId="41" borderId="0" applyNumberFormat="0" applyBorder="0" applyAlignment="0" applyProtection="0"/>
    <xf numFmtId="0" fontId="35" fillId="41" borderId="0" applyNumberFormat="0" applyBorder="0" applyAlignment="0" applyProtection="0"/>
    <xf numFmtId="0" fontId="31" fillId="20" borderId="0" applyNumberFormat="0" applyBorder="0" applyAlignment="0" applyProtection="0"/>
    <xf numFmtId="0" fontId="31" fillId="20" borderId="0" applyNumberFormat="0" applyBorder="0" applyAlignment="0" applyProtection="0"/>
    <xf numFmtId="0" fontId="31" fillId="20" borderId="0" applyNumberFormat="0" applyBorder="0" applyAlignment="0" applyProtection="0"/>
    <xf numFmtId="0" fontId="31" fillId="27" borderId="0" applyNumberFormat="0" applyBorder="0" applyAlignment="0" applyProtection="0"/>
    <xf numFmtId="0" fontId="31" fillId="27" borderId="0" applyNumberFormat="0" applyBorder="0" applyAlignment="0" applyProtection="0"/>
    <xf numFmtId="0" fontId="31" fillId="27" borderId="0" applyNumberFormat="0" applyBorder="0" applyAlignment="0" applyProtection="0"/>
    <xf numFmtId="0" fontId="35" fillId="42" borderId="0" applyNumberFormat="0" applyBorder="0" applyAlignment="0" applyProtection="0"/>
    <xf numFmtId="0" fontId="35" fillId="42" borderId="0" applyNumberFormat="0" applyBorder="0" applyAlignment="0" applyProtection="0"/>
    <xf numFmtId="0" fontId="35" fillId="42" borderId="0" applyNumberFormat="0" applyBorder="0" applyAlignment="0" applyProtection="0"/>
    <xf numFmtId="0" fontId="35" fillId="42" borderId="0" applyNumberFormat="0" applyBorder="0" applyAlignment="0" applyProtection="0"/>
    <xf numFmtId="0" fontId="35" fillId="42" borderId="0" applyNumberFormat="0" applyBorder="0" applyAlignment="0" applyProtection="0"/>
    <xf numFmtId="0" fontId="35" fillId="42" borderId="0" applyNumberFormat="0" applyBorder="0" applyAlignment="0" applyProtection="0"/>
    <xf numFmtId="0" fontId="35" fillId="26" borderId="0" applyNumberFormat="0" applyBorder="0" applyAlignment="0" applyProtection="0"/>
    <xf numFmtId="0" fontId="35" fillId="42" borderId="0" applyNumberFormat="0" applyBorder="0" applyAlignment="0" applyProtection="0"/>
    <xf numFmtId="0" fontId="35" fillId="26" borderId="0" applyNumberFormat="0" applyBorder="0" applyAlignment="0" applyProtection="0"/>
    <xf numFmtId="0" fontId="35" fillId="26" borderId="0" applyNumberFormat="0" applyBorder="0" applyAlignment="0" applyProtection="0"/>
    <xf numFmtId="0" fontId="35" fillId="42" borderId="0" applyNumberFormat="0" applyBorder="0" applyAlignment="0" applyProtection="0"/>
    <xf numFmtId="0" fontId="35" fillId="42" borderId="0" applyNumberFormat="0" applyBorder="0" applyAlignment="0" applyProtection="0"/>
    <xf numFmtId="0" fontId="35" fillId="42" borderId="0" applyNumberFormat="0" applyBorder="0" applyAlignment="0" applyProtection="0"/>
    <xf numFmtId="0" fontId="35" fillId="42" borderId="0" applyNumberFormat="0" applyBorder="0" applyAlignment="0" applyProtection="0"/>
    <xf numFmtId="0" fontId="35" fillId="42" borderId="0" applyNumberFormat="0" applyBorder="0" applyAlignment="0" applyProtection="0"/>
    <xf numFmtId="0" fontId="35" fillId="42" borderId="0" applyNumberFormat="0" applyBorder="0" applyAlignment="0" applyProtection="0"/>
    <xf numFmtId="0" fontId="35" fillId="42" borderId="0" applyNumberFormat="0" applyBorder="0" applyAlignment="0" applyProtection="0"/>
    <xf numFmtId="0" fontId="71" fillId="43" borderId="0" applyNumberFormat="0" applyBorder="0" applyAlignment="0" applyProtection="0"/>
    <xf numFmtId="0" fontId="71" fillId="43" borderId="0" applyNumberFormat="0" applyBorder="0" applyAlignment="0" applyProtection="0"/>
    <xf numFmtId="0" fontId="71" fillId="43" borderId="0" applyNumberFormat="0" applyBorder="0" applyAlignment="0" applyProtection="0"/>
    <xf numFmtId="0" fontId="71" fillId="43" borderId="0" applyNumberFormat="0" applyBorder="0" applyAlignment="0" applyProtection="0"/>
    <xf numFmtId="0" fontId="71" fillId="43" borderId="0" applyNumberFormat="0" applyBorder="0" applyAlignment="0" applyProtection="0"/>
    <xf numFmtId="0" fontId="71" fillId="43" borderId="0" applyNumberFormat="0" applyBorder="0" applyAlignment="0" applyProtection="0"/>
    <xf numFmtId="0" fontId="40" fillId="3" borderId="0" applyNumberFormat="0" applyBorder="0" applyAlignment="0" applyProtection="0"/>
    <xf numFmtId="0" fontId="71" fillId="43" borderId="0" applyNumberFormat="0" applyBorder="0" applyAlignment="0" applyProtection="0"/>
    <xf numFmtId="0" fontId="40" fillId="3" borderId="0" applyNumberFormat="0" applyBorder="0" applyAlignment="0" applyProtection="0"/>
    <xf numFmtId="0" fontId="40" fillId="3" borderId="0" applyNumberFormat="0" applyBorder="0" applyAlignment="0" applyProtection="0"/>
    <xf numFmtId="0" fontId="71" fillId="43" borderId="0" applyNumberFormat="0" applyBorder="0" applyAlignment="0" applyProtection="0"/>
    <xf numFmtId="0" fontId="71" fillId="43" borderId="0" applyNumberFormat="0" applyBorder="0" applyAlignment="0" applyProtection="0"/>
    <xf numFmtId="0" fontId="71" fillId="43" borderId="0" applyNumberFormat="0" applyBorder="0" applyAlignment="0" applyProtection="0"/>
    <xf numFmtId="0" fontId="71" fillId="43" borderId="0" applyNumberFormat="0" applyBorder="0" applyAlignment="0" applyProtection="0"/>
    <xf numFmtId="0" fontId="71" fillId="43" borderId="0" applyNumberFormat="0" applyBorder="0" applyAlignment="0" applyProtection="0"/>
    <xf numFmtId="0" fontId="71" fillId="43" borderId="0" applyNumberFormat="0" applyBorder="0" applyAlignment="0" applyProtection="0"/>
    <xf numFmtId="0" fontId="71" fillId="43" borderId="0" applyNumberFormat="0" applyBorder="0" applyAlignment="0" applyProtection="0"/>
    <xf numFmtId="0" fontId="15" fillId="0" borderId="0"/>
    <xf numFmtId="0" fontId="72" fillId="37" borderId="1" applyNumberFormat="0" applyAlignment="0" applyProtection="0"/>
    <xf numFmtId="0" fontId="72" fillId="37" borderId="1" applyNumberFormat="0" applyAlignment="0" applyProtection="0"/>
    <xf numFmtId="0" fontId="72" fillId="37" borderId="1" applyNumberFormat="0" applyAlignment="0" applyProtection="0"/>
    <xf numFmtId="0" fontId="72" fillId="37" borderId="1" applyNumberFormat="0" applyAlignment="0" applyProtection="0"/>
    <xf numFmtId="0" fontId="72" fillId="37" borderId="1" applyNumberFormat="0" applyAlignment="0" applyProtection="0"/>
    <xf numFmtId="0" fontId="72" fillId="37" borderId="1" applyNumberFormat="0" applyAlignment="0" applyProtection="0"/>
    <xf numFmtId="0" fontId="41" fillId="28" borderId="1" applyNumberFormat="0" applyAlignment="0" applyProtection="0"/>
    <xf numFmtId="0" fontId="72" fillId="37" borderId="1" applyNumberFormat="0" applyAlignment="0" applyProtection="0"/>
    <xf numFmtId="0" fontId="41" fillId="28" borderId="1" applyNumberFormat="0" applyAlignment="0" applyProtection="0"/>
    <xf numFmtId="0" fontId="58" fillId="38" borderId="22" applyNumberFormat="0" applyAlignment="0" applyProtection="0"/>
    <xf numFmtId="0" fontId="41" fillId="28" borderId="1" applyNumberFormat="0" applyAlignment="0" applyProtection="0"/>
    <xf numFmtId="0" fontId="72" fillId="37" borderId="1" applyNumberFormat="0" applyAlignment="0" applyProtection="0"/>
    <xf numFmtId="0" fontId="72" fillId="37" borderId="1" applyNumberFormat="0" applyAlignment="0" applyProtection="0"/>
    <xf numFmtId="0" fontId="72" fillId="37" borderId="1" applyNumberFormat="0" applyAlignment="0" applyProtection="0"/>
    <xf numFmtId="0" fontId="72" fillId="37" borderId="1" applyNumberFormat="0" applyAlignment="0" applyProtection="0"/>
    <xf numFmtId="0" fontId="72" fillId="37" borderId="1" applyNumberFormat="0" applyAlignment="0" applyProtection="0"/>
    <xf numFmtId="0" fontId="72" fillId="37" borderId="1" applyNumberFormat="0" applyAlignment="0" applyProtection="0"/>
    <xf numFmtId="0" fontId="72" fillId="37" borderId="1" applyNumberFormat="0" applyAlignment="0" applyProtection="0"/>
    <xf numFmtId="0" fontId="42" fillId="22" borderId="2" applyNumberFormat="0" applyAlignment="0" applyProtection="0"/>
    <xf numFmtId="0" fontId="42" fillId="22" borderId="2" applyNumberFormat="0" applyAlignment="0" applyProtection="0"/>
    <xf numFmtId="0" fontId="42" fillId="22" borderId="2" applyNumberFormat="0" applyAlignment="0" applyProtection="0"/>
    <xf numFmtId="0" fontId="42" fillId="22" borderId="2" applyNumberFormat="0" applyAlignment="0" applyProtection="0"/>
    <xf numFmtId="0" fontId="42" fillId="22" borderId="2" applyNumberFormat="0" applyAlignment="0" applyProtection="0"/>
    <xf numFmtId="0" fontId="42" fillId="22" borderId="2" applyNumberFormat="0" applyAlignment="0" applyProtection="0"/>
    <xf numFmtId="0" fontId="42" fillId="29" borderId="2" applyNumberFormat="0" applyAlignment="0" applyProtection="0"/>
    <xf numFmtId="0" fontId="42" fillId="22" borderId="2" applyNumberFormat="0" applyAlignment="0" applyProtection="0"/>
    <xf numFmtId="0" fontId="42" fillId="29" borderId="2" applyNumberFormat="0" applyAlignment="0" applyProtection="0"/>
    <xf numFmtId="0" fontId="42" fillId="29" borderId="2" applyNumberFormat="0" applyAlignment="0" applyProtection="0"/>
    <xf numFmtId="0" fontId="42" fillId="22" borderId="2" applyNumberFormat="0" applyAlignment="0" applyProtection="0"/>
    <xf numFmtId="0" fontId="42" fillId="22" borderId="2" applyNumberFormat="0" applyAlignment="0" applyProtection="0"/>
    <xf numFmtId="0" fontId="42" fillId="22" borderId="2" applyNumberFormat="0" applyAlignment="0" applyProtection="0"/>
    <xf numFmtId="0" fontId="42" fillId="22" borderId="2" applyNumberFormat="0" applyAlignment="0" applyProtection="0"/>
    <xf numFmtId="0" fontId="42" fillId="22" borderId="2" applyNumberFormat="0" applyAlignment="0" applyProtection="0"/>
    <xf numFmtId="0" fontId="42" fillId="22" borderId="2" applyNumberFormat="0" applyAlignment="0" applyProtection="0"/>
    <xf numFmtId="0" fontId="42" fillId="22" borderId="2" applyNumberFormat="0" applyAlignment="0" applyProtection="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166" fontId="15" fillId="0" borderId="0" applyFont="0" applyFill="0" applyBorder="0" applyAlignment="0" applyProtection="0"/>
    <xf numFmtId="166" fontId="15" fillId="0" borderId="0" applyFont="0" applyFill="0" applyBorder="0" applyAlignment="0" applyProtection="0"/>
    <xf numFmtId="0" fontId="15" fillId="0" borderId="0" applyFont="0" applyFill="0" applyBorder="0" applyAlignment="0" applyProtection="0"/>
    <xf numFmtId="172" fontId="33" fillId="0" borderId="0" applyFont="0" applyFill="0" applyBorder="0" applyAlignment="0" applyProtection="0"/>
    <xf numFmtId="172" fontId="33" fillId="0" borderId="0" applyFont="0" applyFill="0" applyBorder="0" applyAlignment="0" applyProtection="0"/>
    <xf numFmtId="172" fontId="33" fillId="0" borderId="0" applyFont="0" applyFill="0" applyBorder="0" applyAlignment="0" applyProtection="0"/>
    <xf numFmtId="166" fontId="39" fillId="0" borderId="0" applyFont="0" applyFill="0" applyBorder="0" applyAlignment="0" applyProtection="0"/>
    <xf numFmtId="172" fontId="33" fillId="0" borderId="0" applyFont="0" applyFill="0" applyBorder="0" applyAlignment="0" applyProtection="0"/>
    <xf numFmtId="172" fontId="33" fillId="0" borderId="0" applyFont="0" applyFill="0" applyBorder="0" applyAlignment="0" applyProtection="0"/>
    <xf numFmtId="172" fontId="33" fillId="0" borderId="0" applyFont="0" applyFill="0" applyBorder="0" applyAlignment="0" applyProtection="0"/>
    <xf numFmtId="172" fontId="33" fillId="0" borderId="0" applyFont="0" applyFill="0" applyBorder="0" applyAlignment="0" applyProtection="0"/>
    <xf numFmtId="172" fontId="33" fillId="0" borderId="0" applyFont="0" applyFill="0" applyBorder="0" applyAlignment="0" applyProtection="0"/>
    <xf numFmtId="172" fontId="33" fillId="0" borderId="0" applyFont="0" applyFill="0" applyBorder="0" applyAlignment="0" applyProtection="0"/>
    <xf numFmtId="172" fontId="33" fillId="0" borderId="0" applyFont="0" applyFill="0" applyBorder="0" applyAlignment="0" applyProtection="0"/>
    <xf numFmtId="166" fontId="31" fillId="0" borderId="0" applyFont="0" applyFill="0" applyBorder="0" applyAlignment="0" applyProtection="0"/>
    <xf numFmtId="173" fontId="15" fillId="0" borderId="0" applyFont="0" applyFill="0" applyBorder="0" applyAlignment="0" applyProtection="0"/>
    <xf numFmtId="173" fontId="15" fillId="0" borderId="0" applyFont="0" applyFill="0" applyBorder="0" applyAlignment="0" applyProtection="0"/>
    <xf numFmtId="173" fontId="15" fillId="0" borderId="0" applyFont="0" applyFill="0" applyBorder="0" applyAlignment="0" applyProtection="0"/>
    <xf numFmtId="166" fontId="39" fillId="0" borderId="0" applyFont="0" applyFill="0" applyBorder="0" applyAlignment="0" applyProtection="0"/>
    <xf numFmtId="166" fontId="31" fillId="0" borderId="0" applyFont="0" applyFill="0" applyBorder="0" applyAlignment="0" applyProtection="0"/>
    <xf numFmtId="166" fontId="39" fillId="0" borderId="0" applyFont="0" applyFill="0" applyBorder="0" applyAlignment="0" applyProtection="0"/>
    <xf numFmtId="166" fontId="15" fillId="0" borderId="0" applyFont="0" applyFill="0" applyBorder="0" applyAlignment="0" applyProtection="0"/>
    <xf numFmtId="166" fontId="15" fillId="0" borderId="0" applyFont="0" applyFill="0" applyBorder="0" applyAlignment="0" applyProtection="0"/>
    <xf numFmtId="166" fontId="15" fillId="0" borderId="0" applyFont="0" applyFill="0" applyBorder="0" applyAlignment="0" applyProtection="0"/>
    <xf numFmtId="166" fontId="15" fillId="0" borderId="0" applyFont="0" applyFill="0" applyBorder="0" applyAlignment="0" applyProtection="0"/>
    <xf numFmtId="174" fontId="15" fillId="0" borderId="0" applyFont="0" applyFill="0" applyBorder="0" applyAlignment="0" applyProtection="0"/>
    <xf numFmtId="166" fontId="39" fillId="0" borderId="0" applyFont="0" applyFill="0" applyBorder="0" applyAlignment="0" applyProtection="0"/>
    <xf numFmtId="168" fontId="33" fillId="0" borderId="0" applyFont="0" applyFill="0" applyBorder="0" applyAlignment="0" applyProtection="0"/>
    <xf numFmtId="167" fontId="15" fillId="0" borderId="0" applyFill="0" applyBorder="0" applyAlignment="0" applyProtection="0"/>
    <xf numFmtId="167" fontId="15" fillId="0" borderId="0" applyFill="0" applyBorder="0" applyAlignment="0" applyProtection="0"/>
    <xf numFmtId="167" fontId="15" fillId="0" borderId="0" applyFill="0" applyBorder="0" applyAlignment="0" applyProtection="0"/>
    <xf numFmtId="168" fontId="15" fillId="0" borderId="0" applyFill="0" applyBorder="0" applyAlignment="0" applyProtection="0"/>
    <xf numFmtId="168" fontId="15" fillId="0" borderId="0" applyFill="0" applyBorder="0" applyAlignment="0" applyProtection="0"/>
    <xf numFmtId="168" fontId="15" fillId="0" borderId="0" applyFill="0" applyBorder="0" applyAlignment="0" applyProtection="0"/>
    <xf numFmtId="167" fontId="15" fillId="0" borderId="0" applyFill="0" applyBorder="0" applyAlignment="0" applyProtection="0"/>
    <xf numFmtId="166" fontId="39" fillId="0" borderId="0" applyFont="0" applyFill="0" applyBorder="0" applyAlignment="0" applyProtection="0"/>
    <xf numFmtId="166" fontId="15" fillId="0" borderId="0" applyFont="0" applyFill="0" applyBorder="0" applyAlignment="0" applyProtection="0"/>
    <xf numFmtId="166" fontId="39" fillId="0" borderId="0" applyFont="0" applyFill="0" applyBorder="0" applyAlignment="0" applyProtection="0"/>
    <xf numFmtId="166" fontId="39" fillId="0" borderId="0" applyFont="0" applyFill="0" applyBorder="0" applyAlignment="0" applyProtection="0"/>
    <xf numFmtId="166" fontId="39" fillId="0" borderId="0" applyFont="0" applyFill="0" applyBorder="0" applyAlignment="0" applyProtection="0"/>
    <xf numFmtId="166" fontId="39" fillId="0" borderId="0" applyFont="0" applyFill="0" applyBorder="0" applyAlignment="0" applyProtection="0"/>
    <xf numFmtId="166" fontId="39" fillId="0" borderId="0" applyFont="0" applyFill="0" applyBorder="0" applyAlignment="0" applyProtection="0"/>
    <xf numFmtId="166" fontId="39" fillId="0" borderId="0" applyFont="0" applyFill="0" applyBorder="0" applyAlignment="0" applyProtection="0"/>
    <xf numFmtId="166" fontId="15" fillId="0" borderId="0" applyFont="0" applyFill="0" applyBorder="0" applyAlignment="0" applyProtection="0"/>
    <xf numFmtId="166" fontId="39" fillId="0" borderId="0" applyFont="0" applyFill="0" applyBorder="0" applyAlignment="0" applyProtection="0"/>
    <xf numFmtId="166" fontId="39" fillId="0" borderId="0" applyFont="0" applyFill="0" applyBorder="0" applyAlignment="0" applyProtection="0"/>
    <xf numFmtId="166" fontId="31" fillId="0" borderId="0" applyFont="0" applyFill="0" applyBorder="0" applyAlignment="0" applyProtection="0"/>
    <xf numFmtId="166" fontId="15" fillId="0" borderId="0" applyFont="0" applyFill="0" applyBorder="0" applyAlignment="0" applyProtection="0"/>
    <xf numFmtId="166" fontId="39" fillId="0" borderId="0" applyFont="0" applyFill="0" applyBorder="0" applyAlignment="0" applyProtection="0"/>
    <xf numFmtId="166" fontId="39" fillId="0" borderId="0" applyFont="0" applyFill="0" applyBorder="0" applyAlignment="0" applyProtection="0"/>
    <xf numFmtId="166" fontId="39" fillId="0" borderId="0" applyFont="0" applyFill="0" applyBorder="0" applyAlignment="0" applyProtection="0"/>
    <xf numFmtId="166" fontId="39" fillId="0" borderId="0" applyFont="0" applyFill="0" applyBorder="0" applyAlignment="0" applyProtection="0"/>
    <xf numFmtId="166" fontId="31" fillId="0" borderId="0" applyFont="0" applyFill="0" applyBorder="0" applyAlignment="0" applyProtection="0"/>
    <xf numFmtId="166" fontId="31" fillId="0" borderId="0" applyFont="0" applyFill="0" applyBorder="0" applyAlignment="0" applyProtection="0"/>
    <xf numFmtId="0" fontId="18" fillId="0" borderId="0" applyNumberFormat="0" applyAlignment="0">
      <alignment horizontal="left"/>
    </xf>
    <xf numFmtId="0" fontId="18" fillId="0" borderId="0" applyNumberFormat="0" applyAlignment="0">
      <alignment horizontal="left"/>
    </xf>
    <xf numFmtId="0" fontId="18" fillId="0" borderId="0" applyNumberFormat="0" applyAlignment="0">
      <alignment horizontal="left"/>
    </xf>
    <xf numFmtId="0" fontId="18" fillId="0" borderId="0" applyNumberFormat="0" applyAlignment="0">
      <alignment horizontal="left"/>
    </xf>
    <xf numFmtId="0" fontId="18" fillId="0" borderId="0" applyNumberFormat="0" applyAlignment="0">
      <alignment horizontal="left"/>
    </xf>
    <xf numFmtId="0" fontId="18" fillId="0" borderId="0" applyNumberFormat="0" applyAlignment="0">
      <alignment horizontal="left"/>
    </xf>
    <xf numFmtId="165" fontId="15" fillId="0" borderId="0" applyFont="0" applyFill="0" applyBorder="0" applyAlignment="0" applyProtection="0"/>
    <xf numFmtId="165" fontId="15" fillId="0" borderId="0" applyFont="0" applyFill="0" applyBorder="0" applyAlignment="0" applyProtection="0"/>
    <xf numFmtId="165" fontId="33" fillId="0" borderId="0" applyFont="0" applyFill="0" applyBorder="0" applyAlignment="0" applyProtection="0"/>
    <xf numFmtId="165" fontId="15" fillId="0" borderId="0" applyFont="0" applyFill="0" applyBorder="0" applyAlignment="0" applyProtection="0"/>
    <xf numFmtId="165" fontId="15" fillId="0" borderId="0" applyFont="0" applyFill="0" applyBorder="0" applyAlignment="0" applyProtection="0"/>
    <xf numFmtId="165" fontId="31" fillId="0" borderId="0" applyFont="0" applyFill="0" applyBorder="0" applyAlignment="0" applyProtection="0"/>
    <xf numFmtId="0" fontId="19" fillId="0" borderId="0" applyNumberFormat="0" applyAlignment="0">
      <alignment horizontal="left"/>
    </xf>
    <xf numFmtId="0" fontId="19" fillId="0" borderId="0" applyNumberFormat="0" applyAlignment="0">
      <alignment horizontal="left"/>
    </xf>
    <xf numFmtId="0" fontId="19" fillId="0" borderId="0" applyNumberFormat="0" applyAlignment="0">
      <alignment horizontal="left"/>
    </xf>
    <xf numFmtId="0" fontId="19" fillId="0" borderId="0" applyNumberFormat="0" applyAlignment="0">
      <alignment horizontal="left"/>
    </xf>
    <xf numFmtId="0" fontId="19" fillId="0" borderId="0" applyNumberFormat="0" applyAlignment="0">
      <alignment horizontal="left"/>
    </xf>
    <xf numFmtId="0" fontId="19" fillId="0" borderId="0" applyNumberFormat="0" applyAlignment="0">
      <alignment horizontal="left"/>
    </xf>
    <xf numFmtId="175" fontId="15" fillId="0" borderId="0" applyFont="0" applyFill="0" applyBorder="0" applyAlignment="0" applyProtection="0"/>
    <xf numFmtId="0" fontId="31" fillId="0" borderId="0"/>
    <xf numFmtId="0" fontId="31" fillId="0" borderId="0"/>
    <xf numFmtId="0" fontId="36" fillId="0" borderId="13" applyNumberFormat="0" applyFill="0" applyAlignment="0" applyProtection="0"/>
    <xf numFmtId="0" fontId="43" fillId="0" borderId="0" applyNumberFormat="0" applyFill="0" applyBorder="0" applyAlignment="0" applyProtection="0"/>
    <xf numFmtId="0" fontId="43" fillId="0" borderId="0" applyNumberFormat="0" applyFill="0" applyBorder="0" applyAlignment="0" applyProtection="0"/>
    <xf numFmtId="0" fontId="43" fillId="0" borderId="0" applyNumberFormat="0" applyFill="0" applyBorder="0" applyAlignment="0" applyProtection="0"/>
    <xf numFmtId="0" fontId="43" fillId="0" borderId="0" applyNumberFormat="0" applyFill="0" applyBorder="0" applyAlignment="0" applyProtection="0"/>
    <xf numFmtId="0" fontId="43" fillId="0" borderId="0" applyNumberFormat="0" applyFill="0" applyBorder="0" applyAlignment="0" applyProtection="0"/>
    <xf numFmtId="0" fontId="43" fillId="0" borderId="0" applyNumberFormat="0" applyFill="0" applyBorder="0" applyAlignment="0" applyProtection="0"/>
    <xf numFmtId="0" fontId="43" fillId="0" borderId="0" applyNumberFormat="0" applyFill="0" applyBorder="0" applyAlignment="0" applyProtection="0"/>
    <xf numFmtId="0" fontId="43" fillId="0" borderId="0" applyNumberFormat="0" applyFill="0" applyBorder="0" applyAlignment="0" applyProtection="0"/>
    <xf numFmtId="0" fontId="43" fillId="0" borderId="0" applyNumberFormat="0" applyFill="0" applyBorder="0" applyAlignment="0" applyProtection="0"/>
    <xf numFmtId="2" fontId="15" fillId="0" borderId="0" applyFont="0" applyFill="0" applyBorder="0" applyAlignment="0" applyProtection="0"/>
    <xf numFmtId="2" fontId="15" fillId="0" borderId="0" applyFont="0" applyFill="0" applyBorder="0" applyAlignment="0" applyProtection="0"/>
    <xf numFmtId="1" fontId="15" fillId="0" borderId="0"/>
    <xf numFmtId="1" fontId="15" fillId="0" borderId="0"/>
    <xf numFmtId="1" fontId="15" fillId="0" borderId="0"/>
    <xf numFmtId="0" fontId="44" fillId="24" borderId="0" applyNumberFormat="0" applyBorder="0" applyAlignment="0" applyProtection="0"/>
    <xf numFmtId="0" fontId="44" fillId="24" borderId="0" applyNumberFormat="0" applyBorder="0" applyAlignment="0" applyProtection="0"/>
    <xf numFmtId="0" fontId="44" fillId="24" borderId="0" applyNumberFormat="0" applyBorder="0" applyAlignment="0" applyProtection="0"/>
    <xf numFmtId="0" fontId="44" fillId="24" borderId="0" applyNumberFormat="0" applyBorder="0" applyAlignment="0" applyProtection="0"/>
    <xf numFmtId="0" fontId="44" fillId="24" borderId="0" applyNumberFormat="0" applyBorder="0" applyAlignment="0" applyProtection="0"/>
    <xf numFmtId="0" fontId="44" fillId="24" borderId="0" applyNumberFormat="0" applyBorder="0" applyAlignment="0" applyProtection="0"/>
    <xf numFmtId="0" fontId="44" fillId="4" borderId="0" applyNumberFormat="0" applyBorder="0" applyAlignment="0" applyProtection="0"/>
    <xf numFmtId="0" fontId="44" fillId="24" borderId="0" applyNumberFormat="0" applyBorder="0" applyAlignment="0" applyProtection="0"/>
    <xf numFmtId="0" fontId="44" fillId="4" borderId="0" applyNumberFormat="0" applyBorder="0" applyAlignment="0" applyProtection="0"/>
    <xf numFmtId="0" fontId="44" fillId="4" borderId="0" applyNumberFormat="0" applyBorder="0" applyAlignment="0" applyProtection="0"/>
    <xf numFmtId="0" fontId="44" fillId="24" borderId="0" applyNumberFormat="0" applyBorder="0" applyAlignment="0" applyProtection="0"/>
    <xf numFmtId="0" fontId="44" fillId="24" borderId="0" applyNumberFormat="0" applyBorder="0" applyAlignment="0" applyProtection="0"/>
    <xf numFmtId="0" fontId="44" fillId="24" borderId="0" applyNumberFormat="0" applyBorder="0" applyAlignment="0" applyProtection="0"/>
    <xf numFmtId="0" fontId="44" fillId="24" borderId="0" applyNumberFormat="0" applyBorder="0" applyAlignment="0" applyProtection="0"/>
    <xf numFmtId="0" fontId="44" fillId="24" borderId="0" applyNumberFormat="0" applyBorder="0" applyAlignment="0" applyProtection="0"/>
    <xf numFmtId="0" fontId="44" fillId="24" borderId="0" applyNumberFormat="0" applyBorder="0" applyAlignment="0" applyProtection="0"/>
    <xf numFmtId="0" fontId="44" fillId="24" borderId="0" applyNumberFormat="0" applyBorder="0" applyAlignment="0" applyProtection="0"/>
    <xf numFmtId="38" fontId="16" fillId="33" borderId="0" applyNumberFormat="0" applyBorder="0" applyAlignment="0" applyProtection="0"/>
    <xf numFmtId="0" fontId="73" fillId="0" borderId="23" applyNumberFormat="0" applyFill="0" applyAlignment="0" applyProtection="0"/>
    <xf numFmtId="0" fontId="73" fillId="0" borderId="23" applyNumberFormat="0" applyFill="0" applyAlignment="0" applyProtection="0"/>
    <xf numFmtId="0" fontId="73" fillId="0" borderId="23" applyNumberFormat="0" applyFill="0" applyAlignment="0" applyProtection="0"/>
    <xf numFmtId="0" fontId="73" fillId="0" borderId="23" applyNumberFormat="0" applyFill="0" applyAlignment="0" applyProtection="0"/>
    <xf numFmtId="0" fontId="73" fillId="0" borderId="23" applyNumberFormat="0" applyFill="0" applyAlignment="0" applyProtection="0"/>
    <xf numFmtId="0" fontId="73" fillId="0" borderId="23" applyNumberFormat="0" applyFill="0" applyAlignment="0" applyProtection="0"/>
    <xf numFmtId="0" fontId="45" fillId="0" borderId="5" applyNumberFormat="0" applyFill="0" applyAlignment="0" applyProtection="0"/>
    <xf numFmtId="0" fontId="73" fillId="0" borderId="23" applyNumberFormat="0" applyFill="0" applyAlignment="0" applyProtection="0"/>
    <xf numFmtId="0" fontId="45" fillId="0" borderId="5" applyNumberFormat="0" applyFill="0" applyAlignment="0" applyProtection="0"/>
    <xf numFmtId="0" fontId="45" fillId="0" borderId="5" applyNumberFormat="0" applyFill="0" applyAlignment="0" applyProtection="0"/>
    <xf numFmtId="0" fontId="73" fillId="0" borderId="23" applyNumberFormat="0" applyFill="0" applyAlignment="0" applyProtection="0"/>
    <xf numFmtId="0" fontId="73" fillId="0" borderId="23" applyNumberFormat="0" applyFill="0" applyAlignment="0" applyProtection="0"/>
    <xf numFmtId="0" fontId="73" fillId="0" borderId="23" applyNumberFormat="0" applyFill="0" applyAlignment="0" applyProtection="0"/>
    <xf numFmtId="0" fontId="73" fillId="0" borderId="23" applyNumberFormat="0" applyFill="0" applyAlignment="0" applyProtection="0"/>
    <xf numFmtId="0" fontId="73" fillId="0" borderId="23" applyNumberFormat="0" applyFill="0" applyAlignment="0" applyProtection="0"/>
    <xf numFmtId="0" fontId="73" fillId="0" borderId="23" applyNumberFormat="0" applyFill="0" applyAlignment="0" applyProtection="0"/>
    <xf numFmtId="0" fontId="73" fillId="0" borderId="23" applyNumberFormat="0" applyFill="0" applyAlignment="0" applyProtection="0"/>
    <xf numFmtId="0" fontId="74" fillId="0" borderId="6" applyNumberFormat="0" applyFill="0" applyAlignment="0" applyProtection="0"/>
    <xf numFmtId="0" fontId="74" fillId="0" borderId="6" applyNumberFormat="0" applyFill="0" applyAlignment="0" applyProtection="0"/>
    <xf numFmtId="0" fontId="74" fillId="0" borderId="6" applyNumberFormat="0" applyFill="0" applyAlignment="0" applyProtection="0"/>
    <xf numFmtId="0" fontId="74" fillId="0" borderId="6" applyNumberFormat="0" applyFill="0" applyAlignment="0" applyProtection="0"/>
    <xf numFmtId="0" fontId="74" fillId="0" borderId="6" applyNumberFormat="0" applyFill="0" applyAlignment="0" applyProtection="0"/>
    <xf numFmtId="0" fontId="74" fillId="0" borderId="6" applyNumberFormat="0" applyFill="0" applyAlignment="0" applyProtection="0"/>
    <xf numFmtId="0" fontId="46" fillId="0" borderId="6" applyNumberFormat="0" applyFill="0" applyAlignment="0" applyProtection="0"/>
    <xf numFmtId="0" fontId="74" fillId="0" borderId="6" applyNumberFormat="0" applyFill="0" applyAlignment="0" applyProtection="0"/>
    <xf numFmtId="0" fontId="46" fillId="0" borderId="6" applyNumberFormat="0" applyFill="0" applyAlignment="0" applyProtection="0"/>
    <xf numFmtId="0" fontId="46" fillId="0" borderId="6" applyNumberFormat="0" applyFill="0" applyAlignment="0" applyProtection="0"/>
    <xf numFmtId="0" fontId="74" fillId="0" borderId="6" applyNumberFormat="0" applyFill="0" applyAlignment="0" applyProtection="0"/>
    <xf numFmtId="0" fontId="74" fillId="0" borderId="6" applyNumberFormat="0" applyFill="0" applyAlignment="0" applyProtection="0"/>
    <xf numFmtId="0" fontId="74" fillId="0" borderId="6" applyNumberFormat="0" applyFill="0" applyAlignment="0" applyProtection="0"/>
    <xf numFmtId="0" fontId="74" fillId="0" borderId="6" applyNumberFormat="0" applyFill="0" applyAlignment="0" applyProtection="0"/>
    <xf numFmtId="0" fontId="74" fillId="0" borderId="6" applyNumberFormat="0" applyFill="0" applyAlignment="0" applyProtection="0"/>
    <xf numFmtId="0" fontId="74" fillId="0" borderId="6" applyNumberFormat="0" applyFill="0" applyAlignment="0" applyProtection="0"/>
    <xf numFmtId="0" fontId="74" fillId="0" borderId="6" applyNumberFormat="0" applyFill="0" applyAlignment="0" applyProtection="0"/>
    <xf numFmtId="0" fontId="75" fillId="0" borderId="24" applyNumberFormat="0" applyFill="0" applyAlignment="0" applyProtection="0"/>
    <xf numFmtId="0" fontId="75" fillId="0" borderId="24" applyNumberFormat="0" applyFill="0" applyAlignment="0" applyProtection="0"/>
    <xf numFmtId="0" fontId="75" fillId="0" borderId="24" applyNumberFormat="0" applyFill="0" applyAlignment="0" applyProtection="0"/>
    <xf numFmtId="0" fontId="75" fillId="0" borderId="24" applyNumberFormat="0" applyFill="0" applyAlignment="0" applyProtection="0"/>
    <xf numFmtId="0" fontId="75" fillId="0" borderId="24" applyNumberFormat="0" applyFill="0" applyAlignment="0" applyProtection="0"/>
    <xf numFmtId="0" fontId="75" fillId="0" borderId="24" applyNumberFormat="0" applyFill="0" applyAlignment="0" applyProtection="0"/>
    <xf numFmtId="0" fontId="47" fillId="0" borderId="7" applyNumberFormat="0" applyFill="0" applyAlignment="0" applyProtection="0"/>
    <xf numFmtId="0" fontId="75" fillId="0" borderId="24" applyNumberFormat="0" applyFill="0" applyAlignment="0" applyProtection="0"/>
    <xf numFmtId="0" fontId="47" fillId="0" borderId="7" applyNumberFormat="0" applyFill="0" applyAlignment="0" applyProtection="0"/>
    <xf numFmtId="0" fontId="47" fillId="0" borderId="7" applyNumberFormat="0" applyFill="0" applyAlignment="0" applyProtection="0"/>
    <xf numFmtId="0" fontId="75" fillId="0" borderId="24" applyNumberFormat="0" applyFill="0" applyAlignment="0" applyProtection="0"/>
    <xf numFmtId="0" fontId="75" fillId="0" borderId="24" applyNumberFormat="0" applyFill="0" applyAlignment="0" applyProtection="0"/>
    <xf numFmtId="0" fontId="75" fillId="0" borderId="24" applyNumberFormat="0" applyFill="0" applyAlignment="0" applyProtection="0"/>
    <xf numFmtId="0" fontId="75" fillId="0" borderId="24" applyNumberFormat="0" applyFill="0" applyAlignment="0" applyProtection="0"/>
    <xf numFmtId="0" fontId="75" fillId="0" borderId="24" applyNumberFormat="0" applyFill="0" applyAlignment="0" applyProtection="0"/>
    <xf numFmtId="0" fontId="75" fillId="0" borderId="24" applyNumberFormat="0" applyFill="0" applyAlignment="0" applyProtection="0"/>
    <xf numFmtId="0" fontId="75" fillId="0" borderId="24" applyNumberFormat="0" applyFill="0" applyAlignment="0" applyProtection="0"/>
    <xf numFmtId="0" fontId="75" fillId="0" borderId="0" applyNumberFormat="0" applyFill="0" applyBorder="0" applyAlignment="0" applyProtection="0"/>
    <xf numFmtId="0" fontId="75" fillId="0" borderId="0" applyNumberFormat="0" applyFill="0" applyBorder="0" applyAlignment="0" applyProtection="0"/>
    <xf numFmtId="0" fontId="75" fillId="0" borderId="0" applyNumberFormat="0" applyFill="0" applyBorder="0" applyAlignment="0" applyProtection="0"/>
    <xf numFmtId="0" fontId="75" fillId="0" borderId="0" applyNumberFormat="0" applyFill="0" applyBorder="0" applyAlignment="0" applyProtection="0"/>
    <xf numFmtId="0" fontId="75" fillId="0" borderId="0" applyNumberFormat="0" applyFill="0" applyBorder="0" applyAlignment="0" applyProtection="0"/>
    <xf numFmtId="0" fontId="75" fillId="0" borderId="0" applyNumberFormat="0" applyFill="0" applyBorder="0" applyAlignment="0" applyProtection="0"/>
    <xf numFmtId="0" fontId="47" fillId="0" borderId="0" applyNumberFormat="0" applyFill="0" applyBorder="0" applyAlignment="0" applyProtection="0"/>
    <xf numFmtId="0" fontId="75" fillId="0" borderId="0" applyNumberFormat="0" applyFill="0" applyBorder="0" applyAlignment="0" applyProtection="0"/>
    <xf numFmtId="0" fontId="47" fillId="0" borderId="0" applyNumberFormat="0" applyFill="0" applyBorder="0" applyAlignment="0" applyProtection="0"/>
    <xf numFmtId="0" fontId="47" fillId="0" borderId="0" applyNumberFormat="0" applyFill="0" applyBorder="0" applyAlignment="0" applyProtection="0"/>
    <xf numFmtId="0" fontId="75" fillId="0" borderId="0" applyNumberFormat="0" applyFill="0" applyBorder="0" applyAlignment="0" applyProtection="0"/>
    <xf numFmtId="0" fontId="75" fillId="0" borderId="0" applyNumberFormat="0" applyFill="0" applyBorder="0" applyAlignment="0" applyProtection="0"/>
    <xf numFmtId="0" fontId="75" fillId="0" borderId="0" applyNumberFormat="0" applyFill="0" applyBorder="0" applyAlignment="0" applyProtection="0"/>
    <xf numFmtId="0" fontId="75" fillId="0" borderId="0" applyNumberFormat="0" applyFill="0" applyBorder="0" applyAlignment="0" applyProtection="0"/>
    <xf numFmtId="0" fontId="75" fillId="0" borderId="0" applyNumberFormat="0" applyFill="0" applyBorder="0" applyAlignment="0" applyProtection="0"/>
    <xf numFmtId="0" fontId="75" fillId="0" borderId="0" applyNumberFormat="0" applyFill="0" applyBorder="0" applyAlignment="0" applyProtection="0"/>
    <xf numFmtId="0" fontId="75" fillId="0" borderId="0" applyNumberFormat="0" applyFill="0" applyBorder="0" applyAlignment="0" applyProtection="0"/>
    <xf numFmtId="0" fontId="76" fillId="0" borderId="0" applyNumberFormat="0" applyFill="0" applyBorder="0" applyAlignment="0" applyProtection="0">
      <alignment vertical="top"/>
      <protection locked="0"/>
    </xf>
    <xf numFmtId="0" fontId="77" fillId="0" borderId="0" applyNumberFormat="0" applyFill="0" applyBorder="0" applyAlignment="0" applyProtection="0">
      <alignment vertical="top"/>
      <protection locked="0"/>
    </xf>
    <xf numFmtId="0" fontId="76" fillId="0" borderId="0" applyNumberFormat="0" applyFill="0" applyBorder="0" applyAlignment="0" applyProtection="0">
      <alignment vertical="top"/>
      <protection locked="0"/>
    </xf>
    <xf numFmtId="0" fontId="78" fillId="0" borderId="0" applyNumberFormat="0" applyFill="0" applyBorder="0" applyAlignment="0" applyProtection="0">
      <alignment vertical="top"/>
      <protection locked="0"/>
    </xf>
    <xf numFmtId="10" fontId="16" fillId="34" borderId="8" applyNumberFormat="0" applyBorder="0" applyAlignment="0" applyProtection="0"/>
    <xf numFmtId="0" fontId="48" fillId="27" borderId="1" applyNumberFormat="0" applyAlignment="0" applyProtection="0"/>
    <xf numFmtId="0" fontId="48" fillId="27" borderId="1" applyNumberFormat="0" applyAlignment="0" applyProtection="0"/>
    <xf numFmtId="0" fontId="48" fillId="27" borderId="1" applyNumberFormat="0" applyAlignment="0" applyProtection="0"/>
    <xf numFmtId="0" fontId="48" fillId="27" borderId="1" applyNumberFormat="0" applyAlignment="0" applyProtection="0"/>
    <xf numFmtId="0" fontId="48" fillId="27" borderId="1" applyNumberFormat="0" applyAlignment="0" applyProtection="0"/>
    <xf numFmtId="0" fontId="48" fillId="27" borderId="1" applyNumberFormat="0" applyAlignment="0" applyProtection="0"/>
    <xf numFmtId="0" fontId="48" fillId="7" borderId="1" applyNumberFormat="0" applyAlignment="0" applyProtection="0"/>
    <xf numFmtId="0" fontId="48" fillId="27" borderId="1" applyNumberFormat="0" applyAlignment="0" applyProtection="0"/>
    <xf numFmtId="0" fontId="48" fillId="7" borderId="1" applyNumberFormat="0" applyAlignment="0" applyProtection="0"/>
    <xf numFmtId="0" fontId="48" fillId="7" borderId="1" applyNumberFormat="0" applyAlignment="0" applyProtection="0"/>
    <xf numFmtId="0" fontId="48" fillId="27" borderId="1" applyNumberFormat="0" applyAlignment="0" applyProtection="0"/>
    <xf numFmtId="0" fontId="48" fillId="27" borderId="1" applyNumberFormat="0" applyAlignment="0" applyProtection="0"/>
    <xf numFmtId="0" fontId="48" fillId="27" borderId="1" applyNumberFormat="0" applyAlignment="0" applyProtection="0"/>
    <xf numFmtId="0" fontId="48" fillId="27" borderId="1" applyNumberFormat="0" applyAlignment="0" applyProtection="0"/>
    <xf numFmtId="0" fontId="48" fillId="27" borderId="1" applyNumberFormat="0" applyAlignment="0" applyProtection="0"/>
    <xf numFmtId="0" fontId="48" fillId="27" borderId="1" applyNumberFormat="0" applyAlignment="0" applyProtection="0"/>
    <xf numFmtId="0" fontId="48" fillId="27" borderId="1" applyNumberFormat="0" applyAlignment="0" applyProtection="0"/>
    <xf numFmtId="0" fontId="79" fillId="0" borderId="9" applyNumberFormat="0" applyFill="0" applyAlignment="0" applyProtection="0"/>
    <xf numFmtId="0" fontId="79" fillId="0" borderId="9" applyNumberFormat="0" applyFill="0" applyAlignment="0" applyProtection="0"/>
    <xf numFmtId="0" fontId="79" fillId="0" borderId="9" applyNumberFormat="0" applyFill="0" applyAlignment="0" applyProtection="0"/>
    <xf numFmtId="0" fontId="79" fillId="0" borderId="9" applyNumberFormat="0" applyFill="0" applyAlignment="0" applyProtection="0"/>
    <xf numFmtId="0" fontId="79" fillId="0" borderId="9" applyNumberFormat="0" applyFill="0" applyAlignment="0" applyProtection="0"/>
    <xf numFmtId="0" fontId="79" fillId="0" borderId="9" applyNumberFormat="0" applyFill="0" applyAlignment="0" applyProtection="0"/>
    <xf numFmtId="0" fontId="49" fillId="0" borderId="9" applyNumberFormat="0" applyFill="0" applyAlignment="0" applyProtection="0"/>
    <xf numFmtId="0" fontId="79" fillId="0" borderId="9" applyNumberFormat="0" applyFill="0" applyAlignment="0" applyProtection="0"/>
    <xf numFmtId="0" fontId="49" fillId="0" borderId="9" applyNumberFormat="0" applyFill="0" applyAlignment="0" applyProtection="0"/>
    <xf numFmtId="0" fontId="49" fillId="0" borderId="9" applyNumberFormat="0" applyFill="0" applyAlignment="0" applyProtection="0"/>
    <xf numFmtId="0" fontId="79" fillId="0" borderId="9" applyNumberFormat="0" applyFill="0" applyAlignment="0" applyProtection="0"/>
    <xf numFmtId="0" fontId="79" fillId="0" borderId="9" applyNumberFormat="0" applyFill="0" applyAlignment="0" applyProtection="0"/>
    <xf numFmtId="0" fontId="79" fillId="0" borderId="9" applyNumberFormat="0" applyFill="0" applyAlignment="0" applyProtection="0"/>
    <xf numFmtId="0" fontId="79" fillId="0" borderId="9" applyNumberFormat="0" applyFill="0" applyAlignment="0" applyProtection="0"/>
    <xf numFmtId="0" fontId="79" fillId="0" borderId="9" applyNumberFormat="0" applyFill="0" applyAlignment="0" applyProtection="0"/>
    <xf numFmtId="0" fontId="79" fillId="0" borderId="9" applyNumberFormat="0" applyFill="0" applyAlignment="0" applyProtection="0"/>
    <xf numFmtId="0" fontId="79" fillId="0" borderId="9" applyNumberFormat="0" applyFill="0" applyAlignment="0" applyProtection="0"/>
    <xf numFmtId="0" fontId="24" fillId="0" borderId="0" applyProtection="0">
      <alignment horizontal="center" vertical="center"/>
    </xf>
    <xf numFmtId="0" fontId="24" fillId="0" borderId="0" applyProtection="0">
      <alignment horizontal="center" vertical="center"/>
    </xf>
    <xf numFmtId="0" fontId="24" fillId="0" borderId="0" applyProtection="0">
      <alignment horizontal="center" vertical="center"/>
    </xf>
    <xf numFmtId="0" fontId="80" fillId="0" borderId="0">
      <alignment vertical="top"/>
    </xf>
    <xf numFmtId="168" fontId="25" fillId="0" borderId="10">
      <alignment horizontal="right"/>
    </xf>
    <xf numFmtId="168" fontId="25" fillId="0" borderId="10">
      <alignment horizontal="right"/>
    </xf>
    <xf numFmtId="168" fontId="25" fillId="0" borderId="10">
      <alignment horizontal="right"/>
    </xf>
    <xf numFmtId="168" fontId="25" fillId="0" borderId="10">
      <alignment horizontal="right"/>
    </xf>
    <xf numFmtId="0" fontId="50" fillId="44" borderId="0" applyNumberFormat="0" applyBorder="0" applyAlignment="0" applyProtection="0"/>
    <xf numFmtId="0" fontId="50" fillId="44" borderId="0" applyNumberFormat="0" applyBorder="0" applyAlignment="0" applyProtection="0"/>
    <xf numFmtId="0" fontId="50" fillId="44" borderId="0" applyNumberFormat="0" applyBorder="0" applyAlignment="0" applyProtection="0"/>
    <xf numFmtId="0" fontId="50" fillId="44" borderId="0" applyNumberFormat="0" applyBorder="0" applyAlignment="0" applyProtection="0"/>
    <xf numFmtId="0" fontId="50" fillId="44" borderId="0" applyNumberFormat="0" applyBorder="0" applyAlignment="0" applyProtection="0"/>
    <xf numFmtId="0" fontId="50" fillId="44" borderId="0" applyNumberFormat="0" applyBorder="0" applyAlignment="0" applyProtection="0"/>
    <xf numFmtId="0" fontId="50" fillId="35" borderId="0" applyNumberFormat="0" applyBorder="0" applyAlignment="0" applyProtection="0"/>
    <xf numFmtId="0" fontId="50" fillId="44" borderId="0" applyNumberFormat="0" applyBorder="0" applyAlignment="0" applyProtection="0"/>
    <xf numFmtId="0" fontId="50" fillId="35" borderId="0" applyNumberFormat="0" applyBorder="0" applyAlignment="0" applyProtection="0"/>
    <xf numFmtId="0" fontId="50" fillId="35" borderId="0" applyNumberFormat="0" applyBorder="0" applyAlignment="0" applyProtection="0"/>
    <xf numFmtId="0" fontId="50" fillId="44" borderId="0" applyNumberFormat="0" applyBorder="0" applyAlignment="0" applyProtection="0"/>
    <xf numFmtId="0" fontId="50" fillId="44" borderId="0" applyNumberFormat="0" applyBorder="0" applyAlignment="0" applyProtection="0"/>
    <xf numFmtId="0" fontId="50" fillId="44" borderId="0" applyNumberFormat="0" applyBorder="0" applyAlignment="0" applyProtection="0"/>
    <xf numFmtId="0" fontId="50" fillId="44" borderId="0" applyNumberFormat="0" applyBorder="0" applyAlignment="0" applyProtection="0"/>
    <xf numFmtId="0" fontId="50" fillId="44" borderId="0" applyNumberFormat="0" applyBorder="0" applyAlignment="0" applyProtection="0"/>
    <xf numFmtId="0" fontId="50" fillId="44" borderId="0" applyNumberFormat="0" applyBorder="0" applyAlignment="0" applyProtection="0"/>
    <xf numFmtId="0" fontId="50" fillId="44" borderId="0" applyNumberFormat="0" applyBorder="0" applyAlignment="0" applyProtection="0"/>
    <xf numFmtId="37" fontId="27" fillId="0" borderId="0"/>
    <xf numFmtId="37" fontId="27" fillId="0" borderId="0"/>
    <xf numFmtId="37" fontId="27" fillId="0" borderId="0"/>
    <xf numFmtId="37" fontId="27" fillId="0" borderId="0"/>
    <xf numFmtId="37" fontId="27" fillId="0" borderId="0"/>
    <xf numFmtId="37" fontId="27" fillId="0" borderId="0"/>
    <xf numFmtId="0" fontId="15" fillId="0" borderId="0"/>
    <xf numFmtId="0" fontId="15" fillId="0" borderId="0"/>
    <xf numFmtId="0" fontId="15" fillId="0" borderId="0"/>
    <xf numFmtId="0" fontId="15" fillId="0" borderId="0"/>
    <xf numFmtId="41" fontId="15" fillId="0" borderId="0"/>
    <xf numFmtId="41" fontId="15" fillId="0" borderId="0"/>
    <xf numFmtId="0" fontId="15" fillId="0" borderId="0"/>
    <xf numFmtId="0" fontId="15" fillId="0" borderId="0"/>
    <xf numFmtId="0" fontId="39" fillId="0" borderId="0"/>
    <xf numFmtId="0" fontId="39" fillId="0" borderId="0"/>
    <xf numFmtId="0" fontId="39" fillId="0" borderId="0"/>
    <xf numFmtId="0" fontId="11" fillId="0" borderId="0"/>
    <xf numFmtId="0" fontId="15" fillId="0" borderId="0"/>
    <xf numFmtId="0" fontId="11" fillId="0" borderId="0"/>
    <xf numFmtId="0" fontId="11" fillId="0" borderId="0"/>
    <xf numFmtId="0" fontId="39" fillId="0" borderId="0"/>
    <xf numFmtId="0" fontId="11" fillId="0" borderId="0"/>
    <xf numFmtId="0" fontId="11" fillId="0" borderId="0"/>
    <xf numFmtId="0" fontId="31" fillId="0" borderId="0"/>
    <xf numFmtId="0" fontId="39" fillId="0" borderId="0"/>
    <xf numFmtId="0" fontId="15" fillId="0" borderId="0"/>
    <xf numFmtId="0" fontId="39" fillId="0" borderId="0"/>
    <xf numFmtId="0" fontId="15" fillId="0" borderId="0">
      <alignment vertical="center"/>
    </xf>
    <xf numFmtId="0" fontId="39" fillId="0" borderId="0"/>
    <xf numFmtId="0" fontId="39" fillId="0" borderId="0"/>
    <xf numFmtId="0" fontId="39" fillId="0" borderId="0"/>
    <xf numFmtId="0" fontId="39" fillId="0" borderId="0"/>
    <xf numFmtId="0" fontId="39" fillId="0" borderId="0"/>
    <xf numFmtId="0" fontId="39" fillId="0" borderId="0"/>
    <xf numFmtId="0" fontId="15" fillId="0" borderId="0"/>
    <xf numFmtId="0" fontId="39" fillId="0" borderId="0"/>
    <xf numFmtId="0" fontId="15" fillId="0" borderId="0"/>
    <xf numFmtId="0" fontId="31" fillId="0" borderId="0"/>
    <xf numFmtId="0" fontId="39"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39" fillId="0" borderId="0"/>
    <xf numFmtId="0" fontId="15" fillId="0" borderId="0"/>
    <xf numFmtId="0" fontId="33" fillId="0" borderId="0"/>
    <xf numFmtId="0" fontId="31" fillId="0" borderId="0"/>
    <xf numFmtId="0" fontId="39" fillId="0" borderId="0"/>
    <xf numFmtId="0" fontId="39" fillId="0" borderId="0"/>
    <xf numFmtId="0" fontId="39"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39" fillId="0" borderId="0"/>
    <xf numFmtId="0" fontId="39" fillId="0" borderId="0"/>
    <xf numFmtId="0" fontId="39" fillId="0" borderId="0"/>
    <xf numFmtId="0" fontId="39" fillId="0" borderId="0"/>
    <xf numFmtId="0" fontId="39" fillId="0" borderId="0"/>
    <xf numFmtId="0" fontId="15" fillId="0" borderId="0"/>
    <xf numFmtId="0" fontId="39" fillId="0" borderId="0"/>
    <xf numFmtId="0" fontId="15" fillId="0" borderId="0"/>
    <xf numFmtId="0" fontId="11" fillId="0" borderId="0"/>
    <xf numFmtId="0" fontId="15" fillId="0" borderId="0"/>
    <xf numFmtId="0" fontId="15" fillId="0" borderId="0"/>
    <xf numFmtId="0" fontId="39" fillId="0" borderId="0"/>
    <xf numFmtId="0" fontId="33" fillId="0" borderId="0"/>
    <xf numFmtId="0" fontId="15" fillId="0" borderId="0"/>
    <xf numFmtId="0" fontId="39" fillId="0" borderId="0"/>
    <xf numFmtId="0" fontId="11" fillId="0" borderId="0"/>
    <xf numFmtId="0" fontId="39" fillId="0" borderId="0"/>
    <xf numFmtId="0" fontId="39" fillId="0" borderId="0"/>
    <xf numFmtId="0" fontId="39" fillId="0" borderId="0"/>
    <xf numFmtId="0" fontId="39" fillId="0" borderId="0"/>
    <xf numFmtId="0" fontId="11" fillId="0" borderId="0"/>
    <xf numFmtId="0" fontId="39" fillId="0" borderId="0"/>
    <xf numFmtId="0" fontId="39" fillId="0" borderId="0"/>
    <xf numFmtId="0" fontId="15" fillId="0" borderId="0"/>
    <xf numFmtId="0" fontId="15" fillId="0" borderId="0"/>
    <xf numFmtId="0" fontId="11" fillId="0" borderId="0"/>
    <xf numFmtId="0" fontId="11" fillId="0" borderId="0"/>
    <xf numFmtId="0" fontId="15" fillId="0" borderId="0"/>
    <xf numFmtId="0" fontId="15" fillId="0" borderId="0"/>
    <xf numFmtId="0" fontId="15" fillId="0" borderId="0"/>
    <xf numFmtId="0" fontId="11" fillId="0" borderId="0"/>
    <xf numFmtId="0" fontId="15" fillId="0" borderId="0"/>
    <xf numFmtId="0" fontId="11" fillId="0" borderId="0"/>
    <xf numFmtId="0" fontId="15" fillId="0" borderId="0"/>
    <xf numFmtId="0" fontId="15" fillId="0" borderId="0"/>
    <xf numFmtId="0" fontId="15" fillId="0" borderId="0"/>
    <xf numFmtId="0" fontId="11" fillId="0" borderId="0"/>
    <xf numFmtId="0" fontId="11" fillId="0" borderId="0"/>
    <xf numFmtId="0" fontId="15" fillId="0" borderId="0"/>
    <xf numFmtId="0" fontId="11" fillId="0" borderId="0"/>
    <xf numFmtId="0" fontId="15" fillId="0" borderId="0"/>
    <xf numFmtId="0" fontId="15" fillId="0" borderId="0"/>
    <xf numFmtId="0" fontId="15" fillId="0" borderId="0"/>
    <xf numFmtId="0" fontId="11" fillId="0" borderId="0"/>
    <xf numFmtId="0" fontId="11" fillId="0" borderId="0"/>
    <xf numFmtId="0" fontId="15" fillId="0" borderId="0"/>
    <xf numFmtId="0" fontId="11" fillId="0" borderId="0"/>
    <xf numFmtId="0" fontId="15" fillId="0" borderId="0"/>
    <xf numFmtId="0" fontId="15" fillId="0" borderId="0"/>
    <xf numFmtId="0" fontId="15" fillId="0" borderId="0"/>
    <xf numFmtId="0" fontId="11" fillId="0" borderId="0"/>
    <xf numFmtId="0" fontId="11" fillId="0" borderId="0"/>
    <xf numFmtId="0" fontId="15" fillId="0" borderId="0"/>
    <xf numFmtId="0" fontId="11" fillId="0" borderId="0"/>
    <xf numFmtId="0" fontId="15" fillId="0" borderId="0"/>
    <xf numFmtId="0" fontId="15" fillId="0" borderId="0"/>
    <xf numFmtId="0" fontId="15" fillId="0" borderId="0"/>
    <xf numFmtId="0" fontId="11" fillId="0" borderId="0"/>
    <xf numFmtId="0" fontId="11" fillId="0" borderId="0"/>
    <xf numFmtId="0" fontId="11" fillId="0" borderId="0"/>
    <xf numFmtId="0" fontId="11" fillId="0" borderId="0"/>
    <xf numFmtId="0" fontId="15" fillId="0" borderId="0"/>
    <xf numFmtId="0" fontId="15"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5" fillId="0" borderId="0"/>
    <xf numFmtId="0" fontId="15" fillId="0" borderId="0"/>
    <xf numFmtId="0" fontId="11" fillId="0" borderId="0"/>
    <xf numFmtId="0" fontId="11" fillId="0" borderId="0"/>
    <xf numFmtId="0" fontId="15" fillId="0" borderId="0"/>
    <xf numFmtId="0" fontId="15" fillId="0" borderId="0"/>
    <xf numFmtId="0" fontId="15" fillId="0" borderId="0"/>
    <xf numFmtId="0" fontId="39" fillId="0" borderId="0"/>
    <xf numFmtId="0" fontId="31" fillId="0" borderId="0"/>
    <xf numFmtId="0" fontId="31" fillId="0" borderId="0"/>
    <xf numFmtId="0" fontId="31" fillId="0" borderId="0"/>
    <xf numFmtId="0" fontId="31" fillId="0" borderId="0"/>
    <xf numFmtId="0" fontId="15" fillId="0" borderId="0"/>
    <xf numFmtId="0" fontId="15" fillId="0" borderId="0"/>
    <xf numFmtId="0" fontId="15" fillId="0" borderId="0"/>
    <xf numFmtId="0" fontId="31" fillId="0" borderId="0"/>
    <xf numFmtId="0" fontId="11" fillId="0" borderId="0"/>
    <xf numFmtId="0" fontId="11" fillId="0" borderId="0"/>
    <xf numFmtId="0" fontId="11" fillId="0" borderId="0"/>
    <xf numFmtId="0" fontId="11" fillId="0" borderId="0"/>
    <xf numFmtId="0" fontId="15" fillId="0" borderId="0"/>
    <xf numFmtId="0" fontId="15" fillId="0" borderId="0"/>
    <xf numFmtId="0" fontId="11" fillId="0" borderId="0"/>
    <xf numFmtId="0" fontId="15"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5" fillId="0" borderId="0"/>
    <xf numFmtId="0" fontId="11" fillId="0" borderId="0"/>
    <xf numFmtId="0" fontId="15" fillId="0" borderId="0"/>
    <xf numFmtId="0" fontId="15" fillId="0" borderId="0"/>
    <xf numFmtId="0" fontId="15" fillId="0" borderId="0"/>
    <xf numFmtId="0" fontId="11" fillId="0" borderId="0"/>
    <xf numFmtId="0" fontId="11" fillId="0" borderId="0"/>
    <xf numFmtId="0" fontId="15" fillId="0" borderId="0"/>
    <xf numFmtId="0" fontId="11" fillId="0" borderId="0"/>
    <xf numFmtId="0" fontId="15" fillId="0" borderId="0"/>
    <xf numFmtId="0" fontId="15" fillId="0" borderId="0"/>
    <xf numFmtId="0" fontId="15" fillId="0" borderId="0"/>
    <xf numFmtId="0" fontId="11" fillId="0" borderId="0"/>
    <xf numFmtId="0" fontId="11" fillId="0" borderId="0"/>
    <xf numFmtId="0" fontId="15" fillId="0" borderId="0"/>
    <xf numFmtId="0" fontId="11" fillId="0" borderId="0"/>
    <xf numFmtId="0" fontId="15" fillId="0" borderId="0"/>
    <xf numFmtId="0" fontId="15" fillId="0" borderId="0"/>
    <xf numFmtId="0" fontId="15" fillId="0" borderId="0"/>
    <xf numFmtId="0" fontId="11" fillId="0" borderId="0"/>
    <xf numFmtId="0" fontId="11" fillId="0" borderId="0"/>
    <xf numFmtId="0" fontId="15" fillId="0" borderId="0"/>
    <xf numFmtId="0" fontId="11" fillId="0" borderId="0"/>
    <xf numFmtId="0" fontId="15" fillId="0" borderId="0"/>
    <xf numFmtId="0" fontId="15" fillId="0" borderId="0"/>
    <xf numFmtId="0" fontId="15" fillId="0" borderId="0"/>
    <xf numFmtId="0" fontId="11" fillId="0" borderId="0"/>
    <xf numFmtId="0" fontId="11" fillId="0" borderId="0"/>
    <xf numFmtId="0" fontId="15" fillId="0" borderId="0"/>
    <xf numFmtId="0" fontId="15" fillId="0" borderId="0"/>
    <xf numFmtId="0" fontId="11" fillId="0" borderId="0"/>
    <xf numFmtId="0" fontId="11" fillId="0" borderId="0"/>
    <xf numFmtId="0" fontId="11" fillId="0" borderId="0"/>
    <xf numFmtId="0" fontId="11" fillId="0" borderId="0"/>
    <xf numFmtId="0" fontId="11" fillId="0" borderId="0"/>
    <xf numFmtId="0" fontId="15" fillId="0" borderId="0"/>
    <xf numFmtId="0" fontId="15" fillId="0" borderId="0"/>
    <xf numFmtId="0" fontId="15" fillId="0" borderId="0"/>
    <xf numFmtId="0" fontId="11" fillId="0" borderId="0"/>
    <xf numFmtId="0" fontId="15" fillId="0" borderId="0"/>
    <xf numFmtId="0" fontId="15" fillId="0" borderId="0"/>
    <xf numFmtId="0" fontId="31" fillId="0" borderId="0"/>
    <xf numFmtId="0" fontId="15" fillId="0" borderId="0"/>
    <xf numFmtId="0" fontId="15" fillId="0" borderId="0"/>
    <xf numFmtId="0" fontId="15" fillId="0" borderId="0"/>
    <xf numFmtId="0" fontId="31" fillId="0" borderId="0"/>
    <xf numFmtId="0" fontId="15" fillId="0" borderId="0"/>
    <xf numFmtId="0" fontId="15" fillId="0" borderId="0"/>
    <xf numFmtId="0" fontId="15" fillId="0" borderId="0"/>
    <xf numFmtId="0" fontId="39" fillId="0" borderId="0"/>
    <xf numFmtId="0" fontId="11" fillId="0" borderId="0"/>
    <xf numFmtId="0" fontId="39" fillId="0" borderId="0"/>
    <xf numFmtId="0" fontId="11" fillId="0" borderId="0"/>
    <xf numFmtId="0" fontId="11" fillId="0" borderId="0"/>
    <xf numFmtId="0" fontId="11" fillId="0" borderId="0"/>
    <xf numFmtId="0" fontId="11" fillId="0" borderId="0"/>
    <xf numFmtId="0" fontId="11" fillId="0" borderId="0"/>
    <xf numFmtId="0" fontId="39" fillId="0" borderId="0"/>
    <xf numFmtId="0" fontId="15" fillId="0" borderId="0"/>
    <xf numFmtId="0" fontId="11" fillId="0" borderId="0"/>
    <xf numFmtId="0" fontId="11" fillId="0" borderId="0"/>
    <xf numFmtId="0" fontId="11" fillId="0" borderId="0"/>
    <xf numFmtId="0" fontId="31"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1" fillId="0" borderId="0"/>
    <xf numFmtId="0" fontId="11" fillId="0" borderId="0"/>
    <xf numFmtId="0" fontId="15" fillId="0" borderId="0"/>
    <xf numFmtId="0" fontId="11" fillId="0" borderId="0"/>
    <xf numFmtId="0" fontId="33" fillId="0" borderId="0"/>
    <xf numFmtId="0" fontId="33" fillId="0" borderId="0"/>
    <xf numFmtId="0" fontId="33" fillId="0" borderId="0"/>
    <xf numFmtId="0" fontId="15" fillId="0" borderId="0"/>
    <xf numFmtId="0" fontId="15" fillId="0" borderId="0"/>
    <xf numFmtId="0" fontId="15" fillId="0" borderId="0"/>
    <xf numFmtId="0" fontId="15" fillId="0" borderId="0"/>
    <xf numFmtId="0" fontId="81" fillId="0" borderId="0"/>
    <xf numFmtId="0" fontId="15" fillId="0" borderId="0"/>
    <xf numFmtId="0" fontId="32" fillId="0" borderId="0"/>
    <xf numFmtId="0" fontId="32" fillId="0" borderId="0"/>
    <xf numFmtId="0" fontId="15" fillId="0" borderId="0"/>
    <xf numFmtId="0" fontId="15" fillId="0" borderId="0"/>
    <xf numFmtId="0" fontId="31" fillId="0" borderId="0"/>
    <xf numFmtId="0" fontId="11" fillId="0" borderId="0"/>
    <xf numFmtId="0" fontId="33" fillId="0" borderId="0"/>
    <xf numFmtId="0" fontId="33" fillId="0" borderId="0"/>
    <xf numFmtId="0" fontId="33" fillId="0" borderId="0"/>
    <xf numFmtId="0" fontId="33" fillId="0" borderId="0"/>
    <xf numFmtId="0" fontId="32" fillId="0" borderId="0"/>
    <xf numFmtId="0" fontId="15" fillId="0" borderId="0"/>
    <xf numFmtId="0" fontId="15" fillId="0" borderId="0"/>
    <xf numFmtId="0" fontId="15" fillId="0" borderId="0"/>
    <xf numFmtId="0" fontId="33" fillId="0" borderId="0"/>
    <xf numFmtId="0" fontId="33" fillId="0" borderId="0"/>
    <xf numFmtId="0" fontId="39" fillId="0" borderId="0"/>
    <xf numFmtId="0" fontId="15" fillId="0" borderId="0"/>
    <xf numFmtId="0" fontId="39"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39" fillId="0" borderId="0"/>
    <xf numFmtId="0" fontId="39" fillId="0" borderId="0"/>
    <xf numFmtId="0" fontId="39" fillId="0" borderId="0"/>
    <xf numFmtId="0" fontId="33" fillId="0" borderId="0"/>
    <xf numFmtId="0" fontId="31" fillId="0" borderId="0"/>
    <xf numFmtId="0" fontId="15" fillId="0" borderId="0"/>
    <xf numFmtId="0" fontId="15" fillId="0" borderId="0"/>
    <xf numFmtId="0" fontId="33" fillId="0" borderId="0"/>
    <xf numFmtId="0" fontId="15" fillId="20" borderId="11" applyNumberFormat="0" applyFont="0" applyAlignment="0" applyProtection="0"/>
    <xf numFmtId="0" fontId="15" fillId="20" borderId="11" applyNumberFormat="0" applyFont="0" applyAlignment="0" applyProtection="0"/>
    <xf numFmtId="0" fontId="15" fillId="20" borderId="11" applyNumberFormat="0" applyFont="0" applyAlignment="0" applyProtection="0"/>
    <xf numFmtId="0" fontId="15" fillId="20" borderId="11" applyNumberFormat="0" applyFont="0" applyAlignment="0" applyProtection="0"/>
    <xf numFmtId="0" fontId="15" fillId="20" borderId="11" applyNumberFormat="0" applyFont="0" applyAlignment="0" applyProtection="0"/>
    <xf numFmtId="0" fontId="15" fillId="20" borderId="11" applyNumberFormat="0" applyFont="0" applyAlignment="0" applyProtection="0"/>
    <xf numFmtId="0" fontId="15" fillId="36" borderId="11" applyNumberFormat="0" applyFont="0" applyAlignment="0" applyProtection="0"/>
    <xf numFmtId="0" fontId="15" fillId="20" borderId="11" applyNumberFormat="0" applyFont="0" applyAlignment="0" applyProtection="0"/>
    <xf numFmtId="0" fontId="15" fillId="36" borderId="11" applyNumberFormat="0" applyFont="0" applyAlignment="0" applyProtection="0"/>
    <xf numFmtId="0" fontId="15" fillId="36" borderId="11" applyNumberFormat="0" applyFont="0" applyAlignment="0" applyProtection="0"/>
    <xf numFmtId="0" fontId="15" fillId="20" borderId="11" applyNumberFormat="0" applyFont="0" applyAlignment="0" applyProtection="0"/>
    <xf numFmtId="0" fontId="15" fillId="20" borderId="11" applyNumberFormat="0" applyFont="0" applyAlignment="0" applyProtection="0"/>
    <xf numFmtId="0" fontId="15" fillId="20" borderId="11" applyNumberFormat="0" applyFont="0" applyAlignment="0" applyProtection="0"/>
    <xf numFmtId="0" fontId="15" fillId="20" borderId="11" applyNumberFormat="0" applyFont="0" applyAlignment="0" applyProtection="0"/>
    <xf numFmtId="0" fontId="15" fillId="20" borderId="11" applyNumberFormat="0" applyFont="0" applyAlignment="0" applyProtection="0"/>
    <xf numFmtId="0" fontId="15" fillId="20" borderId="11" applyNumberFormat="0" applyFont="0" applyAlignment="0" applyProtection="0"/>
    <xf numFmtId="0" fontId="15" fillId="20" borderId="11" applyNumberFormat="0" applyFont="0" applyAlignment="0" applyProtection="0"/>
    <xf numFmtId="0" fontId="51" fillId="37" borderId="12" applyNumberFormat="0" applyAlignment="0" applyProtection="0"/>
    <xf numFmtId="0" fontId="51" fillId="37" borderId="12" applyNumberFormat="0" applyAlignment="0" applyProtection="0"/>
    <xf numFmtId="0" fontId="51" fillId="37" borderId="12" applyNumberFormat="0" applyAlignment="0" applyProtection="0"/>
    <xf numFmtId="0" fontId="51" fillId="37" borderId="12" applyNumberFormat="0" applyAlignment="0" applyProtection="0"/>
    <xf numFmtId="0" fontId="51" fillId="37" borderId="12" applyNumberFormat="0" applyAlignment="0" applyProtection="0"/>
    <xf numFmtId="0" fontId="51" fillId="37" borderId="12" applyNumberFormat="0" applyAlignment="0" applyProtection="0"/>
    <xf numFmtId="0" fontId="51" fillId="28" borderId="12" applyNumberFormat="0" applyAlignment="0" applyProtection="0"/>
    <xf numFmtId="0" fontId="51" fillId="37" borderId="12" applyNumberFormat="0" applyAlignment="0" applyProtection="0"/>
    <xf numFmtId="0" fontId="51" fillId="28" borderId="12" applyNumberFormat="0" applyAlignment="0" applyProtection="0"/>
    <xf numFmtId="0" fontId="51" fillId="28" borderId="12" applyNumberFormat="0" applyAlignment="0" applyProtection="0"/>
    <xf numFmtId="0" fontId="51" fillId="37" borderId="12" applyNumberFormat="0" applyAlignment="0" applyProtection="0"/>
    <xf numFmtId="0" fontId="51" fillId="37" borderId="12" applyNumberFormat="0" applyAlignment="0" applyProtection="0"/>
    <xf numFmtId="0" fontId="51" fillId="37" borderId="12" applyNumberFormat="0" applyAlignment="0" applyProtection="0"/>
    <xf numFmtId="0" fontId="51" fillId="37" borderId="12" applyNumberFormat="0" applyAlignment="0" applyProtection="0"/>
    <xf numFmtId="0" fontId="51" fillId="37" borderId="12" applyNumberFormat="0" applyAlignment="0" applyProtection="0"/>
    <xf numFmtId="0" fontId="51" fillId="37" borderId="12" applyNumberFormat="0" applyAlignment="0" applyProtection="0"/>
    <xf numFmtId="0" fontId="51" fillId="37" borderId="12" applyNumberFormat="0" applyAlignment="0" applyProtection="0"/>
    <xf numFmtId="10" fontId="15" fillId="0" borderId="0" applyFont="0" applyFill="0" applyBorder="0" applyAlignment="0" applyProtection="0"/>
    <xf numFmtId="10" fontId="15" fillId="0" borderId="0" applyFont="0" applyFill="0" applyBorder="0" applyAlignment="0" applyProtection="0"/>
    <xf numFmtId="9" fontId="15"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3" fillId="0" borderId="0" applyFont="0" applyFill="0" applyBorder="0" applyAlignment="0" applyProtection="0"/>
    <xf numFmtId="9" fontId="15" fillId="0" borderId="0" applyFont="0" applyFill="0" applyBorder="0" applyAlignment="0" applyProtection="0"/>
    <xf numFmtId="9" fontId="15" fillId="0" borderId="0" applyFont="0" applyFill="0" applyBorder="0" applyAlignment="0" applyProtection="0"/>
    <xf numFmtId="9" fontId="15" fillId="0" borderId="0" applyFont="0" applyFill="0" applyBorder="0" applyAlignment="0" applyProtection="0"/>
    <xf numFmtId="9" fontId="15" fillId="0" borderId="0" applyFont="0" applyFill="0" applyBorder="0" applyAlignment="0" applyProtection="0"/>
    <xf numFmtId="9" fontId="15" fillId="0" borderId="0" applyFont="0" applyFill="0" applyBorder="0" applyAlignment="0" applyProtection="0"/>
    <xf numFmtId="9" fontId="15" fillId="0" borderId="0" applyFont="0" applyFill="0" applyBorder="0" applyAlignment="0" applyProtection="0"/>
    <xf numFmtId="9" fontId="15" fillId="0" borderId="0" applyFont="0" applyFill="0" applyBorder="0" applyAlignment="0" applyProtection="0"/>
    <xf numFmtId="9" fontId="15" fillId="0" borderId="0" applyFont="0" applyFill="0" applyBorder="0" applyAlignment="0" applyProtection="0"/>
    <xf numFmtId="9" fontId="15" fillId="0" borderId="0" applyFont="0" applyFill="0" applyBorder="0" applyAlignment="0" applyProtection="0"/>
    <xf numFmtId="9" fontId="15" fillId="0" borderId="0" applyFont="0" applyFill="0" applyBorder="0" applyAlignment="0" applyProtection="0"/>
    <xf numFmtId="9" fontId="15" fillId="0" borderId="0" applyFont="0" applyFill="0" applyBorder="0" applyAlignment="0" applyProtection="0"/>
    <xf numFmtId="9" fontId="15" fillId="0" borderId="0" applyFont="0" applyFill="0" applyBorder="0" applyAlignment="0" applyProtection="0"/>
    <xf numFmtId="9" fontId="15" fillId="0" borderId="0" applyFont="0" applyFill="0" applyBorder="0" applyAlignment="0" applyProtection="0"/>
    <xf numFmtId="9" fontId="15" fillId="0" borderId="0" applyFont="0" applyFill="0" applyBorder="0" applyAlignment="0" applyProtection="0"/>
    <xf numFmtId="9" fontId="15" fillId="0" borderId="0" applyFont="0" applyFill="0" applyBorder="0" applyAlignment="0" applyProtection="0"/>
    <xf numFmtId="9" fontId="15" fillId="0" borderId="0" applyFont="0" applyFill="0" applyBorder="0" applyAlignment="0" applyProtection="0"/>
    <xf numFmtId="9" fontId="39" fillId="0" borderId="0" applyFont="0" applyFill="0" applyBorder="0" applyAlignment="0" applyProtection="0"/>
    <xf numFmtId="9" fontId="15" fillId="0" borderId="0" applyFont="0" applyFill="0" applyBorder="0" applyAlignment="0" applyProtection="0"/>
    <xf numFmtId="9" fontId="15"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3" fillId="0" borderId="0" applyFont="0" applyFill="0" applyBorder="0" applyAlignment="0" applyProtection="0"/>
    <xf numFmtId="9" fontId="33" fillId="0" borderId="0" applyFont="0" applyFill="0" applyBorder="0" applyAlignment="0" applyProtection="0"/>
    <xf numFmtId="9" fontId="15" fillId="0" borderId="0" applyFont="0" applyFill="0" applyBorder="0" applyAlignment="0" applyProtection="0"/>
    <xf numFmtId="9" fontId="15" fillId="0" borderId="0" applyFont="0" applyFill="0" applyBorder="0" applyAlignment="0" applyProtection="0"/>
    <xf numFmtId="9" fontId="15" fillId="0" borderId="0" applyFont="0" applyFill="0" applyBorder="0" applyAlignment="0" applyProtection="0"/>
    <xf numFmtId="9" fontId="33" fillId="0" borderId="0" applyFont="0" applyFill="0" applyBorder="0" applyAlignment="0" applyProtection="0"/>
    <xf numFmtId="9" fontId="33" fillId="0" borderId="0" applyFont="0" applyFill="0" applyBorder="0" applyAlignment="0" applyProtection="0"/>
    <xf numFmtId="9" fontId="33" fillId="0" borderId="0" applyFont="0" applyFill="0" applyBorder="0" applyAlignment="0" applyProtection="0"/>
    <xf numFmtId="9" fontId="33" fillId="0" borderId="0" applyFont="0" applyFill="0" applyBorder="0" applyAlignment="0" applyProtection="0"/>
    <xf numFmtId="9" fontId="33" fillId="0" borderId="0" applyFont="0" applyFill="0" applyBorder="0" applyAlignment="0" applyProtection="0"/>
    <xf numFmtId="9" fontId="33" fillId="0" borderId="0" applyFont="0" applyFill="0" applyBorder="0" applyAlignment="0" applyProtection="0"/>
    <xf numFmtId="9" fontId="39" fillId="0" borderId="0" applyFont="0" applyFill="0" applyBorder="0" applyAlignment="0" applyProtection="0"/>
    <xf numFmtId="9" fontId="39" fillId="0" borderId="0" applyFont="0" applyFill="0" applyBorder="0" applyAlignment="0" applyProtection="0"/>
    <xf numFmtId="9" fontId="31" fillId="0" borderId="0" applyFont="0" applyFill="0" applyBorder="0" applyAlignment="0" applyProtection="0"/>
    <xf numFmtId="9" fontId="15" fillId="0" borderId="0" applyFont="0" applyFill="0" applyBorder="0" applyAlignment="0" applyProtection="0"/>
    <xf numFmtId="9" fontId="15" fillId="0" borderId="0" applyFont="0" applyFill="0" applyBorder="0" applyAlignment="0" applyProtection="0"/>
    <xf numFmtId="0" fontId="82" fillId="0" borderId="0">
      <alignment vertical="top"/>
    </xf>
    <xf numFmtId="14" fontId="20" fillId="0" borderId="0" applyNumberFormat="0" applyFill="0" applyBorder="0" applyAlignment="0" applyProtection="0">
      <alignment horizontal="left"/>
    </xf>
    <xf numFmtId="0" fontId="83" fillId="0" borderId="0"/>
    <xf numFmtId="0" fontId="56" fillId="0" borderId="0"/>
    <xf numFmtId="0" fontId="84" fillId="0" borderId="0"/>
    <xf numFmtId="0" fontId="84" fillId="0" borderId="0"/>
    <xf numFmtId="0" fontId="85" fillId="0" borderId="25">
      <alignment wrapText="1"/>
    </xf>
    <xf numFmtId="0" fontId="28" fillId="0" borderId="8">
      <alignment horizontal="center"/>
    </xf>
    <xf numFmtId="0" fontId="28" fillId="0" borderId="8">
      <alignment horizontal="center"/>
    </xf>
    <xf numFmtId="0" fontId="28" fillId="0" borderId="8">
      <alignment horizontal="center"/>
    </xf>
    <xf numFmtId="0" fontId="28" fillId="0" borderId="8">
      <alignment horizontal="center"/>
    </xf>
    <xf numFmtId="0" fontId="28" fillId="0" borderId="0">
      <alignment horizontal="center" vertical="center"/>
    </xf>
    <xf numFmtId="0" fontId="28" fillId="0" borderId="0">
      <alignment horizontal="center" vertical="center"/>
    </xf>
    <xf numFmtId="0" fontId="28" fillId="0" borderId="0">
      <alignment horizontal="center" vertical="center"/>
    </xf>
    <xf numFmtId="0" fontId="28" fillId="0" borderId="0">
      <alignment horizontal="center" vertical="center"/>
    </xf>
    <xf numFmtId="0" fontId="28" fillId="0" borderId="0">
      <alignment horizontal="center" vertical="center"/>
    </xf>
    <xf numFmtId="0" fontId="28" fillId="0" borderId="0">
      <alignment horizontal="center" vertical="center"/>
    </xf>
    <xf numFmtId="0" fontId="29" fillId="37" borderId="0" applyNumberFormat="0" applyFill="0">
      <alignment horizontal="left" vertical="center"/>
    </xf>
    <xf numFmtId="0" fontId="29" fillId="37" borderId="0" applyNumberFormat="0" applyFill="0">
      <alignment horizontal="left" vertical="center"/>
    </xf>
    <xf numFmtId="0" fontId="29" fillId="37" borderId="0" applyNumberFormat="0" applyFill="0">
      <alignment horizontal="left" vertical="center"/>
    </xf>
    <xf numFmtId="0" fontId="29" fillId="37" borderId="0" applyNumberFormat="0" applyFill="0">
      <alignment horizontal="left" vertical="center"/>
    </xf>
    <xf numFmtId="0" fontId="29" fillId="37" borderId="0" applyNumberFormat="0" applyFill="0">
      <alignment horizontal="left" vertical="center"/>
    </xf>
    <xf numFmtId="0" fontId="29" fillId="37" borderId="0" applyNumberFormat="0" applyFill="0">
      <alignment horizontal="left" vertical="center"/>
    </xf>
    <xf numFmtId="49" fontId="15" fillId="0" borderId="0"/>
    <xf numFmtId="171" fontId="15" fillId="0" borderId="0" applyFont="0" applyFill="0" applyBorder="0" applyAlignment="0" applyProtection="0"/>
    <xf numFmtId="171" fontId="15" fillId="0" borderId="0" applyFont="0" applyFill="0" applyBorder="0" applyAlignment="0" applyProtection="0"/>
    <xf numFmtId="0" fontId="15" fillId="0" borderId="0"/>
    <xf numFmtId="0" fontId="15" fillId="0" borderId="0"/>
    <xf numFmtId="0" fontId="52" fillId="0" borderId="0" applyNumberFormat="0" applyFill="0" applyBorder="0" applyAlignment="0" applyProtection="0"/>
    <xf numFmtId="0" fontId="52" fillId="0" borderId="0" applyNumberFormat="0" applyFill="0" applyBorder="0" applyAlignment="0" applyProtection="0"/>
    <xf numFmtId="0" fontId="52" fillId="0" borderId="0" applyNumberFormat="0" applyFill="0" applyBorder="0" applyAlignment="0" applyProtection="0"/>
    <xf numFmtId="0" fontId="52" fillId="0" borderId="0" applyNumberFormat="0" applyFill="0" applyBorder="0" applyAlignment="0" applyProtection="0"/>
    <xf numFmtId="0" fontId="52" fillId="0" borderId="0" applyNumberFormat="0" applyFill="0" applyBorder="0" applyAlignment="0" applyProtection="0"/>
    <xf numFmtId="0" fontId="52" fillId="0" borderId="0" applyNumberFormat="0" applyFill="0" applyBorder="0" applyAlignment="0" applyProtection="0"/>
    <xf numFmtId="0" fontId="52" fillId="0" borderId="0" applyNumberFormat="0" applyFill="0" applyBorder="0" applyAlignment="0" applyProtection="0"/>
    <xf numFmtId="0" fontId="52" fillId="0" borderId="0" applyNumberFormat="0" applyFill="0" applyBorder="0" applyAlignment="0" applyProtection="0"/>
    <xf numFmtId="0" fontId="52" fillId="0" borderId="0" applyNumberFormat="0" applyFill="0" applyBorder="0" applyAlignment="0" applyProtection="0"/>
    <xf numFmtId="0" fontId="36" fillId="0" borderId="26" applyNumberFormat="0" applyFill="0" applyAlignment="0" applyProtection="0"/>
    <xf numFmtId="0" fontId="36" fillId="0" borderId="26" applyNumberFormat="0" applyFill="0" applyAlignment="0" applyProtection="0"/>
    <xf numFmtId="0" fontId="36" fillId="0" borderId="26" applyNumberFormat="0" applyFill="0" applyAlignment="0" applyProtection="0"/>
    <xf numFmtId="0" fontId="36" fillId="0" borderId="26" applyNumberFormat="0" applyFill="0" applyAlignment="0" applyProtection="0"/>
    <xf numFmtId="0" fontId="36" fillId="0" borderId="26" applyNumberFormat="0" applyFill="0" applyAlignment="0" applyProtection="0"/>
    <xf numFmtId="0" fontId="36" fillId="0" borderId="26" applyNumberFormat="0" applyFill="0" applyAlignment="0" applyProtection="0"/>
    <xf numFmtId="0" fontId="36" fillId="0" borderId="13" applyNumberFormat="0" applyFill="0" applyAlignment="0" applyProtection="0"/>
    <xf numFmtId="0" fontId="36" fillId="0" borderId="26" applyNumberFormat="0" applyFill="0" applyAlignment="0" applyProtection="0"/>
    <xf numFmtId="0" fontId="36" fillId="0" borderId="13" applyNumberFormat="0" applyFill="0" applyAlignment="0" applyProtection="0"/>
    <xf numFmtId="0" fontId="36" fillId="0" borderId="13" applyNumberFormat="0" applyFill="0" applyAlignment="0" applyProtection="0"/>
    <xf numFmtId="0" fontId="36" fillId="0" borderId="26" applyNumberFormat="0" applyFill="0" applyAlignment="0" applyProtection="0"/>
    <xf numFmtId="0" fontId="36" fillId="0" borderId="26" applyNumberFormat="0" applyFill="0" applyAlignment="0" applyProtection="0"/>
    <xf numFmtId="0" fontId="36" fillId="0" borderId="26" applyNumberFormat="0" applyFill="0" applyAlignment="0" applyProtection="0"/>
    <xf numFmtId="0" fontId="36" fillId="0" borderId="26" applyNumberFormat="0" applyFill="0" applyAlignment="0" applyProtection="0"/>
    <xf numFmtId="0" fontId="36" fillId="0" borderId="26" applyNumberFormat="0" applyFill="0" applyAlignment="0" applyProtection="0"/>
    <xf numFmtId="0" fontId="36" fillId="0" borderId="26" applyNumberFormat="0" applyFill="0" applyAlignment="0" applyProtection="0"/>
    <xf numFmtId="0" fontId="36" fillId="0" borderId="26" applyNumberFormat="0" applyFill="0" applyAlignment="0" applyProtection="0"/>
    <xf numFmtId="176" fontId="23" fillId="0" borderId="8">
      <alignment horizontal="center" vertical="center"/>
    </xf>
    <xf numFmtId="176" fontId="23" fillId="0" borderId="8">
      <alignment horizontal="center" vertical="center"/>
    </xf>
    <xf numFmtId="176" fontId="23" fillId="0" borderId="8">
      <alignment horizontal="center" vertical="center"/>
    </xf>
    <xf numFmtId="176" fontId="23" fillId="0" borderId="8">
      <alignment horizontal="center" vertical="center"/>
    </xf>
    <xf numFmtId="176" fontId="23" fillId="0" borderId="8">
      <alignment horizontal="center" vertical="center"/>
    </xf>
    <xf numFmtId="176" fontId="23" fillId="0" borderId="8">
      <alignment horizontal="center" vertical="center"/>
    </xf>
    <xf numFmtId="176" fontId="23" fillId="0" borderId="8">
      <alignment horizontal="center" vertical="center"/>
    </xf>
    <xf numFmtId="176" fontId="23" fillId="0" borderId="8">
      <alignment horizontal="center" vertical="center"/>
    </xf>
    <xf numFmtId="0" fontId="15" fillId="0" borderId="14">
      <alignment horizontal="center"/>
    </xf>
    <xf numFmtId="0" fontId="15" fillId="0" borderId="14">
      <alignment horizontal="center"/>
    </xf>
    <xf numFmtId="0" fontId="53" fillId="0" borderId="0" applyNumberFormat="0" applyFill="0" applyBorder="0" applyAlignment="0" applyProtection="0"/>
    <xf numFmtId="0" fontId="53" fillId="0" borderId="0" applyNumberFormat="0" applyFill="0" applyBorder="0" applyAlignment="0" applyProtection="0"/>
    <xf numFmtId="0" fontId="53" fillId="0" borderId="0" applyNumberFormat="0" applyFill="0" applyBorder="0" applyAlignment="0" applyProtection="0"/>
    <xf numFmtId="0" fontId="53" fillId="0" borderId="0" applyNumberFormat="0" applyFill="0" applyBorder="0" applyAlignment="0" applyProtection="0"/>
    <xf numFmtId="0" fontId="53" fillId="0" borderId="0" applyNumberFormat="0" applyFill="0" applyBorder="0" applyAlignment="0" applyProtection="0"/>
    <xf numFmtId="0" fontId="53" fillId="0" borderId="0" applyNumberFormat="0" applyFill="0" applyBorder="0" applyAlignment="0" applyProtection="0"/>
    <xf numFmtId="0" fontId="53" fillId="0" borderId="0" applyNumberFormat="0" applyFill="0" applyBorder="0" applyAlignment="0" applyProtection="0"/>
    <xf numFmtId="0" fontId="53" fillId="0" borderId="0" applyNumberFormat="0" applyFill="0" applyBorder="0" applyAlignment="0" applyProtection="0"/>
    <xf numFmtId="0" fontId="53" fillId="0" borderId="0" applyNumberFormat="0" applyFill="0" applyBorder="0" applyAlignment="0" applyProtection="0"/>
    <xf numFmtId="0" fontId="53" fillId="0" borderId="0" applyNumberFormat="0" applyFill="0" applyBorder="0" applyAlignment="0" applyProtection="0"/>
    <xf numFmtId="0" fontId="53" fillId="0" borderId="0" applyNumberFormat="0" applyFill="0" applyBorder="0" applyAlignment="0" applyProtection="0"/>
    <xf numFmtId="0" fontId="53" fillId="0" borderId="0" applyNumberFormat="0" applyFill="0" applyBorder="0" applyAlignment="0" applyProtection="0"/>
    <xf numFmtId="0" fontId="53" fillId="0" borderId="0" applyNumberFormat="0" applyFill="0" applyBorder="0" applyAlignment="0" applyProtection="0"/>
    <xf numFmtId="0" fontId="53" fillId="0" borderId="0" applyNumberFormat="0" applyFill="0" applyBorder="0" applyAlignment="0" applyProtection="0"/>
    <xf numFmtId="0" fontId="53" fillId="0" borderId="0" applyNumberFormat="0" applyFill="0" applyBorder="0" applyAlignment="0" applyProtection="0"/>
    <xf numFmtId="0" fontId="10" fillId="0" borderId="0"/>
    <xf numFmtId="0" fontId="33" fillId="0" borderId="0"/>
    <xf numFmtId="0" fontId="9" fillId="0" borderId="0"/>
    <xf numFmtId="171" fontId="15" fillId="0" borderId="0" applyFont="0" applyFill="0" applyBorder="0" applyAlignment="0" applyProtection="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15" fillId="0" borderId="0"/>
    <xf numFmtId="0" fontId="8" fillId="0" borderId="0"/>
    <xf numFmtId="0" fontId="8" fillId="0" borderId="0"/>
    <xf numFmtId="0" fontId="8" fillId="0" borderId="0"/>
    <xf numFmtId="0" fontId="8" fillId="0" borderId="0"/>
    <xf numFmtId="0" fontId="15" fillId="0" borderId="0"/>
    <xf numFmtId="0" fontId="15" fillId="0" borderId="0"/>
    <xf numFmtId="0" fontId="15" fillId="0" borderId="0"/>
    <xf numFmtId="0" fontId="15" fillId="0" borderId="0"/>
    <xf numFmtId="0" fontId="8" fillId="0" borderId="0"/>
    <xf numFmtId="0" fontId="8" fillId="0" borderId="0"/>
    <xf numFmtId="0" fontId="8" fillId="0" borderId="0"/>
    <xf numFmtId="0" fontId="15" fillId="0" borderId="0"/>
    <xf numFmtId="0" fontId="15" fillId="0" borderId="0"/>
    <xf numFmtId="0" fontId="15" fillId="0" borderId="0"/>
    <xf numFmtId="0" fontId="15" fillId="0" borderId="0"/>
    <xf numFmtId="0" fontId="7" fillId="0" borderId="0"/>
    <xf numFmtId="170" fontId="33" fillId="0" borderId="0" applyFont="0" applyFill="0" applyBorder="0" applyAlignment="0" applyProtection="0"/>
    <xf numFmtId="175" fontId="15" fillId="0" borderId="0" applyFont="0" applyFill="0" applyBorder="0" applyAlignment="0" applyProtection="0"/>
    <xf numFmtId="2" fontId="15" fillId="0" borderId="0" applyFont="0" applyFill="0" applyBorder="0" applyAlignment="0" applyProtection="0"/>
    <xf numFmtId="0" fontId="15" fillId="0" borderId="0"/>
    <xf numFmtId="0" fontId="15" fillId="0" borderId="0"/>
    <xf numFmtId="0" fontId="15" fillId="0" borderId="0"/>
    <xf numFmtId="0" fontId="33" fillId="0" borderId="0"/>
    <xf numFmtId="0" fontId="33" fillId="0" borderId="0"/>
    <xf numFmtId="0" fontId="33"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14" fontId="33" fillId="0" borderId="8" applyProtection="0"/>
    <xf numFmtId="0" fontId="33" fillId="0" borderId="0"/>
    <xf numFmtId="0" fontId="15" fillId="0" borderId="0"/>
    <xf numFmtId="0" fontId="33" fillId="0" borderId="0"/>
    <xf numFmtId="0" fontId="33" fillId="0" borderId="0"/>
    <xf numFmtId="0" fontId="33" fillId="0" borderId="0"/>
    <xf numFmtId="0" fontId="33" fillId="0" borderId="0"/>
    <xf numFmtId="0" fontId="33"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33" fillId="0" borderId="0"/>
    <xf numFmtId="9" fontId="15" fillId="0" borderId="0" applyFont="0" applyFill="0" applyBorder="0" applyAlignment="0" applyProtection="0"/>
    <xf numFmtId="9" fontId="15" fillId="0" borderId="0" applyFill="0" applyBorder="0" applyAlignment="0" applyProtection="0"/>
    <xf numFmtId="0" fontId="15" fillId="0" borderId="0"/>
    <xf numFmtId="0" fontId="15" fillId="0" borderId="14">
      <alignment horizontal="center"/>
    </xf>
    <xf numFmtId="0" fontId="15" fillId="0" borderId="14">
      <alignment horizontal="center"/>
    </xf>
    <xf numFmtId="0" fontId="15" fillId="0" borderId="14">
      <alignment horizontal="center"/>
    </xf>
    <xf numFmtId="0" fontId="15" fillId="0" borderId="14">
      <alignment horizontal="center"/>
    </xf>
    <xf numFmtId="0" fontId="13" fillId="0" borderId="0"/>
    <xf numFmtId="0" fontId="13" fillId="0" borderId="0"/>
    <xf numFmtId="0" fontId="6" fillId="0" borderId="0"/>
    <xf numFmtId="0" fontId="33" fillId="0" borderId="0"/>
    <xf numFmtId="0" fontId="13" fillId="0" borderId="0"/>
    <xf numFmtId="0" fontId="13" fillId="0" borderId="0"/>
    <xf numFmtId="0" fontId="13" fillId="0" borderId="0"/>
    <xf numFmtId="0" fontId="5" fillId="0" borderId="0"/>
    <xf numFmtId="9" fontId="124" fillId="0" borderId="0" applyFont="0" applyFill="0" applyBorder="0" applyAlignment="0" applyProtection="0"/>
    <xf numFmtId="0" fontId="4" fillId="0" borderId="0"/>
    <xf numFmtId="0" fontId="3" fillId="0" borderId="0"/>
    <xf numFmtId="0" fontId="13" fillId="0" borderId="0"/>
    <xf numFmtId="0" fontId="13" fillId="0" borderId="0"/>
    <xf numFmtId="0" fontId="13" fillId="0" borderId="0"/>
    <xf numFmtId="0" fontId="13" fillId="0" borderId="0"/>
    <xf numFmtId="0" fontId="13" fillId="0" borderId="0"/>
    <xf numFmtId="9" fontId="13" fillId="0" borderId="0" applyFont="0" applyFill="0" applyBorder="0" applyAlignment="0" applyProtection="0"/>
    <xf numFmtId="9" fontId="13" fillId="0" borderId="0" applyFont="0" applyFill="0" applyBorder="0" applyAlignment="0" applyProtection="0"/>
    <xf numFmtId="9" fontId="13" fillId="0" borderId="0" applyFont="0" applyFill="0" applyBorder="0" applyAlignment="0" applyProtection="0"/>
    <xf numFmtId="9" fontId="13" fillId="0" borderId="0" applyFont="0" applyFill="0" applyBorder="0" applyAlignment="0" applyProtection="0"/>
    <xf numFmtId="9" fontId="13" fillId="0" borderId="0" applyFont="0" applyFill="0" applyBorder="0" applyAlignment="0" applyProtection="0"/>
    <xf numFmtId="9" fontId="39" fillId="0" borderId="0" applyFont="0" applyFill="0" applyBorder="0" applyAlignment="0" applyProtection="0"/>
    <xf numFmtId="9" fontId="39" fillId="0" borderId="0" applyFont="0" applyFill="0" applyBorder="0" applyAlignment="0" applyProtection="0"/>
    <xf numFmtId="9" fontId="39" fillId="0" borderId="0" applyFont="0" applyFill="0" applyBorder="0" applyAlignment="0" applyProtection="0"/>
    <xf numFmtId="9" fontId="39" fillId="0" borderId="0" applyFont="0" applyFill="0" applyBorder="0" applyAlignment="0" applyProtection="0"/>
    <xf numFmtId="9" fontId="39" fillId="0" borderId="0" applyFont="0" applyFill="0" applyBorder="0" applyAlignment="0" applyProtection="0"/>
    <xf numFmtId="9" fontId="13" fillId="0" borderId="0" applyFont="0" applyFill="0" applyBorder="0" applyAlignment="0" applyProtection="0"/>
    <xf numFmtId="9" fontId="13" fillId="0" borderId="0" applyFont="0" applyFill="0" applyBorder="0" applyAlignment="0" applyProtection="0"/>
    <xf numFmtId="9" fontId="13" fillId="0" borderId="0" applyFont="0" applyFill="0" applyBorder="0" applyAlignment="0" applyProtection="0"/>
    <xf numFmtId="9" fontId="13" fillId="0" borderId="0" applyFont="0" applyFill="0" applyBorder="0" applyAlignment="0" applyProtection="0"/>
    <xf numFmtId="9" fontId="13" fillId="0" borderId="0" applyFont="0" applyFill="0" applyBorder="0" applyAlignment="0" applyProtection="0"/>
    <xf numFmtId="0" fontId="2"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166" fontId="13" fillId="0" borderId="0" applyFont="0" applyFill="0" applyBorder="0" applyAlignment="0" applyProtection="0"/>
    <xf numFmtId="166" fontId="13" fillId="0" borderId="0" applyFont="0" applyFill="0" applyBorder="0" applyAlignment="0" applyProtection="0"/>
    <xf numFmtId="166" fontId="13" fillId="0" borderId="0" applyFont="0" applyFill="0" applyBorder="0" applyAlignment="0" applyProtection="0"/>
    <xf numFmtId="166" fontId="13" fillId="0" borderId="0" applyFont="0" applyFill="0" applyBorder="0" applyAlignment="0" applyProtection="0"/>
    <xf numFmtId="166" fontId="13" fillId="0" borderId="0" applyFont="0" applyFill="0" applyBorder="0" applyAlignment="0" applyProtection="0"/>
    <xf numFmtId="166" fontId="13" fillId="0" borderId="0" applyFont="0" applyFill="0" applyBorder="0" applyAlignment="0" applyProtection="0"/>
    <xf numFmtId="166" fontId="13" fillId="0" borderId="0" applyFont="0" applyFill="0" applyBorder="0" applyAlignment="0" applyProtection="0"/>
    <xf numFmtId="166" fontId="13" fillId="0" borderId="0" applyFont="0" applyFill="0" applyBorder="0" applyAlignment="0" applyProtection="0"/>
    <xf numFmtId="166" fontId="13" fillId="0" borderId="0" applyFont="0" applyFill="0" applyBorder="0" applyAlignment="0" applyProtection="0"/>
    <xf numFmtId="166" fontId="13" fillId="0" borderId="0" applyFont="0" applyFill="0" applyBorder="0" applyAlignment="0" applyProtection="0"/>
    <xf numFmtId="166" fontId="13" fillId="0" borderId="0" applyFont="0" applyFill="0" applyBorder="0" applyAlignment="0" applyProtection="0"/>
    <xf numFmtId="165" fontId="13" fillId="0" borderId="0" applyFont="0" applyFill="0" applyBorder="0" applyAlignment="0" applyProtection="0"/>
    <xf numFmtId="165" fontId="13" fillId="0" borderId="0" applyFont="0" applyFill="0" applyBorder="0" applyAlignment="0" applyProtection="0"/>
    <xf numFmtId="165" fontId="13" fillId="0" borderId="0" applyFont="0" applyFill="0" applyBorder="0" applyAlignment="0" applyProtection="0"/>
    <xf numFmtId="165" fontId="13" fillId="0" borderId="0" applyFont="0" applyFill="0" applyBorder="0" applyAlignment="0" applyProtection="0"/>
    <xf numFmtId="165" fontId="13" fillId="0" borderId="0" applyFont="0" applyFill="0" applyBorder="0" applyAlignment="0" applyProtection="0"/>
    <xf numFmtId="165" fontId="13" fillId="0" borderId="0" applyFont="0" applyFill="0" applyBorder="0" applyAlignment="0" applyProtection="0"/>
    <xf numFmtId="165" fontId="13" fillId="0" borderId="0" applyFont="0" applyFill="0" applyBorder="0" applyAlignment="0" applyProtection="0"/>
    <xf numFmtId="165" fontId="13" fillId="0" borderId="0" applyFont="0" applyFill="0" applyBorder="0" applyAlignment="0" applyProtection="0"/>
    <xf numFmtId="165" fontId="13" fillId="0" borderId="0" applyFont="0" applyFill="0" applyBorder="0" applyAlignment="0" applyProtection="0"/>
    <xf numFmtId="165" fontId="13" fillId="0" borderId="0" applyFont="0" applyFill="0" applyBorder="0" applyAlignment="0" applyProtection="0"/>
    <xf numFmtId="165" fontId="13" fillId="0" borderId="0" applyFont="0" applyFill="0" applyBorder="0" applyAlignment="0" applyProtection="0"/>
    <xf numFmtId="165" fontId="13" fillId="0" borderId="0" applyFont="0" applyFill="0" applyBorder="0" applyAlignment="0" applyProtection="0"/>
    <xf numFmtId="165" fontId="13" fillId="0" borderId="0" applyFont="0" applyFill="0" applyBorder="0" applyAlignment="0" applyProtection="0"/>
    <xf numFmtId="165" fontId="13" fillId="0" borderId="0" applyFont="0" applyFill="0" applyBorder="0" applyAlignment="0" applyProtection="0"/>
    <xf numFmtId="165" fontId="13" fillId="0" borderId="0" applyFont="0" applyFill="0" applyBorder="0" applyAlignment="0" applyProtection="0"/>
    <xf numFmtId="1" fontId="13" fillId="0" borderId="0"/>
    <xf numFmtId="1" fontId="13" fillId="0" borderId="0"/>
    <xf numFmtId="1" fontId="13" fillId="0" borderId="0"/>
    <xf numFmtId="1" fontId="13" fillId="0" borderId="0"/>
    <xf numFmtId="1" fontId="13" fillId="0" borderId="0"/>
    <xf numFmtId="1" fontId="13" fillId="0" borderId="0"/>
    <xf numFmtId="1" fontId="13" fillId="0" borderId="0"/>
    <xf numFmtId="1" fontId="13" fillId="0" borderId="0"/>
    <xf numFmtId="1" fontId="13" fillId="0" borderId="0"/>
    <xf numFmtId="1" fontId="13" fillId="0" borderId="0"/>
    <xf numFmtId="1" fontId="13" fillId="0" borderId="0"/>
    <xf numFmtId="1" fontId="13" fillId="0" borderId="0"/>
    <xf numFmtId="1" fontId="13" fillId="0" borderId="0"/>
    <xf numFmtId="1" fontId="13" fillId="0" borderId="0"/>
    <xf numFmtId="1" fontId="13" fillId="0" borderId="0"/>
    <xf numFmtId="38" fontId="16" fillId="33" borderId="0" applyNumberFormat="0" applyBorder="0" applyAlignment="0" applyProtection="0"/>
    <xf numFmtId="38" fontId="16" fillId="33" borderId="0" applyNumberFormat="0" applyBorder="0" applyAlignment="0" applyProtection="0"/>
    <xf numFmtId="38" fontId="16" fillId="33" borderId="0" applyNumberFormat="0" applyBorder="0" applyAlignment="0" applyProtection="0"/>
    <xf numFmtId="38" fontId="16" fillId="33" borderId="0" applyNumberFormat="0" applyBorder="0" applyAlignment="0" applyProtection="0"/>
    <xf numFmtId="10" fontId="16" fillId="34" borderId="8" applyNumberFormat="0" applyBorder="0" applyAlignment="0" applyProtection="0"/>
    <xf numFmtId="10" fontId="16" fillId="34" borderId="8" applyNumberFormat="0" applyBorder="0" applyAlignment="0" applyProtection="0"/>
    <xf numFmtId="10" fontId="16" fillId="34" borderId="8" applyNumberFormat="0" applyBorder="0" applyAlignment="0" applyProtection="0"/>
    <xf numFmtId="10" fontId="16" fillId="34" borderId="8" applyNumberFormat="0" applyBorder="0" applyAlignment="0" applyProtection="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 fillId="0" borderId="0"/>
    <xf numFmtId="0" fontId="1" fillId="0" borderId="0"/>
    <xf numFmtId="0" fontId="13" fillId="0" borderId="0"/>
    <xf numFmtId="0" fontId="13" fillId="0" borderId="0"/>
    <xf numFmtId="0" fontId="1" fillId="0" borderId="0"/>
    <xf numFmtId="0" fontId="1" fillId="0" borderId="0"/>
    <xf numFmtId="0" fontId="1" fillId="0" borderId="0"/>
    <xf numFmtId="0" fontId="1" fillId="0" borderId="0"/>
    <xf numFmtId="0" fontId="1"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33" fillId="0" borderId="0"/>
    <xf numFmtId="0" fontId="3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10" fontId="13" fillId="0" borderId="0" applyFont="0" applyFill="0" applyBorder="0" applyAlignment="0" applyProtection="0"/>
    <xf numFmtId="10" fontId="13" fillId="0" borderId="0" applyFont="0" applyFill="0" applyBorder="0" applyAlignment="0" applyProtection="0"/>
    <xf numFmtId="10" fontId="13" fillId="0" borderId="0" applyFont="0" applyFill="0" applyBorder="0" applyAlignment="0" applyProtection="0"/>
    <xf numFmtId="10" fontId="13" fillId="0" borderId="0" applyFont="0" applyFill="0" applyBorder="0" applyAlignment="0" applyProtection="0"/>
    <xf numFmtId="10" fontId="13" fillId="0" borderId="0" applyFont="0" applyFill="0" applyBorder="0" applyAlignment="0" applyProtection="0"/>
    <xf numFmtId="10" fontId="13" fillId="0" borderId="0" applyFont="0" applyFill="0" applyBorder="0" applyAlignment="0" applyProtection="0"/>
    <xf numFmtId="10" fontId="13" fillId="0" borderId="0" applyFont="0" applyFill="0" applyBorder="0" applyAlignment="0" applyProtection="0"/>
    <xf numFmtId="10" fontId="13" fillId="0" borderId="0" applyFont="0" applyFill="0" applyBorder="0" applyAlignment="0" applyProtection="0"/>
    <xf numFmtId="10" fontId="13" fillId="0" borderId="0" applyFont="0" applyFill="0" applyBorder="0" applyAlignment="0" applyProtection="0"/>
    <xf numFmtId="10" fontId="13" fillId="0" borderId="0" applyFont="0" applyFill="0" applyBorder="0" applyAlignment="0" applyProtection="0"/>
    <xf numFmtId="10" fontId="13" fillId="0" borderId="0" applyFont="0" applyFill="0" applyBorder="0" applyAlignment="0" applyProtection="0"/>
    <xf numFmtId="10" fontId="13" fillId="0" borderId="0" applyFont="0" applyFill="0" applyBorder="0" applyAlignment="0" applyProtection="0"/>
    <xf numFmtId="10" fontId="13" fillId="0" borderId="0" applyFont="0" applyFill="0" applyBorder="0" applyAlignment="0" applyProtection="0"/>
    <xf numFmtId="10" fontId="13" fillId="0" borderId="0" applyFont="0" applyFill="0" applyBorder="0" applyAlignment="0" applyProtection="0"/>
    <xf numFmtId="10" fontId="13" fillId="0" borderId="0" applyFont="0" applyFill="0" applyBorder="0" applyAlignment="0" applyProtection="0"/>
    <xf numFmtId="9" fontId="13" fillId="0" borderId="0" applyFont="0" applyFill="0" applyBorder="0" applyAlignment="0" applyProtection="0"/>
    <xf numFmtId="9" fontId="13" fillId="0" borderId="0" applyFont="0" applyFill="0" applyBorder="0" applyAlignment="0" applyProtection="0"/>
    <xf numFmtId="9" fontId="13" fillId="0" borderId="0" applyFont="0" applyFill="0" applyBorder="0" applyAlignment="0" applyProtection="0"/>
    <xf numFmtId="9" fontId="13" fillId="0" borderId="0" applyFont="0" applyFill="0" applyBorder="0" applyAlignment="0" applyProtection="0"/>
    <xf numFmtId="9" fontId="13" fillId="0" borderId="0" applyFont="0" applyFill="0" applyBorder="0" applyAlignment="0" applyProtection="0"/>
    <xf numFmtId="0" fontId="84" fillId="0" borderId="0"/>
    <xf numFmtId="0" fontId="84" fillId="0" borderId="0"/>
    <xf numFmtId="0" fontId="84" fillId="0" borderId="0"/>
    <xf numFmtId="0" fontId="84" fillId="0" borderId="0"/>
    <xf numFmtId="171" fontId="13" fillId="0" borderId="0" applyFont="0" applyFill="0" applyBorder="0" applyAlignment="0" applyProtection="0"/>
    <xf numFmtId="171" fontId="13" fillId="0" borderId="0" applyFont="0" applyFill="0" applyBorder="0" applyAlignment="0" applyProtection="0"/>
    <xf numFmtId="171" fontId="13" fillId="0" borderId="0" applyFont="0" applyFill="0" applyBorder="0" applyAlignment="0" applyProtection="0"/>
    <xf numFmtId="171" fontId="13" fillId="0" borderId="0" applyFont="0" applyFill="0" applyBorder="0" applyAlignment="0" applyProtection="0"/>
    <xf numFmtId="171" fontId="13" fillId="0" borderId="0" applyFont="0" applyFill="0" applyBorder="0" applyAlignment="0" applyProtection="0"/>
    <xf numFmtId="171" fontId="13" fillId="0" borderId="0" applyFont="0" applyFill="0" applyBorder="0" applyAlignment="0" applyProtection="0"/>
    <xf numFmtId="171" fontId="13" fillId="0" borderId="0" applyFont="0" applyFill="0" applyBorder="0" applyAlignment="0" applyProtection="0"/>
    <xf numFmtId="171" fontId="13" fillId="0" borderId="0" applyFont="0" applyFill="0" applyBorder="0" applyAlignment="0" applyProtection="0"/>
    <xf numFmtId="171" fontId="13" fillId="0" borderId="0" applyFont="0" applyFill="0" applyBorder="0" applyAlignment="0" applyProtection="0"/>
    <xf numFmtId="171" fontId="13" fillId="0" borderId="0" applyFont="0" applyFill="0" applyBorder="0" applyAlignment="0" applyProtection="0"/>
    <xf numFmtId="171" fontId="13" fillId="0" borderId="0" applyFont="0" applyFill="0" applyBorder="0" applyAlignment="0" applyProtection="0"/>
    <xf numFmtId="171" fontId="13" fillId="0" borderId="0" applyFont="0" applyFill="0" applyBorder="0" applyAlignment="0" applyProtection="0"/>
    <xf numFmtId="171" fontId="13" fillId="0" borderId="0" applyFont="0" applyFill="0" applyBorder="0" applyAlignment="0" applyProtection="0"/>
    <xf numFmtId="171" fontId="13" fillId="0" borderId="0" applyFont="0" applyFill="0" applyBorder="0" applyAlignment="0" applyProtection="0"/>
    <xf numFmtId="171" fontId="13" fillId="0" borderId="0" applyFont="0" applyFill="0" applyBorder="0" applyAlignment="0" applyProtection="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cellStyleXfs>
  <cellXfs count="1097">
    <xf numFmtId="0" fontId="0" fillId="0" borderId="0" xfId="0"/>
    <xf numFmtId="0" fontId="15" fillId="0" borderId="0" xfId="121" applyAlignment="1">
      <alignment vertical="center"/>
    </xf>
    <xf numFmtId="0" fontId="15" fillId="0" borderId="0" xfId="121" applyAlignment="1">
      <alignment horizontal="center"/>
    </xf>
    <xf numFmtId="0" fontId="61" fillId="0" borderId="0" xfId="121" applyFont="1" applyAlignment="1">
      <alignment horizontal="center" vertical="center"/>
    </xf>
    <xf numFmtId="0" fontId="64" fillId="0" borderId="0" xfId="121" applyFont="1"/>
    <xf numFmtId="0" fontId="65" fillId="0" borderId="0" xfId="121" applyFont="1" applyAlignment="1">
      <alignment horizontal="center"/>
    </xf>
    <xf numFmtId="0" fontId="65" fillId="0" borderId="0" xfId="121" applyFont="1" applyAlignment="1">
      <alignment horizontal="center" vertical="top"/>
    </xf>
    <xf numFmtId="0" fontId="65" fillId="0" borderId="0" xfId="121" applyFont="1" applyAlignment="1">
      <alignment horizontal="center" vertical="center"/>
    </xf>
    <xf numFmtId="0" fontId="68" fillId="0" borderId="0" xfId="121" applyFont="1" applyAlignment="1">
      <alignment horizontal="left" vertical="center" wrapText="1"/>
    </xf>
    <xf numFmtId="0" fontId="70" fillId="0" borderId="0" xfId="121" applyFont="1" applyAlignment="1">
      <alignment horizontal="center" vertical="center"/>
    </xf>
    <xf numFmtId="0" fontId="87" fillId="0" borderId="0" xfId="0" applyFont="1" applyAlignment="1">
      <alignment vertical="top"/>
    </xf>
    <xf numFmtId="2" fontId="87" fillId="0" borderId="15" xfId="0" applyNumberFormat="1" applyFont="1" applyBorder="1" applyAlignment="1">
      <alignment horizontal="right" vertical="top"/>
    </xf>
    <xf numFmtId="2" fontId="87" fillId="0" borderId="15" xfId="0" applyNumberFormat="1" applyFont="1" applyBorder="1" applyAlignment="1">
      <alignment horizontal="center" vertical="top"/>
    </xf>
    <xf numFmtId="0" fontId="87" fillId="0" borderId="15" xfId="95" applyFont="1" applyBorder="1" applyAlignment="1">
      <alignment horizontal="center" vertical="top"/>
    </xf>
    <xf numFmtId="0" fontId="87" fillId="0" borderId="15" xfId="95" applyFont="1" applyBorder="1" applyAlignment="1">
      <alignment horizontal="justify" vertical="top" wrapText="1"/>
    </xf>
    <xf numFmtId="2" fontId="87" fillId="0" borderId="15" xfId="95" applyNumberFormat="1" applyFont="1" applyBorder="1" applyAlignment="1">
      <alignment horizontal="center" vertical="top"/>
    </xf>
    <xf numFmtId="2" fontId="87" fillId="0" borderId="15" xfId="95" applyNumberFormat="1" applyFont="1" applyBorder="1" applyAlignment="1">
      <alignment horizontal="right" vertical="top"/>
    </xf>
    <xf numFmtId="0" fontId="87" fillId="0" borderId="15" xfId="95" applyFont="1" applyBorder="1" applyAlignment="1">
      <alignment horizontal="justify" vertical="top"/>
    </xf>
    <xf numFmtId="2" fontId="87" fillId="0" borderId="15" xfId="95" applyNumberFormat="1" applyFont="1" applyBorder="1" applyAlignment="1">
      <alignment vertical="top"/>
    </xf>
    <xf numFmtId="0" fontId="87" fillId="0" borderId="16" xfId="0" applyFont="1" applyBorder="1" applyAlignment="1">
      <alignment vertical="top" wrapText="1"/>
    </xf>
    <xf numFmtId="2" fontId="87" fillId="0" borderId="0" xfId="0" applyNumberFormat="1" applyFont="1" applyAlignment="1">
      <alignment vertical="top"/>
    </xf>
    <xf numFmtId="0" fontId="87" fillId="0" borderId="0" xfId="0" applyFont="1" applyAlignment="1">
      <alignment horizontal="center" vertical="top"/>
    </xf>
    <xf numFmtId="0" fontId="87" fillId="0" borderId="0" xfId="0" applyFont="1" applyAlignment="1">
      <alignment horizontal="right" vertical="top"/>
    </xf>
    <xf numFmtId="0" fontId="97" fillId="0" borderId="0" xfId="95" applyFont="1" applyAlignment="1">
      <alignment horizontal="center" vertical="center"/>
    </xf>
    <xf numFmtId="9" fontId="89" fillId="0" borderId="0" xfId="95" applyNumberFormat="1" applyFont="1" applyAlignment="1">
      <alignment horizontal="center" vertical="top" wrapText="1"/>
    </xf>
    <xf numFmtId="0" fontId="87" fillId="0" borderId="0" xfId="95" applyFont="1"/>
    <xf numFmtId="0" fontId="98" fillId="0" borderId="0" xfId="95" applyFont="1" applyAlignment="1">
      <alignment horizontal="center" vertical="center" wrapText="1"/>
    </xf>
    <xf numFmtId="0" fontId="97" fillId="0" borderId="0" xfId="95" applyFont="1"/>
    <xf numFmtId="0" fontId="97" fillId="0" borderId="0" xfId="95" applyFont="1" applyAlignment="1">
      <alignment horizontal="right" vertical="top" shrinkToFit="1"/>
    </xf>
    <xf numFmtId="0" fontId="97" fillId="0" borderId="0" xfId="95" applyFont="1" applyAlignment="1">
      <alignment vertical="top"/>
    </xf>
    <xf numFmtId="0" fontId="97" fillId="0" borderId="0" xfId="95" applyFont="1" applyAlignment="1">
      <alignment horizontal="center" vertical="top"/>
    </xf>
    <xf numFmtId="2" fontId="97" fillId="0" borderId="0" xfId="95" applyNumberFormat="1" applyFont="1" applyAlignment="1">
      <alignment horizontal="center" vertical="top" shrinkToFit="1"/>
    </xf>
    <xf numFmtId="0" fontId="97" fillId="0" borderId="0" xfId="95" applyFont="1" applyAlignment="1">
      <alignment horizontal="center" vertical="top" shrinkToFit="1"/>
    </xf>
    <xf numFmtId="0" fontId="90" fillId="0" borderId="15" xfId="95" applyFont="1" applyBorder="1" applyAlignment="1">
      <alignment horizontal="center" vertical="top" wrapText="1"/>
    </xf>
    <xf numFmtId="0" fontId="100" fillId="0" borderId="15" xfId="95" applyFont="1" applyBorder="1" applyAlignment="1">
      <alignment horizontal="center" vertical="top" wrapText="1"/>
    </xf>
    <xf numFmtId="0" fontId="90" fillId="0" borderId="15" xfId="95" applyFont="1" applyBorder="1" applyAlignment="1">
      <alignment vertical="top" wrapText="1"/>
    </xf>
    <xf numFmtId="170" fontId="90" fillId="0" borderId="15" xfId="95" applyNumberFormat="1" applyFont="1" applyBorder="1" applyAlignment="1">
      <alignment horizontal="right" vertical="top" wrapText="1"/>
    </xf>
    <xf numFmtId="0" fontId="90" fillId="0" borderId="15" xfId="95" applyFont="1" applyBorder="1" applyAlignment="1">
      <alignment horizontal="justify" vertical="top" wrapText="1"/>
    </xf>
    <xf numFmtId="2" fontId="90" fillId="0" borderId="15" xfId="95" applyNumberFormat="1" applyFont="1" applyBorder="1" applyAlignment="1">
      <alignment horizontal="center" vertical="top" shrinkToFit="1"/>
    </xf>
    <xf numFmtId="170" fontId="90" fillId="0" borderId="15" xfId="95" applyNumberFormat="1" applyFont="1" applyBorder="1" applyAlignment="1">
      <alignment horizontal="center" vertical="top" wrapText="1"/>
    </xf>
    <xf numFmtId="0" fontId="90" fillId="0" borderId="15" xfId="95" applyFont="1" applyBorder="1"/>
    <xf numFmtId="0" fontId="90" fillId="0" borderId="15" xfId="95" applyFont="1" applyBorder="1" applyAlignment="1">
      <alignment horizontal="center"/>
    </xf>
    <xf numFmtId="2" fontId="90" fillId="0" borderId="15" xfId="95" applyNumberFormat="1" applyFont="1" applyBorder="1" applyAlignment="1">
      <alignment horizontal="center"/>
    </xf>
    <xf numFmtId="2" fontId="90" fillId="0" borderId="15" xfId="95" applyNumberFormat="1" applyFont="1" applyBorder="1" applyAlignment="1">
      <alignment horizontal="right" wrapText="1"/>
    </xf>
    <xf numFmtId="0" fontId="101" fillId="0" borderId="15" xfId="1275" applyFont="1" applyBorder="1" applyAlignment="1">
      <alignment horizontal="center" vertical="top"/>
    </xf>
    <xf numFmtId="0" fontId="101" fillId="0" borderId="15" xfId="95" applyFont="1" applyBorder="1" applyAlignment="1">
      <alignment horizontal="left" vertical="top" wrapText="1"/>
    </xf>
    <xf numFmtId="0" fontId="101" fillId="0" borderId="15" xfId="95" applyFont="1" applyBorder="1" applyAlignment="1">
      <alignment horizontal="center" vertical="top" wrapText="1"/>
    </xf>
    <xf numFmtId="0" fontId="101" fillId="0" borderId="15" xfId="95" applyFont="1" applyBorder="1" applyAlignment="1">
      <alignment vertical="top"/>
    </xf>
    <xf numFmtId="0" fontId="101" fillId="0" borderId="15" xfId="95" applyFont="1" applyBorder="1" applyAlignment="1">
      <alignment horizontal="left" vertical="top"/>
    </xf>
    <xf numFmtId="0" fontId="102" fillId="0" borderId="0" xfId="1275" applyFont="1" applyAlignment="1">
      <alignment horizontal="justify" vertical="top" wrapText="1"/>
    </xf>
    <xf numFmtId="0" fontId="101" fillId="0" borderId="15" xfId="95" applyFont="1" applyBorder="1" applyAlignment="1">
      <alignment horizontal="justify" vertical="top" wrapText="1"/>
    </xf>
    <xf numFmtId="170" fontId="90" fillId="0" borderId="15" xfId="96" applyNumberFormat="1" applyFont="1" applyBorder="1" applyAlignment="1">
      <alignment horizontal="center" vertical="top" wrapText="1"/>
    </xf>
    <xf numFmtId="170" fontId="90" fillId="0" borderId="15" xfId="96" applyNumberFormat="1" applyFont="1" applyBorder="1" applyAlignment="1">
      <alignment horizontal="right" vertical="top" wrapText="1"/>
    </xf>
    <xf numFmtId="0" fontId="93" fillId="0" borderId="0" xfId="95" applyFont="1" applyAlignment="1">
      <alignment vertical="top"/>
    </xf>
    <xf numFmtId="0" fontId="90" fillId="0" borderId="15" xfId="95" applyFont="1" applyBorder="1" applyAlignment="1">
      <alignment vertical="top"/>
    </xf>
    <xf numFmtId="2" fontId="90" fillId="0" borderId="15" xfId="95" applyNumberFormat="1" applyFont="1" applyBorder="1" applyAlignment="1">
      <alignment vertical="top"/>
    </xf>
    <xf numFmtId="2" fontId="100" fillId="0" borderId="15" xfId="95" applyNumberFormat="1" applyFont="1" applyBorder="1" applyAlignment="1">
      <alignment horizontal="right" vertical="top"/>
    </xf>
    <xf numFmtId="2" fontId="90" fillId="0" borderId="15" xfId="95" applyNumberFormat="1" applyFont="1" applyBorder="1" applyAlignment="1">
      <alignment horizontal="right" vertical="top"/>
    </xf>
    <xf numFmtId="0" fontId="90" fillId="0" borderId="15" xfId="95" applyFont="1" applyBorder="1" applyAlignment="1">
      <alignment horizontal="right" vertical="top"/>
    </xf>
    <xf numFmtId="0" fontId="87" fillId="0" borderId="0" xfId="95" applyFont="1" applyAlignment="1">
      <alignment vertical="center"/>
    </xf>
    <xf numFmtId="0" fontId="90" fillId="0" borderId="15" xfId="95" applyFont="1" applyBorder="1" applyAlignment="1">
      <alignment horizontal="justify" vertical="top"/>
    </xf>
    <xf numFmtId="0" fontId="90" fillId="0" borderId="15" xfId="95" applyFont="1" applyBorder="1" applyAlignment="1">
      <alignment horizontal="center" vertical="top"/>
    </xf>
    <xf numFmtId="168" fontId="90" fillId="0" borderId="15" xfId="95" applyNumberFormat="1" applyFont="1" applyBorder="1" applyAlignment="1">
      <alignment horizontal="center" vertical="top"/>
    </xf>
    <xf numFmtId="2" fontId="90" fillId="0" borderId="15" xfId="95" applyNumberFormat="1" applyFont="1" applyBorder="1" applyAlignment="1">
      <alignment horizontal="center" vertical="top"/>
    </xf>
    <xf numFmtId="2" fontId="90" fillId="0" borderId="15" xfId="95" applyNumberFormat="1" applyFont="1" applyBorder="1" applyAlignment="1">
      <alignment horizontal="center" vertical="top" wrapText="1"/>
    </xf>
    <xf numFmtId="0" fontId="90" fillId="0" borderId="15" xfId="95" applyFont="1" applyBorder="1" applyAlignment="1">
      <alignment horizontal="center" vertical="center" wrapText="1"/>
    </xf>
    <xf numFmtId="0" fontId="90" fillId="0" borderId="15" xfId="95" applyFont="1" applyBorder="1" applyAlignment="1">
      <alignment horizontal="right" vertical="center"/>
    </xf>
    <xf numFmtId="0" fontId="90" fillId="0" borderId="15" xfId="95" applyFont="1" applyBorder="1" applyAlignment="1">
      <alignment vertical="center" wrapText="1"/>
    </xf>
    <xf numFmtId="0" fontId="100" fillId="0" borderId="15" xfId="95" applyFont="1" applyBorder="1" applyAlignment="1">
      <alignment vertical="center"/>
    </xf>
    <xf numFmtId="2" fontId="90" fillId="0" borderId="15" xfId="95" applyNumberFormat="1" applyFont="1" applyBorder="1" applyAlignment="1">
      <alignment horizontal="center" vertical="center"/>
    </xf>
    <xf numFmtId="0" fontId="90" fillId="0" borderId="15" xfId="95" applyFont="1" applyBorder="1" applyAlignment="1">
      <alignment horizontal="center" vertical="center"/>
    </xf>
    <xf numFmtId="2" fontId="90" fillId="0" borderId="15" xfId="95" applyNumberFormat="1" applyFont="1" applyBorder="1" applyAlignment="1">
      <alignment horizontal="right" vertical="center"/>
    </xf>
    <xf numFmtId="0" fontId="90" fillId="0" borderId="15" xfId="95" applyFont="1" applyBorder="1" applyAlignment="1">
      <alignment horizontal="justify" vertical="center" wrapText="1"/>
    </xf>
    <xf numFmtId="0" fontId="90" fillId="0" borderId="15" xfId="95" applyFont="1" applyBorder="1" applyAlignment="1">
      <alignment vertical="center"/>
    </xf>
    <xf numFmtId="0" fontId="87" fillId="0" borderId="15" xfId="95" applyFont="1" applyBorder="1" applyAlignment="1">
      <alignment horizontal="center" vertical="top" wrapText="1"/>
    </xf>
    <xf numFmtId="168" fontId="87" fillId="0" borderId="15" xfId="95" applyNumberFormat="1" applyFont="1" applyBorder="1" applyAlignment="1">
      <alignment horizontal="center" vertical="top"/>
    </xf>
    <xf numFmtId="0" fontId="99" fillId="0" borderId="0" xfId="95" applyFont="1"/>
    <xf numFmtId="0" fontId="87" fillId="0" borderId="0" xfId="95" applyFont="1" applyAlignment="1">
      <alignment horizontal="justify" vertical="top" wrapText="1"/>
    </xf>
    <xf numFmtId="0" fontId="103" fillId="0" borderId="0" xfId="95" applyFont="1" applyAlignment="1">
      <alignment horizontal="center" vertical="top" wrapText="1"/>
    </xf>
    <xf numFmtId="170" fontId="87" fillId="0" borderId="0" xfId="95" applyNumberFormat="1" applyFont="1" applyAlignment="1">
      <alignment horizontal="center" vertical="top" wrapText="1"/>
    </xf>
    <xf numFmtId="170" fontId="87" fillId="0" borderId="0" xfId="95" applyNumberFormat="1" applyFont="1" applyAlignment="1">
      <alignment horizontal="right" vertical="top" wrapText="1"/>
    </xf>
    <xf numFmtId="2" fontId="104" fillId="0" borderId="8" xfId="95" applyNumberFormat="1" applyFont="1" applyBorder="1" applyAlignment="1">
      <alignment horizontal="center" vertical="top"/>
    </xf>
    <xf numFmtId="0" fontId="104" fillId="0" borderId="8" xfId="95" applyFont="1" applyBorder="1" applyAlignment="1">
      <alignment horizontal="center" vertical="top" wrapText="1"/>
    </xf>
    <xf numFmtId="0" fontId="104" fillId="0" borderId="8" xfId="95" applyFont="1" applyBorder="1" applyAlignment="1">
      <alignment horizontal="justify" vertical="top" wrapText="1"/>
    </xf>
    <xf numFmtId="0" fontId="104" fillId="0" borderId="27" xfId="95" applyFont="1" applyBorder="1" applyAlignment="1">
      <alignment vertical="top" wrapText="1"/>
    </xf>
    <xf numFmtId="0" fontId="104" fillId="0" borderId="28" xfId="95" applyFont="1" applyBorder="1" applyAlignment="1">
      <alignment vertical="top" wrapText="1"/>
    </xf>
    <xf numFmtId="0" fontId="104" fillId="0" borderId="8" xfId="95" applyFont="1" applyBorder="1" applyAlignment="1">
      <alignment vertical="top" wrapText="1"/>
    </xf>
    <xf numFmtId="0" fontId="104" fillId="0" borderId="8" xfId="95" applyFont="1" applyBorder="1" applyAlignment="1">
      <alignment horizontal="center" vertical="top"/>
    </xf>
    <xf numFmtId="0" fontId="104" fillId="0" borderId="27" xfId="95" applyFont="1" applyBorder="1" applyAlignment="1">
      <alignment horizontal="justify" vertical="top" wrapText="1"/>
    </xf>
    <xf numFmtId="0" fontId="104" fillId="0" borderId="28" xfId="95" applyFont="1" applyBorder="1" applyAlignment="1">
      <alignment horizontal="justify" vertical="top" wrapText="1"/>
    </xf>
    <xf numFmtId="0" fontId="105" fillId="0" borderId="8" xfId="95" applyFont="1" applyBorder="1" applyAlignment="1">
      <alignment horizontal="justify" vertical="top" wrapText="1"/>
    </xf>
    <xf numFmtId="2" fontId="104" fillId="0" borderId="8" xfId="95" applyNumberFormat="1" applyFont="1" applyBorder="1" applyAlignment="1">
      <alignment horizontal="right" vertical="top"/>
    </xf>
    <xf numFmtId="2" fontId="104" fillId="0" borderId="8" xfId="95" applyNumberFormat="1" applyFont="1" applyBorder="1" applyAlignment="1">
      <alignment horizontal="left" vertical="top"/>
    </xf>
    <xf numFmtId="2" fontId="104" fillId="0" borderId="27" xfId="95" applyNumberFormat="1" applyFont="1" applyBorder="1" applyAlignment="1">
      <alignment horizontal="right" vertical="top" wrapText="1"/>
    </xf>
    <xf numFmtId="4" fontId="104" fillId="0" borderId="28" xfId="95" applyNumberFormat="1" applyFont="1" applyBorder="1" applyAlignment="1">
      <alignment horizontal="left" vertical="top" wrapText="1"/>
    </xf>
    <xf numFmtId="1" fontId="104" fillId="0" borderId="27" xfId="95" applyNumberFormat="1" applyFont="1" applyBorder="1" applyAlignment="1">
      <alignment vertical="top" wrapText="1"/>
    </xf>
    <xf numFmtId="0" fontId="104" fillId="0" borderId="8" xfId="95" applyFont="1" applyBorder="1" applyAlignment="1">
      <alignment horizontal="left" vertical="top" wrapText="1"/>
    </xf>
    <xf numFmtId="0" fontId="104" fillId="0" borderId="28" xfId="95" applyFont="1" applyBorder="1" applyAlignment="1">
      <alignment horizontal="left" vertical="top" wrapText="1"/>
    </xf>
    <xf numFmtId="10" fontId="104" fillId="0" borderId="8" xfId="95" applyNumberFormat="1" applyFont="1" applyBorder="1" applyAlignment="1">
      <alignment horizontal="center" vertical="top"/>
    </xf>
    <xf numFmtId="0" fontId="104" fillId="0" borderId="27" xfId="95" applyFont="1" applyBorder="1" applyAlignment="1">
      <alignment vertical="top"/>
    </xf>
    <xf numFmtId="2" fontId="104" fillId="0" borderId="8" xfId="95" applyNumberFormat="1" applyFont="1" applyBorder="1" applyAlignment="1">
      <alignment vertical="top"/>
    </xf>
    <xf numFmtId="1" fontId="104" fillId="0" borderId="27" xfId="95" applyNumberFormat="1" applyFont="1" applyBorder="1" applyAlignment="1">
      <alignment horizontal="right" vertical="top" wrapText="1"/>
    </xf>
    <xf numFmtId="2" fontId="104" fillId="0" borderId="8" xfId="95" applyNumberFormat="1" applyFont="1" applyBorder="1" applyAlignment="1">
      <alignment horizontal="justify" vertical="top" wrapText="1"/>
    </xf>
    <xf numFmtId="2" fontId="105" fillId="0" borderId="27" xfId="95" applyNumberFormat="1" applyFont="1" applyBorder="1" applyAlignment="1">
      <alignment vertical="top" wrapText="1"/>
    </xf>
    <xf numFmtId="0" fontId="105" fillId="0" borderId="28" xfId="95" applyFont="1" applyBorder="1" applyAlignment="1">
      <alignment horizontal="left" vertical="top" wrapText="1"/>
    </xf>
    <xf numFmtId="2" fontId="105" fillId="0" borderId="8" xfId="95" applyNumberFormat="1" applyFont="1" applyBorder="1" applyAlignment="1">
      <alignment horizontal="center" vertical="top"/>
    </xf>
    <xf numFmtId="167" fontId="104" fillId="0" borderId="27" xfId="95" applyNumberFormat="1" applyFont="1" applyBorder="1" applyAlignment="1">
      <alignment horizontal="right" vertical="top" wrapText="1"/>
    </xf>
    <xf numFmtId="0" fontId="104" fillId="0" borderId="8" xfId="95" applyFont="1" applyBorder="1" applyAlignment="1">
      <alignment horizontal="left" vertical="top"/>
    </xf>
    <xf numFmtId="0" fontId="104" fillId="0" borderId="28" xfId="95" applyFont="1" applyBorder="1" applyAlignment="1">
      <alignment vertical="top"/>
    </xf>
    <xf numFmtId="2" fontId="87" fillId="0" borderId="15" xfId="0" applyNumberFormat="1" applyFont="1" applyBorder="1" applyAlignment="1">
      <alignment horizontal="center"/>
    </xf>
    <xf numFmtId="0" fontId="87" fillId="0" borderId="15" xfId="0" applyFont="1" applyBorder="1" applyAlignment="1">
      <alignment horizontal="center" vertical="top"/>
    </xf>
    <xf numFmtId="0" fontId="97" fillId="0" borderId="0" xfId="95" applyFont="1" applyAlignment="1">
      <alignment horizontal="justify" vertical="top" wrapText="1"/>
    </xf>
    <xf numFmtId="49" fontId="87" fillId="0" borderId="15" xfId="970" applyNumberFormat="1" applyFont="1" applyBorder="1" applyAlignment="1">
      <alignment horizontal="center" vertical="top" wrapText="1"/>
    </xf>
    <xf numFmtId="0" fontId="94" fillId="0" borderId="15" xfId="96" applyFont="1" applyBorder="1" applyAlignment="1">
      <alignment horizontal="justify" vertical="top" wrapText="1"/>
    </xf>
    <xf numFmtId="2" fontId="87" fillId="0" borderId="18" xfId="95" applyNumberFormat="1" applyFont="1" applyBorder="1" applyAlignment="1">
      <alignment horizontal="left" vertical="top"/>
    </xf>
    <xf numFmtId="2" fontId="87" fillId="0" borderId="18" xfId="95" applyNumberFormat="1" applyFont="1" applyBorder="1" applyAlignment="1">
      <alignment horizontal="center" vertical="top"/>
    </xf>
    <xf numFmtId="2" fontId="87" fillId="0" borderId="15" xfId="95" applyNumberFormat="1" applyFont="1" applyBorder="1" applyAlignment="1">
      <alignment horizontal="right" vertical="top" wrapText="1"/>
    </xf>
    <xf numFmtId="49" fontId="87" fillId="0" borderId="0" xfId="970" applyNumberFormat="1" applyFont="1" applyAlignment="1">
      <alignment horizontal="center" vertical="top" wrapText="1"/>
    </xf>
    <xf numFmtId="0" fontId="87" fillId="0" borderId="15" xfId="96" applyFont="1" applyBorder="1" applyAlignment="1">
      <alignment horizontal="justify" vertical="top" wrapText="1"/>
    </xf>
    <xf numFmtId="2" fontId="87" fillId="0" borderId="16" xfId="970" applyNumberFormat="1" applyFont="1" applyBorder="1" applyAlignment="1">
      <alignment horizontal="right" vertical="top" wrapText="1"/>
    </xf>
    <xf numFmtId="2" fontId="94" fillId="0" borderId="18" xfId="95" applyNumberFormat="1" applyFont="1" applyBorder="1" applyAlignment="1">
      <alignment horizontal="left" vertical="top"/>
    </xf>
    <xf numFmtId="0" fontId="87" fillId="0" borderId="18" xfId="95" applyFont="1" applyBorder="1" applyAlignment="1">
      <alignment horizontal="left" vertical="top"/>
    </xf>
    <xf numFmtId="2" fontId="87" fillId="0" borderId="18" xfId="95" applyNumberFormat="1" applyFont="1" applyBorder="1" applyAlignment="1">
      <alignment horizontal="center" vertical="top" wrapText="1"/>
    </xf>
    <xf numFmtId="2" fontId="87" fillId="0" borderId="15" xfId="970" applyNumberFormat="1" applyFont="1" applyBorder="1" applyAlignment="1">
      <alignment horizontal="center" vertical="top" wrapText="1"/>
    </xf>
    <xf numFmtId="49" fontId="87" fillId="0" borderId="15" xfId="970" applyNumberFormat="1" applyFont="1" applyBorder="1" applyAlignment="1">
      <alignment horizontal="justify" vertical="top" wrapText="1"/>
    </xf>
    <xf numFmtId="2" fontId="94" fillId="0" borderId="15" xfId="970" applyNumberFormat="1" applyFont="1" applyBorder="1" applyAlignment="1">
      <alignment horizontal="right" vertical="top" wrapText="1"/>
    </xf>
    <xf numFmtId="49" fontId="87" fillId="0" borderId="15" xfId="970" applyNumberFormat="1" applyFont="1" applyBorder="1" applyAlignment="1">
      <alignment horizontal="justify" vertical="center" wrapText="1"/>
    </xf>
    <xf numFmtId="2" fontId="94" fillId="0" borderId="15" xfId="970" applyNumberFormat="1" applyFont="1" applyBorder="1" applyAlignment="1">
      <alignment horizontal="right" vertical="center" wrapText="1"/>
    </xf>
    <xf numFmtId="2" fontId="87" fillId="0" borderId="16" xfId="970" applyNumberFormat="1" applyFont="1" applyBorder="1" applyAlignment="1">
      <alignment horizontal="right" vertical="center" wrapText="1"/>
    </xf>
    <xf numFmtId="2" fontId="87" fillId="0" borderId="18" xfId="970" applyNumberFormat="1" applyFont="1" applyBorder="1" applyAlignment="1">
      <alignment vertical="center" wrapText="1"/>
    </xf>
    <xf numFmtId="2" fontId="87" fillId="0" borderId="15" xfId="970" applyNumberFormat="1" applyFont="1" applyBorder="1" applyAlignment="1">
      <alignment horizontal="center" vertical="center" wrapText="1"/>
    </xf>
    <xf numFmtId="49" fontId="87" fillId="0" borderId="0" xfId="970" applyNumberFormat="1" applyFont="1" applyAlignment="1">
      <alignment horizontal="justify" vertical="center" wrapText="1"/>
    </xf>
    <xf numFmtId="2" fontId="87" fillId="0" borderId="0" xfId="970" applyNumberFormat="1" applyFont="1" applyAlignment="1">
      <alignment horizontal="right" vertical="center" wrapText="1"/>
    </xf>
    <xf numFmtId="49" fontId="87" fillId="0" borderId="0" xfId="970" applyNumberFormat="1" applyFont="1" applyAlignment="1">
      <alignment vertical="center" wrapText="1"/>
    </xf>
    <xf numFmtId="49" fontId="87" fillId="0" borderId="0" xfId="970" applyNumberFormat="1" applyFont="1" applyAlignment="1">
      <alignment horizontal="right" vertical="center" wrapText="1"/>
    </xf>
    <xf numFmtId="0" fontId="87" fillId="0" borderId="0" xfId="970" applyFont="1" applyAlignment="1">
      <alignment horizontal="center" vertical="center"/>
    </xf>
    <xf numFmtId="49" fontId="94" fillId="0" borderId="0" xfId="970" applyNumberFormat="1" applyFont="1" applyAlignment="1">
      <alignment horizontal="center" vertical="center" wrapText="1"/>
    </xf>
    <xf numFmtId="49" fontId="87" fillId="0" borderId="0" xfId="970" applyNumberFormat="1" applyFont="1" applyAlignment="1">
      <alignment horizontal="center" vertical="center" wrapText="1"/>
    </xf>
    <xf numFmtId="2" fontId="87" fillId="0" borderId="16" xfId="970" applyNumberFormat="1" applyFont="1" applyBorder="1" applyAlignment="1">
      <alignment horizontal="center" vertical="top" wrapText="1"/>
    </xf>
    <xf numFmtId="0" fontId="87" fillId="0" borderId="15" xfId="0" applyFont="1" applyBorder="1" applyAlignment="1">
      <alignment horizontal="right" vertical="top"/>
    </xf>
    <xf numFmtId="0" fontId="91" fillId="0" borderId="15" xfId="0" applyFont="1" applyBorder="1" applyAlignment="1">
      <alignment vertical="top" wrapText="1"/>
    </xf>
    <xf numFmtId="0" fontId="91" fillId="0" borderId="16" xfId="0" applyFont="1" applyBorder="1" applyAlignment="1">
      <alignment vertical="top"/>
    </xf>
    <xf numFmtId="0" fontId="91" fillId="0" borderId="17" xfId="0" applyFont="1" applyBorder="1" applyAlignment="1">
      <alignment vertical="top"/>
    </xf>
    <xf numFmtId="0" fontId="91" fillId="0" borderId="18" xfId="0" applyFont="1" applyBorder="1" applyAlignment="1">
      <alignment horizontal="left" vertical="top"/>
    </xf>
    <xf numFmtId="167" fontId="91" fillId="0" borderId="15" xfId="0" applyNumberFormat="1" applyFont="1" applyBorder="1" applyAlignment="1">
      <alignment horizontal="center" vertical="top"/>
    </xf>
    <xf numFmtId="2" fontId="91" fillId="0" borderId="15" xfId="0" applyNumberFormat="1" applyFont="1" applyBorder="1" applyAlignment="1">
      <alignment horizontal="center" vertical="top"/>
    </xf>
    <xf numFmtId="2" fontId="92" fillId="0" borderId="17" xfId="0" applyNumberFormat="1" applyFont="1" applyBorder="1" applyAlignment="1">
      <alignment vertical="top"/>
    </xf>
    <xf numFmtId="0" fontId="87" fillId="0" borderId="15" xfId="0" applyFont="1" applyBorder="1" applyAlignment="1">
      <alignment vertical="top"/>
    </xf>
    <xf numFmtId="0" fontId="93" fillId="0" borderId="0" xfId="0" applyFont="1" applyAlignment="1">
      <alignment vertical="top"/>
    </xf>
    <xf numFmtId="0" fontId="87" fillId="0" borderId="15" xfId="1274" applyFont="1" applyBorder="1" applyAlignment="1">
      <alignment vertical="top" wrapText="1"/>
    </xf>
    <xf numFmtId="1" fontId="87" fillId="0" borderId="16" xfId="1274" applyNumberFormat="1" applyFont="1" applyBorder="1" applyAlignment="1">
      <alignment horizontal="right" vertical="top" wrapText="1"/>
    </xf>
    <xf numFmtId="1" fontId="87" fillId="0" borderId="17" xfId="1274" applyNumberFormat="1" applyFont="1" applyBorder="1" applyAlignment="1">
      <alignment horizontal="center" vertical="top" wrapText="1"/>
    </xf>
    <xf numFmtId="1" fontId="87" fillId="0" borderId="18" xfId="1274" applyNumberFormat="1" applyFont="1" applyBorder="1" applyAlignment="1">
      <alignment horizontal="left" vertical="top" wrapText="1"/>
    </xf>
    <xf numFmtId="167" fontId="87" fillId="0" borderId="15" xfId="1274" applyNumberFormat="1" applyFont="1" applyBorder="1" applyAlignment="1">
      <alignment horizontal="center" vertical="top" wrapText="1"/>
    </xf>
    <xf numFmtId="0" fontId="87" fillId="0" borderId="16" xfId="0" applyFont="1" applyBorder="1" applyAlignment="1">
      <alignment vertical="top"/>
    </xf>
    <xf numFmtId="0" fontId="87" fillId="0" borderId="17" xfId="0" applyFont="1" applyBorder="1" applyAlignment="1">
      <alignment vertical="top"/>
    </xf>
    <xf numFmtId="0" fontId="87" fillId="0" borderId="18" xfId="0" applyFont="1" applyBorder="1" applyAlignment="1">
      <alignment horizontal="left" vertical="top"/>
    </xf>
    <xf numFmtId="167" fontId="87" fillId="0" borderId="15" xfId="0" applyNumberFormat="1" applyFont="1" applyBorder="1" applyAlignment="1">
      <alignment horizontal="center" vertical="top"/>
    </xf>
    <xf numFmtId="167" fontId="87" fillId="0" borderId="15" xfId="0" applyNumberFormat="1" applyFont="1" applyBorder="1" applyAlignment="1">
      <alignment vertical="top"/>
    </xf>
    <xf numFmtId="168" fontId="87" fillId="0" borderId="18" xfId="1274" applyNumberFormat="1" applyFont="1" applyBorder="1" applyAlignment="1">
      <alignment horizontal="left" vertical="top" wrapText="1"/>
    </xf>
    <xf numFmtId="1" fontId="87" fillId="0" borderId="15" xfId="1274" applyNumberFormat="1" applyFont="1" applyBorder="1" applyAlignment="1">
      <alignment horizontal="center" vertical="top" wrapText="1"/>
    </xf>
    <xf numFmtId="2" fontId="87" fillId="0" borderId="15" xfId="1274" applyNumberFormat="1" applyFont="1" applyBorder="1" applyAlignment="1">
      <alignment horizontal="center" vertical="top" wrapText="1"/>
    </xf>
    <xf numFmtId="0" fontId="87" fillId="0" borderId="0" xfId="95" applyFont="1" applyAlignment="1">
      <alignment vertical="top"/>
    </xf>
    <xf numFmtId="0" fontId="113" fillId="0" borderId="0" xfId="860" applyFont="1"/>
    <xf numFmtId="0" fontId="114" fillId="0" borderId="0" xfId="860" applyFont="1"/>
    <xf numFmtId="0" fontId="115" fillId="0" borderId="0" xfId="860" applyFont="1"/>
    <xf numFmtId="2" fontId="116" fillId="0" borderId="0" xfId="860" applyNumberFormat="1" applyFont="1"/>
    <xf numFmtId="0" fontId="116" fillId="0" borderId="0" xfId="860" applyFont="1"/>
    <xf numFmtId="0" fontId="118" fillId="0" borderId="0" xfId="0" applyFont="1" applyAlignment="1">
      <alignment horizontal="center"/>
    </xf>
    <xf numFmtId="0" fontId="118" fillId="0" borderId="0" xfId="0" applyFont="1" applyAlignment="1">
      <alignment vertical="top"/>
    </xf>
    <xf numFmtId="0" fontId="91" fillId="0" borderId="0" xfId="0" applyFont="1" applyAlignment="1">
      <alignment horizontal="center"/>
    </xf>
    <xf numFmtId="0" fontId="91" fillId="0" borderId="0" xfId="0" applyFont="1" applyAlignment="1">
      <alignment horizontal="right"/>
    </xf>
    <xf numFmtId="0" fontId="119" fillId="0" borderId="0" xfId="860" applyFont="1"/>
    <xf numFmtId="2" fontId="87" fillId="0" borderId="15" xfId="0" applyNumberFormat="1" applyFont="1" applyBorder="1" applyAlignment="1">
      <alignment vertical="top"/>
    </xf>
    <xf numFmtId="0" fontId="87" fillId="0" borderId="15" xfId="95" applyFont="1" applyBorder="1" applyAlignment="1">
      <alignment vertical="top" wrapText="1"/>
    </xf>
    <xf numFmtId="0" fontId="87" fillId="0" borderId="17" xfId="95" applyFont="1" applyBorder="1" applyAlignment="1">
      <alignment horizontal="center" vertical="top"/>
    </xf>
    <xf numFmtId="167" fontId="87" fillId="0" borderId="15" xfId="95" applyNumberFormat="1" applyFont="1" applyBorder="1" applyAlignment="1">
      <alignment horizontal="center" vertical="top"/>
    </xf>
    <xf numFmtId="0" fontId="87" fillId="0" borderId="0" xfId="0" applyFont="1" applyAlignment="1">
      <alignment vertical="center"/>
    </xf>
    <xf numFmtId="0" fontId="87" fillId="0" borderId="15" xfId="0" applyFont="1" applyBorder="1" applyAlignment="1">
      <alignment vertical="top" wrapText="1"/>
    </xf>
    <xf numFmtId="0" fontId="87" fillId="0" borderId="15" xfId="0" applyFont="1" applyBorder="1" applyAlignment="1">
      <alignment horizontal="center" vertical="top" wrapText="1"/>
    </xf>
    <xf numFmtId="0" fontId="87" fillId="0" borderId="15" xfId="0" applyFont="1" applyBorder="1" applyAlignment="1">
      <alignment horizontal="justify" vertical="top"/>
    </xf>
    <xf numFmtId="168" fontId="87" fillId="0" borderId="15" xfId="0" applyNumberFormat="1" applyFont="1" applyBorder="1" applyAlignment="1">
      <alignment horizontal="center" vertical="top"/>
    </xf>
    <xf numFmtId="2" fontId="94" fillId="0" borderId="15" xfId="0" applyNumberFormat="1" applyFont="1" applyBorder="1" applyAlignment="1">
      <alignment vertical="top"/>
    </xf>
    <xf numFmtId="0" fontId="87" fillId="0" borderId="16" xfId="0" applyFont="1" applyBorder="1" applyAlignment="1">
      <alignment horizontal="right" vertical="top"/>
    </xf>
    <xf numFmtId="2" fontId="91" fillId="0" borderId="16" xfId="0" applyNumberFormat="1" applyFont="1" applyBorder="1" applyAlignment="1">
      <alignment horizontal="right" vertical="top"/>
    </xf>
    <xf numFmtId="2" fontId="87" fillId="0" borderId="16" xfId="0" applyNumberFormat="1" applyFont="1" applyBorder="1" applyAlignment="1">
      <alignment horizontal="right" vertical="top"/>
    </xf>
    <xf numFmtId="0" fontId="87" fillId="0" borderId="18" xfId="0" applyFont="1" applyBorder="1" applyAlignment="1">
      <alignment horizontal="right" vertical="top"/>
    </xf>
    <xf numFmtId="0" fontId="87" fillId="0" borderId="0" xfId="0" applyFont="1" applyAlignment="1">
      <alignment vertical="top" wrapText="1"/>
    </xf>
    <xf numFmtId="167" fontId="87" fillId="0" borderId="15" xfId="0" applyNumberFormat="1" applyFont="1" applyBorder="1" applyAlignment="1">
      <alignment horizontal="center" vertical="top" wrapText="1"/>
    </xf>
    <xf numFmtId="1" fontId="87" fillId="0" borderId="15" xfId="0" applyNumberFormat="1" applyFont="1" applyBorder="1" applyAlignment="1">
      <alignment horizontal="center" vertical="top" wrapText="1"/>
    </xf>
    <xf numFmtId="0" fontId="87" fillId="0" borderId="18" xfId="0" applyFont="1" applyBorder="1" applyAlignment="1">
      <alignment vertical="top" wrapText="1"/>
    </xf>
    <xf numFmtId="0" fontId="95" fillId="0" borderId="0" xfId="0" applyFont="1" applyAlignment="1">
      <alignment horizontal="center" vertical="top"/>
    </xf>
    <xf numFmtId="0" fontId="87" fillId="0" borderId="0" xfId="0" applyFont="1" applyAlignment="1">
      <alignment horizontal="center" vertical="top" wrapText="1"/>
    </xf>
    <xf numFmtId="2" fontId="92" fillId="0" borderId="16" xfId="95" applyNumberFormat="1" applyFont="1" applyBorder="1" applyAlignment="1">
      <alignment horizontal="right" vertical="top"/>
    </xf>
    <xf numFmtId="2" fontId="87" fillId="0" borderId="18" xfId="1274" applyNumberFormat="1" applyFont="1" applyBorder="1" applyAlignment="1">
      <alignment horizontal="left" vertical="top" wrapText="1"/>
    </xf>
    <xf numFmtId="2" fontId="92" fillId="0" borderId="18" xfId="0" applyNumberFormat="1" applyFont="1" applyBorder="1" applyAlignment="1">
      <alignment vertical="top"/>
    </xf>
    <xf numFmtId="0" fontId="87" fillId="0" borderId="0" xfId="178" applyFont="1" applyAlignment="1">
      <alignment vertical="center"/>
    </xf>
    <xf numFmtId="0" fontId="96" fillId="0" borderId="0" xfId="178" applyFont="1" applyAlignment="1">
      <alignment vertical="center" wrapText="1"/>
    </xf>
    <xf numFmtId="0" fontId="94" fillId="0" borderId="0" xfId="0" applyFont="1" applyAlignment="1">
      <alignment horizontal="right" vertical="center" wrapText="1"/>
    </xf>
    <xf numFmtId="0" fontId="87" fillId="0" borderId="0" xfId="178" applyFont="1" applyAlignment="1">
      <alignment horizontal="center" vertical="center"/>
    </xf>
    <xf numFmtId="0" fontId="96" fillId="0" borderId="0" xfId="178" applyFont="1" applyAlignment="1">
      <alignment horizontal="center" vertical="center"/>
    </xf>
    <xf numFmtId="0" fontId="96" fillId="0" borderId="0" xfId="178" applyFont="1" applyAlignment="1">
      <alignment vertical="center"/>
    </xf>
    <xf numFmtId="0" fontId="122" fillId="0" borderId="0" xfId="178" applyFont="1" applyAlignment="1">
      <alignment horizontal="center" vertical="center"/>
    </xf>
    <xf numFmtId="0" fontId="94" fillId="0" borderId="0" xfId="0" applyFont="1" applyAlignment="1">
      <alignment vertical="top"/>
    </xf>
    <xf numFmtId="0" fontId="87" fillId="0" borderId="0" xfId="0" applyFont="1"/>
    <xf numFmtId="0" fontId="87" fillId="0" borderId="17" xfId="0" applyFont="1" applyBorder="1" applyAlignment="1">
      <alignment horizontal="center" vertical="top"/>
    </xf>
    <xf numFmtId="0" fontId="87" fillId="0" borderId="16" xfId="0" applyFont="1" applyBorder="1" applyAlignment="1">
      <alignment horizontal="center" vertical="top"/>
    </xf>
    <xf numFmtId="2" fontId="92" fillId="0" borderId="16" xfId="0" applyNumberFormat="1" applyFont="1" applyBorder="1" applyAlignment="1">
      <alignment horizontal="right" vertical="top"/>
    </xf>
    <xf numFmtId="0" fontId="87" fillId="0" borderId="15" xfId="0" applyFont="1" applyBorder="1" applyAlignment="1">
      <alignment horizontal="center" wrapText="1"/>
    </xf>
    <xf numFmtId="0" fontId="87" fillId="0" borderId="15" xfId="0" applyFont="1" applyBorder="1"/>
    <xf numFmtId="1" fontId="87" fillId="0" borderId="15" xfId="0" applyNumberFormat="1" applyFont="1" applyBorder="1" applyAlignment="1">
      <alignment horizontal="center" vertical="top"/>
    </xf>
    <xf numFmtId="1" fontId="94" fillId="0" borderId="15" xfId="0" applyNumberFormat="1" applyFont="1" applyBorder="1" applyAlignment="1">
      <alignment horizontal="center" wrapText="1"/>
    </xf>
    <xf numFmtId="2" fontId="94" fillId="0" borderId="15" xfId="0" applyNumberFormat="1" applyFont="1" applyBorder="1" applyAlignment="1">
      <alignment horizontal="center" wrapText="1"/>
    </xf>
    <xf numFmtId="0" fontId="94" fillId="0" borderId="0" xfId="0" applyFont="1"/>
    <xf numFmtId="2" fontId="87" fillId="0" borderId="16" xfId="95" applyNumberFormat="1" applyFont="1" applyBorder="1" applyAlignment="1">
      <alignment vertical="top"/>
    </xf>
    <xf numFmtId="2" fontId="87" fillId="0" borderId="0" xfId="970" applyNumberFormat="1" applyFont="1" applyAlignment="1">
      <alignment horizontal="center" vertical="top" wrapText="1"/>
    </xf>
    <xf numFmtId="0" fontId="87" fillId="0" borderId="0" xfId="1386" applyFont="1" applyAlignment="1">
      <alignment vertical="center"/>
    </xf>
    <xf numFmtId="0" fontId="122" fillId="0" borderId="0" xfId="178" applyFont="1" applyAlignment="1">
      <alignment horizontal="centerContinuous" vertical="center"/>
    </xf>
    <xf numFmtId="0" fontId="87" fillId="0" borderId="0" xfId="178" applyFont="1" applyAlignment="1">
      <alignment horizontal="centerContinuous" vertical="center"/>
    </xf>
    <xf numFmtId="0" fontId="94" fillId="0" borderId="0" xfId="178" applyFont="1" applyAlignment="1">
      <alignment horizontal="right" vertical="center"/>
    </xf>
    <xf numFmtId="0" fontId="94" fillId="0" borderId="0" xfId="178" applyFont="1" applyAlignment="1">
      <alignment horizontal="left" vertical="center"/>
    </xf>
    <xf numFmtId="0" fontId="87" fillId="0" borderId="0" xfId="178" applyFont="1"/>
    <xf numFmtId="0" fontId="126" fillId="0" borderId="0" xfId="178" applyFont="1" applyAlignment="1">
      <alignment vertical="center"/>
    </xf>
    <xf numFmtId="2" fontId="126" fillId="0" borderId="0" xfId="178" applyNumberFormat="1" applyFont="1" applyAlignment="1">
      <alignment vertical="center"/>
    </xf>
    <xf numFmtId="0" fontId="126" fillId="0" borderId="0" xfId="178" applyFont="1" applyAlignment="1">
      <alignment horizontal="center" vertical="center" wrapText="1"/>
    </xf>
    <xf numFmtId="0" fontId="87" fillId="0" borderId="0" xfId="178" applyFont="1" applyAlignment="1">
      <alignment horizontal="center" vertical="top"/>
    </xf>
    <xf numFmtId="0" fontId="87" fillId="0" borderId="0" xfId="178" applyFont="1" applyAlignment="1">
      <alignment horizontal="center" vertical="top" wrapText="1"/>
    </xf>
    <xf numFmtId="0" fontId="87" fillId="0" borderId="0" xfId="178" applyFont="1" applyAlignment="1">
      <alignment vertical="top"/>
    </xf>
    <xf numFmtId="0" fontId="94" fillId="0" borderId="0" xfId="0" applyFont="1" applyAlignment="1">
      <alignment horizontal="center" vertical="top"/>
    </xf>
    <xf numFmtId="0" fontId="87" fillId="0" borderId="0" xfId="178" applyFont="1" applyAlignment="1">
      <alignment horizontal="center"/>
    </xf>
    <xf numFmtId="0" fontId="87" fillId="0" borderId="0" xfId="0" applyFont="1" applyAlignment="1">
      <alignment horizontal="right" vertical="center"/>
    </xf>
    <xf numFmtId="0" fontId="126" fillId="0" borderId="15" xfId="178" applyFont="1" applyBorder="1" applyAlignment="1">
      <alignment horizontal="center" vertical="center"/>
    </xf>
    <xf numFmtId="0" fontId="87" fillId="0" borderId="15" xfId="178" applyFont="1" applyBorder="1" applyAlignment="1">
      <alignment horizontal="center" vertical="top"/>
    </xf>
    <xf numFmtId="0" fontId="87" fillId="0" borderId="15" xfId="178" applyFont="1" applyBorder="1" applyAlignment="1">
      <alignment horizontal="left" vertical="top" shrinkToFit="1"/>
    </xf>
    <xf numFmtId="0" fontId="87" fillId="0" borderId="15" xfId="178" applyFont="1" applyBorder="1" applyAlignment="1">
      <alignment horizontal="center" vertical="top" shrinkToFit="1"/>
    </xf>
    <xf numFmtId="0" fontId="102" fillId="0" borderId="15" xfId="178" applyFont="1" applyBorder="1" applyAlignment="1">
      <alignment horizontal="center" vertical="top" shrinkToFit="1"/>
    </xf>
    <xf numFmtId="2" fontId="87" fillId="0" borderId="15" xfId="178" applyNumberFormat="1" applyFont="1" applyBorder="1" applyAlignment="1">
      <alignment horizontal="center" vertical="top" shrinkToFit="1"/>
    </xf>
    <xf numFmtId="0" fontId="87" fillId="0" borderId="15" xfId="178" applyFont="1" applyBorder="1" applyAlignment="1">
      <alignment horizontal="left" vertical="top" wrapText="1"/>
    </xf>
    <xf numFmtId="0" fontId="102" fillId="0" borderId="15" xfId="178" applyFont="1" applyBorder="1" applyAlignment="1">
      <alignment horizontal="center" vertical="top" wrapText="1"/>
    </xf>
    <xf numFmtId="2" fontId="102" fillId="0" borderId="15" xfId="178" applyNumberFormat="1" applyFont="1" applyBorder="1" applyAlignment="1">
      <alignment horizontal="center" vertical="top" wrapText="1"/>
    </xf>
    <xf numFmtId="0" fontId="102" fillId="0" borderId="15" xfId="178" applyFont="1" applyBorder="1" applyAlignment="1">
      <alignment horizontal="left" vertical="top" wrapText="1"/>
    </xf>
    <xf numFmtId="0" fontId="87" fillId="0" borderId="15" xfId="178" applyFont="1" applyBorder="1" applyAlignment="1">
      <alignment vertical="top"/>
    </xf>
    <xf numFmtId="0" fontId="97" fillId="0" borderId="15" xfId="0" applyFont="1" applyBorder="1" applyAlignment="1">
      <alignment horizontal="center" vertical="center" wrapText="1"/>
    </xf>
    <xf numFmtId="0" fontId="87" fillId="0" borderId="15" xfId="1385" applyFont="1" applyBorder="1" applyAlignment="1">
      <alignment vertical="top" wrapText="1"/>
    </xf>
    <xf numFmtId="0" fontId="87" fillId="0" borderId="16" xfId="1385" applyFont="1" applyBorder="1" applyAlignment="1">
      <alignment horizontal="right" vertical="top"/>
    </xf>
    <xf numFmtId="0" fontId="87" fillId="0" borderId="17" xfId="1385" applyFont="1" applyBorder="1" applyAlignment="1">
      <alignment horizontal="center" vertical="top"/>
    </xf>
    <xf numFmtId="0" fontId="87" fillId="0" borderId="18" xfId="1385" applyFont="1" applyBorder="1" applyAlignment="1">
      <alignment horizontal="left" vertical="top"/>
    </xf>
    <xf numFmtId="167" fontId="87" fillId="0" borderId="15" xfId="1385" applyNumberFormat="1" applyFont="1" applyBorder="1" applyAlignment="1">
      <alignment horizontal="center" vertical="top"/>
    </xf>
    <xf numFmtId="167" fontId="87" fillId="0" borderId="18" xfId="1274" applyNumberFormat="1" applyFont="1" applyBorder="1" applyAlignment="1">
      <alignment horizontal="left" vertical="top" wrapText="1"/>
    </xf>
    <xf numFmtId="167" fontId="87" fillId="0" borderId="16" xfId="970" applyNumberFormat="1" applyFont="1" applyBorder="1" applyAlignment="1">
      <alignment horizontal="right" vertical="top" wrapText="1"/>
    </xf>
    <xf numFmtId="167" fontId="87" fillId="0" borderId="16" xfId="970" applyNumberFormat="1" applyFont="1" applyBorder="1" applyAlignment="1">
      <alignment horizontal="center" vertical="top" wrapText="1"/>
    </xf>
    <xf numFmtId="1" fontId="87" fillId="0" borderId="16" xfId="0" applyNumberFormat="1" applyFont="1" applyBorder="1" applyAlignment="1">
      <alignment vertical="top"/>
    </xf>
    <xf numFmtId="2" fontId="87" fillId="0" borderId="16" xfId="95" applyNumberFormat="1" applyFont="1" applyBorder="1" applyAlignment="1">
      <alignment vertical="top" wrapText="1"/>
    </xf>
    <xf numFmtId="2" fontId="87" fillId="0" borderId="16" xfId="970" applyNumberFormat="1" applyFont="1" applyBorder="1" applyAlignment="1">
      <alignment vertical="top" wrapText="1"/>
    </xf>
    <xf numFmtId="2" fontId="87" fillId="0" borderId="0" xfId="970" applyNumberFormat="1" applyFont="1" applyAlignment="1">
      <alignment vertical="top" wrapText="1"/>
    </xf>
    <xf numFmtId="49" fontId="87" fillId="0" borderId="0" xfId="970" applyNumberFormat="1" applyFont="1" applyAlignment="1">
      <alignment vertical="top" wrapText="1"/>
    </xf>
    <xf numFmtId="2" fontId="87" fillId="0" borderId="15" xfId="970" applyNumberFormat="1" applyFont="1" applyBorder="1" applyAlignment="1">
      <alignment horizontal="right" vertical="top" wrapText="1"/>
    </xf>
    <xf numFmtId="2" fontId="87" fillId="0" borderId="18" xfId="970" applyNumberFormat="1" applyFont="1" applyBorder="1" applyAlignment="1">
      <alignment vertical="top" wrapText="1"/>
    </xf>
    <xf numFmtId="49" fontId="87" fillId="0" borderId="18" xfId="970" applyNumberFormat="1" applyFont="1" applyBorder="1" applyAlignment="1">
      <alignment vertical="top" wrapText="1"/>
    </xf>
    <xf numFmtId="49" fontId="87" fillId="0" borderId="18" xfId="970" applyNumberFormat="1" applyFont="1" applyBorder="1" applyAlignment="1">
      <alignment vertical="center" wrapText="1"/>
    </xf>
    <xf numFmtId="49" fontId="87" fillId="0" borderId="15" xfId="970" applyNumberFormat="1" applyFont="1" applyBorder="1" applyAlignment="1">
      <alignment horizontal="center" vertical="center" wrapText="1"/>
    </xf>
    <xf numFmtId="2" fontId="87" fillId="0" borderId="15" xfId="970" applyNumberFormat="1" applyFont="1" applyBorder="1" applyAlignment="1">
      <alignment horizontal="right" vertical="center" wrapText="1"/>
    </xf>
    <xf numFmtId="2" fontId="87" fillId="0" borderId="18" xfId="0" applyNumberFormat="1" applyFont="1" applyBorder="1" applyAlignment="1">
      <alignment horizontal="center" vertical="top"/>
    </xf>
    <xf numFmtId="2" fontId="87" fillId="0" borderId="18" xfId="95" applyNumberFormat="1" applyFont="1" applyBorder="1" applyAlignment="1">
      <alignment vertical="top"/>
    </xf>
    <xf numFmtId="0" fontId="87" fillId="0" borderId="18" xfId="95" applyFont="1" applyBorder="1" applyAlignment="1">
      <alignment vertical="top"/>
    </xf>
    <xf numFmtId="2" fontId="87" fillId="0" borderId="16" xfId="0" applyNumberFormat="1" applyFont="1" applyBorder="1" applyAlignment="1">
      <alignment vertical="top" wrapText="1"/>
    </xf>
    <xf numFmtId="2" fontId="94" fillId="0" borderId="15" xfId="0" applyNumberFormat="1" applyFont="1" applyBorder="1" applyAlignment="1">
      <alignment horizontal="center" vertical="center" wrapText="1"/>
    </xf>
    <xf numFmtId="2" fontId="87" fillId="0" borderId="16" xfId="885" applyNumberFormat="1" applyFont="1" applyBorder="1" applyAlignment="1">
      <alignment vertical="top" wrapText="1"/>
    </xf>
    <xf numFmtId="2" fontId="87" fillId="0" borderId="16" xfId="0" applyNumberFormat="1" applyFont="1" applyBorder="1" applyAlignment="1">
      <alignment vertical="top"/>
    </xf>
    <xf numFmtId="167" fontId="87" fillId="0" borderId="16" xfId="0" applyNumberFormat="1" applyFont="1" applyBorder="1" applyAlignment="1">
      <alignment vertical="top" wrapText="1"/>
    </xf>
    <xf numFmtId="2" fontId="94" fillId="0" borderId="15" xfId="828" applyNumberFormat="1" applyFont="1" applyBorder="1" applyAlignment="1">
      <alignment horizontal="center" vertical="center" wrapText="1"/>
    </xf>
    <xf numFmtId="2" fontId="94" fillId="0" borderId="18" xfId="0" applyNumberFormat="1" applyFont="1" applyBorder="1" applyAlignment="1">
      <alignment vertical="top" wrapText="1"/>
    </xf>
    <xf numFmtId="0" fontId="87" fillId="0" borderId="15" xfId="0" applyFont="1" applyBorder="1" applyAlignment="1">
      <alignment horizontal="right" vertical="top" wrapText="1"/>
    </xf>
    <xf numFmtId="2" fontId="87" fillId="0" borderId="15" xfId="0" applyNumberFormat="1" applyFont="1" applyBorder="1" applyAlignment="1">
      <alignment horizontal="right" vertical="top" wrapText="1"/>
    </xf>
    <xf numFmtId="0" fontId="87" fillId="0" borderId="15" xfId="0" applyFont="1" applyBorder="1" applyAlignment="1">
      <alignment horizontal="left" vertical="top"/>
    </xf>
    <xf numFmtId="0" fontId="94" fillId="0" borderId="15" xfId="0" applyFont="1" applyBorder="1" applyAlignment="1">
      <alignment horizontal="right" vertical="top" wrapText="1"/>
    </xf>
    <xf numFmtId="2" fontId="87" fillId="0" borderId="19" xfId="0" applyNumberFormat="1" applyFont="1" applyBorder="1" applyAlignment="1">
      <alignment vertical="top"/>
    </xf>
    <xf numFmtId="169" fontId="87" fillId="0" borderId="15" xfId="0" applyNumberFormat="1" applyFont="1" applyBorder="1" applyAlignment="1">
      <alignment horizontal="center" vertical="top" wrapText="1"/>
    </xf>
    <xf numFmtId="0" fontId="94" fillId="0" borderId="15" xfId="0" applyFont="1" applyBorder="1" applyAlignment="1">
      <alignment horizontal="center" vertical="top" wrapText="1"/>
    </xf>
    <xf numFmtId="0" fontId="87" fillId="0" borderId="16" xfId="0" applyFont="1" applyBorder="1" applyAlignment="1">
      <alignment horizontal="center" vertical="top" wrapText="1"/>
    </xf>
    <xf numFmtId="2" fontId="87" fillId="0" borderId="21" xfId="0" applyNumberFormat="1" applyFont="1" applyBorder="1" applyAlignment="1">
      <alignment vertical="top"/>
    </xf>
    <xf numFmtId="2" fontId="87" fillId="0" borderId="15" xfId="0" applyNumberFormat="1" applyFont="1" applyBorder="1" applyAlignment="1">
      <alignment horizontal="center" vertical="top" wrapText="1"/>
    </xf>
    <xf numFmtId="2" fontId="94" fillId="0" borderId="15" xfId="0" applyNumberFormat="1" applyFont="1" applyBorder="1" applyAlignment="1">
      <alignment horizontal="right" vertical="top" wrapText="1"/>
    </xf>
    <xf numFmtId="169" fontId="94" fillId="0" borderId="15" xfId="0" applyNumberFormat="1" applyFont="1" applyBorder="1" applyAlignment="1">
      <alignment horizontal="right" vertical="top" wrapText="1"/>
    </xf>
    <xf numFmtId="2" fontId="87" fillId="0" borderId="15" xfId="0" applyNumberFormat="1" applyFont="1" applyBorder="1" applyAlignment="1">
      <alignment horizontal="center" vertical="top" shrinkToFit="1"/>
    </xf>
    <xf numFmtId="2" fontId="94" fillId="0" borderId="15" xfId="0" applyNumberFormat="1" applyFont="1" applyBorder="1" applyAlignment="1">
      <alignment horizontal="center" vertical="top" wrapText="1"/>
    </xf>
    <xf numFmtId="0" fontId="87" fillId="0" borderId="17" xfId="0" applyFont="1" applyBorder="1" applyAlignment="1">
      <alignment horizontal="center" vertical="top" wrapText="1"/>
    </xf>
    <xf numFmtId="0" fontId="94" fillId="0" borderId="15" xfId="0" applyFont="1" applyBorder="1" applyAlignment="1">
      <alignment horizontal="justify" vertical="top" wrapText="1"/>
    </xf>
    <xf numFmtId="2" fontId="94" fillId="0" borderId="15" xfId="0" applyNumberFormat="1" applyFont="1" applyBorder="1" applyAlignment="1">
      <alignment horizontal="center" vertical="top"/>
    </xf>
    <xf numFmtId="0" fontId="96" fillId="0" borderId="15" xfId="0" applyFont="1" applyBorder="1" applyAlignment="1">
      <alignment horizontal="center" vertical="top" wrapText="1"/>
    </xf>
    <xf numFmtId="0" fontId="87" fillId="0" borderId="18" xfId="0" applyFont="1" applyBorder="1" applyAlignment="1">
      <alignment horizontal="center" vertical="top" wrapText="1"/>
    </xf>
    <xf numFmtId="0" fontId="87" fillId="0" borderId="15" xfId="138" applyFont="1" applyBorder="1" applyAlignment="1">
      <alignment vertical="top" wrapText="1"/>
    </xf>
    <xf numFmtId="0" fontId="87" fillId="0" borderId="16" xfId="138" applyFont="1" applyBorder="1" applyAlignment="1">
      <alignment horizontal="right" vertical="top"/>
    </xf>
    <xf numFmtId="0" fontId="87" fillId="0" borderId="18" xfId="138" applyFont="1" applyBorder="1" applyAlignment="1">
      <alignment horizontal="left" vertical="top"/>
    </xf>
    <xf numFmtId="2" fontId="87" fillId="0" borderId="15" xfId="138" applyNumberFormat="1" applyFont="1" applyBorder="1" applyAlignment="1">
      <alignment horizontal="center" vertical="top"/>
    </xf>
    <xf numFmtId="167" fontId="87" fillId="0" borderId="15" xfId="138" applyNumberFormat="1" applyFont="1" applyBorder="1" applyAlignment="1">
      <alignment horizontal="center" vertical="top"/>
    </xf>
    <xf numFmtId="2" fontId="94" fillId="0" borderId="15" xfId="178" applyNumberFormat="1" applyFont="1" applyBorder="1" applyAlignment="1">
      <alignment horizontal="right" vertical="top" shrinkToFit="1"/>
    </xf>
    <xf numFmtId="0" fontId="87" fillId="0" borderId="15" xfId="178" applyFont="1" applyBorder="1" applyAlignment="1">
      <alignment horizontal="right" vertical="top"/>
    </xf>
    <xf numFmtId="0" fontId="91" fillId="0" borderId="15" xfId="0" applyFont="1" applyBorder="1" applyAlignment="1">
      <alignment horizontal="center" vertical="top" wrapText="1"/>
    </xf>
    <xf numFmtId="0" fontId="91" fillId="0" borderId="15" xfId="0" applyFont="1" applyBorder="1" applyAlignment="1">
      <alignment horizontal="justify" vertical="top" wrapText="1"/>
    </xf>
    <xf numFmtId="2" fontId="91" fillId="0" borderId="15" xfId="0" applyNumberFormat="1" applyFont="1" applyBorder="1" applyAlignment="1">
      <alignment horizontal="right" vertical="top"/>
    </xf>
    <xf numFmtId="0" fontId="91" fillId="0" borderId="15" xfId="0" applyFont="1" applyBorder="1" applyAlignment="1">
      <alignment vertical="top"/>
    </xf>
    <xf numFmtId="0" fontId="91" fillId="0" borderId="0" xfId="0" applyFont="1" applyAlignment="1">
      <alignment vertical="top"/>
    </xf>
    <xf numFmtId="0" fontId="91" fillId="0" borderId="15" xfId="0" applyFont="1" applyBorder="1" applyAlignment="1">
      <alignment horizontal="left" vertical="top" wrapText="1"/>
    </xf>
    <xf numFmtId="170" fontId="91" fillId="0" borderId="15" xfId="0" applyNumberFormat="1" applyFont="1" applyBorder="1" applyAlignment="1">
      <alignment horizontal="center" vertical="top" wrapText="1"/>
    </xf>
    <xf numFmtId="2" fontId="120" fillId="0" borderId="15" xfId="0" applyNumberFormat="1" applyFont="1" applyBorder="1" applyAlignment="1">
      <alignment horizontal="right" vertical="top"/>
    </xf>
    <xf numFmtId="2" fontId="120" fillId="0" borderId="15" xfId="0" applyNumberFormat="1" applyFont="1" applyBorder="1" applyAlignment="1">
      <alignment vertical="top"/>
    </xf>
    <xf numFmtId="0" fontId="87" fillId="0" borderId="15" xfId="0" applyFont="1" applyBorder="1" applyAlignment="1">
      <alignment horizontal="justify" vertical="justify" wrapText="1"/>
    </xf>
    <xf numFmtId="0" fontId="94" fillId="0" borderId="15" xfId="0" applyFont="1" applyBorder="1" applyAlignment="1">
      <alignment horizontal="justify" vertical="justify" wrapText="1"/>
    </xf>
    <xf numFmtId="0" fontId="123" fillId="0" borderId="0" xfId="1386" applyFont="1" applyAlignment="1">
      <alignment horizontal="left" vertical="center"/>
    </xf>
    <xf numFmtId="0" fontId="89" fillId="0" borderId="0" xfId="0" applyFont="1" applyAlignment="1">
      <alignment horizontal="left"/>
    </xf>
    <xf numFmtId="0" fontId="87" fillId="0" borderId="15" xfId="0" applyFont="1" applyBorder="1" applyAlignment="1">
      <alignment horizontal="center"/>
    </xf>
    <xf numFmtId="1" fontId="87" fillId="0" borderId="15" xfId="0" applyNumberFormat="1" applyFont="1" applyBorder="1"/>
    <xf numFmtId="2" fontId="87" fillId="0" borderId="15" xfId="0" applyNumberFormat="1" applyFont="1" applyBorder="1"/>
    <xf numFmtId="1" fontId="87" fillId="0" borderId="15" xfId="0" applyNumberFormat="1" applyFont="1" applyBorder="1" applyAlignment="1">
      <alignment horizontal="center"/>
    </xf>
    <xf numFmtId="0" fontId="87" fillId="0" borderId="15" xfId="0" applyFont="1" applyBorder="1" applyAlignment="1">
      <alignment horizontal="right"/>
    </xf>
    <xf numFmtId="2" fontId="87" fillId="0" borderId="15" xfId="0" applyNumberFormat="1" applyFont="1" applyBorder="1" applyAlignment="1">
      <alignment horizontal="right"/>
    </xf>
    <xf numFmtId="0" fontId="97" fillId="0" borderId="15" xfId="0" applyFont="1" applyBorder="1"/>
    <xf numFmtId="167" fontId="87" fillId="0" borderId="15" xfId="0" applyNumberFormat="1" applyFont="1" applyBorder="1"/>
    <xf numFmtId="0" fontId="94" fillId="0" borderId="15" xfId="0" applyFont="1" applyBorder="1"/>
    <xf numFmtId="2" fontId="87" fillId="0" borderId="15" xfId="0" applyNumberFormat="1" applyFont="1" applyBorder="1" applyAlignment="1">
      <alignment horizontal="center" wrapText="1"/>
    </xf>
    <xf numFmtId="2" fontId="94" fillId="0" borderId="15" xfId="95" applyNumberFormat="1" applyFont="1" applyBorder="1" applyAlignment="1">
      <alignment horizontal="center"/>
    </xf>
    <xf numFmtId="0" fontId="94" fillId="0" borderId="15" xfId="0" applyFont="1" applyBorder="1" applyAlignment="1">
      <alignment horizontal="center" wrapText="1"/>
    </xf>
    <xf numFmtId="1" fontId="94" fillId="0" borderId="15" xfId="0" applyNumberFormat="1" applyFont="1" applyBorder="1" applyAlignment="1">
      <alignment horizontal="center"/>
    </xf>
    <xf numFmtId="0" fontId="94" fillId="0" borderId="15" xfId="0" applyFont="1" applyBorder="1" applyAlignment="1">
      <alignment horizontal="center"/>
    </xf>
    <xf numFmtId="0" fontId="100" fillId="0" borderId="15" xfId="0" applyFont="1" applyBorder="1" applyAlignment="1">
      <alignment horizontal="left" vertical="justify" wrapText="1"/>
    </xf>
    <xf numFmtId="0" fontId="101" fillId="0" borderId="15" xfId="1275" applyFont="1" applyBorder="1" applyAlignment="1">
      <alignment horizontal="justify" vertical="top" wrapText="1"/>
    </xf>
    <xf numFmtId="1" fontId="87" fillId="0" borderId="16" xfId="0" applyNumberFormat="1" applyFont="1" applyBorder="1" applyAlignment="1">
      <alignment horizontal="right" vertical="top"/>
    </xf>
    <xf numFmtId="2" fontId="87" fillId="0" borderId="15" xfId="1385" applyNumberFormat="1" applyFont="1" applyBorder="1" applyAlignment="1">
      <alignment vertical="top"/>
    </xf>
    <xf numFmtId="2" fontId="87" fillId="0" borderId="16" xfId="1390" applyNumberFormat="1" applyFont="1" applyBorder="1" applyAlignment="1">
      <alignment horizontal="center" vertical="top" wrapText="1"/>
    </xf>
    <xf numFmtId="0" fontId="108" fillId="0" borderId="15" xfId="1395" applyFont="1" applyBorder="1" applyAlignment="1">
      <alignment horizontal="center" vertical="top"/>
    </xf>
    <xf numFmtId="0" fontId="87" fillId="0" borderId="16" xfId="95" applyFont="1" applyBorder="1" applyAlignment="1">
      <alignment horizontal="justify" vertical="top"/>
    </xf>
    <xf numFmtId="0" fontId="87" fillId="0" borderId="17" xfId="95" applyFont="1" applyBorder="1" applyAlignment="1">
      <alignment horizontal="justify" vertical="top"/>
    </xf>
    <xf numFmtId="167" fontId="87" fillId="0" borderId="15" xfId="95" applyNumberFormat="1" applyFont="1" applyBorder="1" applyAlignment="1">
      <alignment horizontal="justify" vertical="top"/>
    </xf>
    <xf numFmtId="2" fontId="87" fillId="0" borderId="15" xfId="95" applyNumberFormat="1" applyFont="1" applyBorder="1" applyAlignment="1">
      <alignment horizontal="justify" vertical="top"/>
    </xf>
    <xf numFmtId="0" fontId="67" fillId="0" borderId="0" xfId="121" applyFont="1" applyAlignment="1">
      <alignment horizontal="left" vertical="center"/>
    </xf>
    <xf numFmtId="0" fontId="65" fillId="0" borderId="0" xfId="121" applyFont="1" applyAlignment="1">
      <alignment horizontal="left" vertical="center" wrapText="1"/>
    </xf>
    <xf numFmtId="0" fontId="15" fillId="0" borderId="0" xfId="121"/>
    <xf numFmtId="2" fontId="92" fillId="0" borderId="16" xfId="1385" applyNumberFormat="1" applyFont="1" applyBorder="1" applyAlignment="1">
      <alignment horizontal="right" vertical="top"/>
    </xf>
    <xf numFmtId="2" fontId="87" fillId="0" borderId="18" xfId="0" applyNumberFormat="1" applyFont="1" applyBorder="1" applyAlignment="1">
      <alignment horizontal="left" vertical="top"/>
    </xf>
    <xf numFmtId="169" fontId="87" fillId="0" borderId="15" xfId="0" applyNumberFormat="1" applyFont="1" applyBorder="1" applyAlignment="1">
      <alignment horizontal="right" wrapText="1"/>
    </xf>
    <xf numFmtId="169" fontId="94" fillId="0" borderId="15" xfId="0" applyNumberFormat="1" applyFont="1" applyBorder="1" applyAlignment="1">
      <alignment horizontal="right" wrapText="1"/>
    </xf>
    <xf numFmtId="0" fontId="87" fillId="0" borderId="15" xfId="0" applyFont="1" applyBorder="1" applyAlignment="1">
      <alignment wrapText="1"/>
    </xf>
    <xf numFmtId="2" fontId="87" fillId="0" borderId="15" xfId="0" applyNumberFormat="1" applyFont="1" applyBorder="1" applyAlignment="1">
      <alignment wrapText="1"/>
    </xf>
    <xf numFmtId="167" fontId="87" fillId="0" borderId="15" xfId="0" applyNumberFormat="1" applyFont="1" applyBorder="1" applyAlignment="1">
      <alignment wrapText="1"/>
    </xf>
    <xf numFmtId="2" fontId="87" fillId="0" borderId="15" xfId="94" applyNumberFormat="1" applyFont="1" applyBorder="1" applyAlignment="1">
      <alignment horizontal="center" vertical="top"/>
    </xf>
    <xf numFmtId="2" fontId="87" fillId="0" borderId="16" xfId="94" applyNumberFormat="1" applyFont="1" applyBorder="1" applyAlignment="1">
      <alignment vertical="top"/>
    </xf>
    <xf numFmtId="49" fontId="94" fillId="0" borderId="0" xfId="970" applyNumberFormat="1" applyFont="1" applyAlignment="1">
      <alignment horizontal="left" vertical="center" wrapText="1"/>
    </xf>
    <xf numFmtId="0" fontId="87" fillId="0" borderId="0" xfId="970" applyFont="1" applyAlignment="1">
      <alignment horizontal="left"/>
    </xf>
    <xf numFmtId="2" fontId="87" fillId="0" borderId="0" xfId="970" applyNumberFormat="1" applyFont="1" applyAlignment="1">
      <alignment vertical="top"/>
    </xf>
    <xf numFmtId="0" fontId="87" fillId="0" borderId="0" xfId="970" applyFont="1"/>
    <xf numFmtId="0" fontId="87" fillId="0" borderId="0" xfId="970" applyFont="1" applyAlignment="1">
      <alignment horizontal="center"/>
    </xf>
    <xf numFmtId="2" fontId="87" fillId="0" borderId="0" xfId="970" applyNumberFormat="1" applyFont="1" applyAlignment="1">
      <alignment horizontal="right"/>
    </xf>
    <xf numFmtId="2" fontId="87" fillId="0" borderId="18" xfId="1385" applyNumberFormat="1" applyFont="1" applyBorder="1" applyAlignment="1">
      <alignment vertical="top"/>
    </xf>
    <xf numFmtId="0" fontId="87" fillId="0" borderId="18" xfId="1385" applyFont="1" applyBorder="1" applyAlignment="1">
      <alignment vertical="top"/>
    </xf>
    <xf numFmtId="2" fontId="87" fillId="0" borderId="18" xfId="94" applyNumberFormat="1" applyFont="1" applyBorder="1" applyAlignment="1">
      <alignment vertical="top"/>
    </xf>
    <xf numFmtId="2" fontId="87" fillId="0" borderId="16" xfId="1385" applyNumberFormat="1" applyFont="1" applyBorder="1" applyAlignment="1">
      <alignment vertical="top"/>
    </xf>
    <xf numFmtId="2" fontId="92" fillId="0" borderId="18" xfId="0" applyNumberFormat="1" applyFont="1" applyBorder="1" applyAlignment="1">
      <alignment horizontal="left" vertical="top"/>
    </xf>
    <xf numFmtId="0" fontId="87" fillId="0" borderId="18" xfId="0" applyFont="1" applyBorder="1" applyAlignment="1">
      <alignment vertical="top"/>
    </xf>
    <xf numFmtId="2" fontId="87" fillId="0" borderId="18" xfId="0" applyNumberFormat="1" applyFont="1" applyBorder="1" applyAlignment="1">
      <alignment vertical="top"/>
    </xf>
    <xf numFmtId="1" fontId="87" fillId="0" borderId="18" xfId="0" applyNumberFormat="1" applyFont="1" applyBorder="1" applyAlignment="1">
      <alignment vertical="top"/>
    </xf>
    <xf numFmtId="2" fontId="87" fillId="0" borderId="15" xfId="0" applyNumberFormat="1" applyFont="1" applyBorder="1" applyAlignment="1">
      <alignment horizontal="right" vertical="center"/>
    </xf>
    <xf numFmtId="0" fontId="104" fillId="0" borderId="15" xfId="95" applyFont="1" applyBorder="1" applyAlignment="1">
      <alignment horizontal="justify" vertical="top" wrapText="1"/>
    </xf>
    <xf numFmtId="0" fontId="90" fillId="0" borderId="15" xfId="0" quotePrefix="1" applyFont="1" applyBorder="1" applyAlignment="1">
      <alignment horizontal="justify" vertical="top" wrapText="1"/>
    </xf>
    <xf numFmtId="2" fontId="104" fillId="0" borderId="15" xfId="95" applyNumberFormat="1" applyFont="1" applyBorder="1" applyAlignment="1">
      <alignment horizontal="justify" vertical="top" wrapText="1"/>
    </xf>
    <xf numFmtId="2" fontId="104" fillId="0" borderId="15" xfId="95" applyNumberFormat="1" applyFont="1" applyBorder="1" applyAlignment="1">
      <alignment horizontal="left" vertical="top" wrapText="1"/>
    </xf>
    <xf numFmtId="0" fontId="87" fillId="0" borderId="15" xfId="178" applyFont="1" applyBorder="1" applyAlignment="1">
      <alignment horizontal="left" vertical="top" wrapText="1" shrinkToFit="1"/>
    </xf>
    <xf numFmtId="2" fontId="87" fillId="0" borderId="15" xfId="1386" applyNumberFormat="1" applyFont="1" applyBorder="1" applyAlignment="1">
      <alignment horizontal="center" vertical="top" wrapText="1" shrinkToFit="1"/>
    </xf>
    <xf numFmtId="0" fontId="94" fillId="0" borderId="15" xfId="0" applyFont="1" applyBorder="1" applyAlignment="1">
      <alignment vertical="top" wrapText="1"/>
    </xf>
    <xf numFmtId="0" fontId="87" fillId="0" borderId="15" xfId="0" applyFont="1" applyBorder="1" applyAlignment="1">
      <alignment horizontal="left" vertical="top" wrapText="1"/>
    </xf>
    <xf numFmtId="0" fontId="104" fillId="0" borderId="15" xfId="95" applyFont="1" applyBorder="1" applyAlignment="1">
      <alignment horizontal="center" vertical="top" wrapText="1"/>
    </xf>
    <xf numFmtId="0" fontId="2" fillId="0" borderId="0" xfId="1416"/>
    <xf numFmtId="0" fontId="13" fillId="0" borderId="8" xfId="1416" applyFont="1" applyBorder="1" applyAlignment="1">
      <alignment horizontal="center"/>
    </xf>
    <xf numFmtId="0" fontId="131" fillId="0" borderId="8" xfId="1416" applyFont="1" applyBorder="1" applyAlignment="1">
      <alignment horizontal="center" vertical="top" wrapText="1"/>
    </xf>
    <xf numFmtId="0" fontId="130" fillId="0" borderId="8" xfId="1416" applyFont="1" applyBorder="1" applyAlignment="1">
      <alignment horizontal="center" vertical="top" wrapText="1"/>
    </xf>
    <xf numFmtId="0" fontId="130" fillId="0" borderId="8" xfId="1416" applyFont="1" applyBorder="1" applyAlignment="1">
      <alignment horizontal="justify" vertical="top" wrapText="1"/>
    </xf>
    <xf numFmtId="0" fontId="131" fillId="0" borderId="8" xfId="1416" applyFont="1" applyBorder="1" applyAlignment="1">
      <alignment horizontal="justify" vertical="top" wrapText="1"/>
    </xf>
    <xf numFmtId="0" fontId="132" fillId="0" borderId="8" xfId="1416" applyFont="1" applyBorder="1" applyAlignment="1">
      <alignment horizontal="center" vertical="center" wrapText="1"/>
    </xf>
    <xf numFmtId="0" fontId="132" fillId="0" borderId="8" xfId="1416" applyFont="1" applyBorder="1" applyAlignment="1">
      <alignment horizontal="center" vertical="top" wrapText="1"/>
    </xf>
    <xf numFmtId="0" fontId="133" fillId="0" borderId="8" xfId="1417" applyFont="1" applyBorder="1" applyAlignment="1">
      <alignment horizontal="center" vertical="center" wrapText="1"/>
    </xf>
    <xf numFmtId="2" fontId="13" fillId="0" borderId="8" xfId="94" applyNumberFormat="1" applyBorder="1" applyAlignment="1">
      <alignment horizontal="center" vertical="center"/>
    </xf>
    <xf numFmtId="2" fontId="131" fillId="0" borderId="8" xfId="1416" applyNumberFormat="1" applyFont="1" applyBorder="1" applyAlignment="1">
      <alignment horizontal="center"/>
    </xf>
    <xf numFmtId="0" fontId="133" fillId="45" borderId="8" xfId="1417" applyFont="1" applyFill="1" applyBorder="1" applyAlignment="1">
      <alignment horizontal="center" vertical="center" wrapText="1"/>
    </xf>
    <xf numFmtId="2" fontId="13" fillId="45" borderId="8" xfId="94" applyNumberFormat="1" applyFill="1" applyBorder="1" applyAlignment="1">
      <alignment horizontal="center" vertical="center"/>
    </xf>
    <xf numFmtId="2" fontId="131" fillId="45" borderId="8" xfId="1416" applyNumberFormat="1" applyFont="1" applyFill="1" applyBorder="1" applyAlignment="1">
      <alignment horizontal="center"/>
    </xf>
    <xf numFmtId="0" fontId="2" fillId="45" borderId="0" xfId="1416" applyFill="1"/>
    <xf numFmtId="0" fontId="134" fillId="0" borderId="8" xfId="1417" applyFont="1" applyBorder="1" applyAlignment="1">
      <alignment horizontal="center" vertical="center" wrapText="1"/>
    </xf>
    <xf numFmtId="0" fontId="133" fillId="46" borderId="8" xfId="1417" applyFont="1" applyFill="1" applyBorder="1" applyAlignment="1">
      <alignment horizontal="center" vertical="center" wrapText="1"/>
    </xf>
    <xf numFmtId="0" fontId="131" fillId="0" borderId="27" xfId="1416" applyFont="1" applyBorder="1" applyAlignment="1">
      <alignment vertical="top" wrapText="1"/>
    </xf>
    <xf numFmtId="0" fontId="131" fillId="0" borderId="4" xfId="1416" applyFont="1" applyBorder="1" applyAlignment="1">
      <alignment vertical="top" wrapText="1"/>
    </xf>
    <xf numFmtId="0" fontId="131" fillId="0" borderId="28" xfId="1416" applyFont="1" applyBorder="1" applyAlignment="1">
      <alignment vertical="top" wrapText="1"/>
    </xf>
    <xf numFmtId="0" fontId="67" fillId="0" borderId="0" xfId="121" applyFont="1" applyAlignment="1">
      <alignment horizontal="left" vertical="center" wrapText="1"/>
    </xf>
    <xf numFmtId="0" fontId="62" fillId="0" borderId="0" xfId="121" applyFont="1" applyAlignment="1">
      <alignment horizontal="center" vertical="center"/>
    </xf>
    <xf numFmtId="0" fontId="66" fillId="0" borderId="0" xfId="121" applyFont="1" applyAlignment="1">
      <alignment horizontal="left" vertical="top"/>
    </xf>
    <xf numFmtId="0" fontId="87" fillId="0" borderId="15" xfId="0" applyFont="1" applyBorder="1" applyAlignment="1">
      <alignment horizontal="center" vertical="center" wrapText="1"/>
    </xf>
    <xf numFmtId="0" fontId="109" fillId="0" borderId="0" xfId="0" applyFont="1" applyAlignment="1">
      <alignment horizontal="center"/>
    </xf>
    <xf numFmtId="0" fontId="87" fillId="0" borderId="16" xfId="95" applyFont="1" applyBorder="1" applyAlignment="1">
      <alignment horizontal="right" vertical="top"/>
    </xf>
    <xf numFmtId="2" fontId="87" fillId="0" borderId="15" xfId="0" applyNumberFormat="1" applyFont="1" applyBorder="1" applyAlignment="1">
      <alignment horizontal="right" vertical="top" shrinkToFit="1"/>
    </xf>
    <xf numFmtId="0" fontId="87" fillId="45" borderId="15" xfId="0" applyFont="1" applyFill="1" applyBorder="1" applyAlignment="1">
      <alignment vertical="top" wrapText="1"/>
    </xf>
    <xf numFmtId="0" fontId="87" fillId="45" borderId="15" xfId="0" applyFont="1" applyFill="1" applyBorder="1" applyAlignment="1">
      <alignment horizontal="center" vertical="top" wrapText="1"/>
    </xf>
    <xf numFmtId="2" fontId="87" fillId="45" borderId="15" xfId="0" applyNumberFormat="1" applyFont="1" applyFill="1" applyBorder="1" applyAlignment="1">
      <alignment horizontal="center" vertical="top" wrapText="1"/>
    </xf>
    <xf numFmtId="0" fontId="87" fillId="0" borderId="15" xfId="885" applyFont="1" applyBorder="1" applyAlignment="1">
      <alignment horizontal="justify" vertical="top" wrapText="1"/>
    </xf>
    <xf numFmtId="1" fontId="87" fillId="0" borderId="16" xfId="885" applyNumberFormat="1" applyFont="1" applyBorder="1" applyAlignment="1">
      <alignment horizontal="right" vertical="top" wrapText="1"/>
    </xf>
    <xf numFmtId="1" fontId="87" fillId="0" borderId="17" xfId="885" applyNumberFormat="1" applyFont="1" applyBorder="1" applyAlignment="1">
      <alignment horizontal="center" vertical="top" wrapText="1"/>
    </xf>
    <xf numFmtId="1" fontId="87" fillId="0" borderId="18" xfId="885" applyNumberFormat="1" applyFont="1" applyBorder="1" applyAlignment="1">
      <alignment horizontal="left" vertical="top" wrapText="1"/>
    </xf>
    <xf numFmtId="167" fontId="87" fillId="0" borderId="15" xfId="885" applyNumberFormat="1" applyFont="1" applyBorder="1" applyAlignment="1">
      <alignment horizontal="center" vertical="top" wrapText="1"/>
    </xf>
    <xf numFmtId="0" fontId="108" fillId="0" borderId="15" xfId="1395" applyFont="1" applyBorder="1"/>
    <xf numFmtId="0" fontId="87" fillId="0" borderId="8" xfId="0" applyFont="1" applyBorder="1" applyAlignment="1">
      <alignment horizontal="left" vertical="top"/>
    </xf>
    <xf numFmtId="0" fontId="87" fillId="0" borderId="8" xfId="0" applyFont="1" applyBorder="1" applyAlignment="1">
      <alignment vertical="top"/>
    </xf>
    <xf numFmtId="2" fontId="87" fillId="0" borderId="8" xfId="0" applyNumberFormat="1" applyFont="1" applyBorder="1" applyAlignment="1">
      <alignment horizontal="center" vertical="top"/>
    </xf>
    <xf numFmtId="0" fontId="87" fillId="0" borderId="8" xfId="0" applyFont="1" applyBorder="1" applyAlignment="1">
      <alignment horizontal="center" vertical="top"/>
    </xf>
    <xf numFmtId="49" fontId="94" fillId="0" borderId="15" xfId="970" applyNumberFormat="1" applyFont="1" applyBorder="1" applyAlignment="1">
      <alignment horizontal="center" vertical="center" wrapText="1"/>
    </xf>
    <xf numFmtId="2" fontId="87" fillId="0" borderId="16" xfId="1390" applyNumberFormat="1" applyFont="1" applyBorder="1" applyAlignment="1">
      <alignment vertical="top" wrapText="1"/>
    </xf>
    <xf numFmtId="2" fontId="87" fillId="0" borderId="15" xfId="1390" applyNumberFormat="1" applyFont="1" applyBorder="1" applyAlignment="1">
      <alignment horizontal="right" vertical="top" wrapText="1"/>
    </xf>
    <xf numFmtId="2" fontId="87" fillId="0" borderId="16" xfId="1390" applyNumberFormat="1" applyFont="1" applyBorder="1" applyAlignment="1">
      <alignment horizontal="right" vertical="top" wrapText="1"/>
    </xf>
    <xf numFmtId="2" fontId="87" fillId="0" borderId="18" xfId="1385" applyNumberFormat="1" applyFont="1" applyBorder="1" applyAlignment="1">
      <alignment horizontal="left" vertical="top"/>
    </xf>
    <xf numFmtId="2" fontId="94" fillId="0" borderId="18" xfId="1385" applyNumberFormat="1" applyFont="1" applyBorder="1" applyAlignment="1">
      <alignment horizontal="left" vertical="top"/>
    </xf>
    <xf numFmtId="167" fontId="87" fillId="0" borderId="16" xfId="1390" applyNumberFormat="1" applyFont="1" applyBorder="1" applyAlignment="1">
      <alignment horizontal="right" vertical="top" wrapText="1"/>
    </xf>
    <xf numFmtId="167" fontId="87" fillId="0" borderId="16" xfId="1390" applyNumberFormat="1" applyFont="1" applyBorder="1" applyAlignment="1">
      <alignment horizontal="center" vertical="top" wrapText="1"/>
    </xf>
    <xf numFmtId="0" fontId="33" fillId="0" borderId="0" xfId="1388" applyAlignment="1">
      <alignment horizontal="center" vertical="top"/>
    </xf>
    <xf numFmtId="0" fontId="33" fillId="0" borderId="0" xfId="1388"/>
    <xf numFmtId="0" fontId="138" fillId="0" borderId="0" xfId="1388" applyFont="1" applyAlignment="1">
      <alignment horizontal="center" vertical="top"/>
    </xf>
    <xf numFmtId="0" fontId="139" fillId="0" borderId="0" xfId="1388" applyFont="1" applyAlignment="1">
      <alignment horizontal="center" vertical="top"/>
    </xf>
    <xf numFmtId="0" fontId="138" fillId="0" borderId="0" xfId="1388" applyFont="1" applyAlignment="1">
      <alignment horizontal="left" vertical="top"/>
    </xf>
    <xf numFmtId="0" fontId="140" fillId="0" borderId="0" xfId="1388" applyFont="1" applyAlignment="1">
      <alignment horizontal="left" vertical="top"/>
    </xf>
    <xf numFmtId="0" fontId="141" fillId="0" borderId="0" xfId="1388" applyFont="1" applyAlignment="1">
      <alignment horizontal="center" vertical="top"/>
    </xf>
    <xf numFmtId="0" fontId="33" fillId="0" borderId="0" xfId="1388" applyAlignment="1">
      <alignment vertical="top"/>
    </xf>
    <xf numFmtId="0" fontId="139" fillId="0" borderId="0" xfId="1388" applyFont="1" applyAlignment="1">
      <alignment horizontal="left" vertical="top"/>
    </xf>
    <xf numFmtId="177" fontId="33" fillId="0" borderId="15" xfId="1388" applyNumberFormat="1" applyBorder="1" applyAlignment="1">
      <alignment horizontal="center" vertical="top"/>
    </xf>
    <xf numFmtId="0" fontId="33" fillId="0" borderId="15" xfId="1388" applyBorder="1" applyAlignment="1">
      <alignment horizontal="center" vertical="top"/>
    </xf>
    <xf numFmtId="0" fontId="33" fillId="0" borderId="15" xfId="1388" applyBorder="1" applyAlignment="1">
      <alignment horizontal="center" vertical="top" wrapText="1"/>
    </xf>
    <xf numFmtId="0" fontId="149" fillId="0" borderId="33" xfId="1419" applyFont="1" applyBorder="1" applyAlignment="1">
      <alignment horizontal="justify" vertical="top" wrapText="1"/>
    </xf>
    <xf numFmtId="2" fontId="151" fillId="0" borderId="10" xfId="1421" applyNumberFormat="1" applyFont="1" applyBorder="1" applyAlignment="1">
      <alignment vertical="top" wrapText="1"/>
    </xf>
    <xf numFmtId="0" fontId="151" fillId="0" borderId="33" xfId="1419" applyFont="1" applyBorder="1" applyAlignment="1">
      <alignment horizontal="justify" vertical="top" wrapText="1"/>
    </xf>
    <xf numFmtId="0" fontId="159" fillId="0" borderId="0" xfId="94" applyFont="1" applyAlignment="1">
      <alignment horizontal="center"/>
    </xf>
    <xf numFmtId="0" fontId="118" fillId="0" borderId="0" xfId="1419" applyFont="1" applyAlignment="1">
      <alignment vertical="top"/>
    </xf>
    <xf numFmtId="0" fontId="14" fillId="0" borderId="0" xfId="1420" applyFont="1" applyAlignment="1">
      <alignment horizontal="left"/>
    </xf>
    <xf numFmtId="49" fontId="16" fillId="0" borderId="10" xfId="1420" applyNumberFormat="1" applyFont="1" applyBorder="1" applyAlignment="1">
      <alignment horizontal="center" vertical="center" wrapText="1"/>
    </xf>
    <xf numFmtId="49" fontId="16" fillId="0" borderId="36" xfId="1420" applyNumberFormat="1" applyFont="1" applyBorder="1" applyAlignment="1">
      <alignment horizontal="center" vertical="center" wrapText="1"/>
    </xf>
    <xf numFmtId="49" fontId="16" fillId="0" borderId="14" xfId="1420" applyNumberFormat="1" applyFont="1" applyBorder="1" applyAlignment="1">
      <alignment horizontal="center" vertical="center" wrapText="1"/>
    </xf>
    <xf numFmtId="49" fontId="16" fillId="0" borderId="0" xfId="1420" applyNumberFormat="1" applyFont="1" applyAlignment="1">
      <alignment horizontal="center" vertical="center" wrapText="1"/>
    </xf>
    <xf numFmtId="0" fontId="13" fillId="0" borderId="0" xfId="1420"/>
    <xf numFmtId="49" fontId="16" fillId="0" borderId="0" xfId="1420" applyNumberFormat="1" applyFont="1" applyAlignment="1">
      <alignment horizontal="left" vertical="center" wrapText="1"/>
    </xf>
    <xf numFmtId="49" fontId="16" fillId="0" borderId="33" xfId="1420" applyNumberFormat="1" applyFont="1" applyBorder="1" applyAlignment="1">
      <alignment horizontal="center" vertical="center" wrapText="1"/>
    </xf>
    <xf numFmtId="49" fontId="16" fillId="0" borderId="0" xfId="1420" applyNumberFormat="1" applyFont="1" applyAlignment="1">
      <alignment vertical="center" wrapText="1"/>
    </xf>
    <xf numFmtId="0" fontId="13" fillId="0" borderId="14" xfId="1420" applyBorder="1"/>
    <xf numFmtId="49" fontId="160" fillId="0" borderId="14" xfId="1420" applyNumberFormat="1" applyFont="1" applyBorder="1" applyAlignment="1">
      <alignment horizontal="center" vertical="center" wrapText="1"/>
    </xf>
    <xf numFmtId="49" fontId="16" fillId="0" borderId="14" xfId="1420" applyNumberFormat="1" applyFont="1" applyBorder="1" applyAlignment="1">
      <alignment vertical="center" wrapText="1"/>
    </xf>
    <xf numFmtId="0" fontId="16" fillId="0" borderId="0" xfId="1420" applyFont="1"/>
    <xf numFmtId="0" fontId="13" fillId="0" borderId="0" xfId="1420" applyAlignment="1">
      <alignment horizontal="left"/>
    </xf>
    <xf numFmtId="0" fontId="13" fillId="0" borderId="0" xfId="1420" applyAlignment="1">
      <alignment horizontal="center"/>
    </xf>
    <xf numFmtId="0" fontId="13" fillId="0" borderId="4" xfId="1420" applyBorder="1"/>
    <xf numFmtId="49" fontId="16" fillId="0" borderId="4" xfId="1420" applyNumberFormat="1" applyFont="1" applyBorder="1" applyAlignment="1">
      <alignment horizontal="center" vertical="center" wrapText="1"/>
    </xf>
    <xf numFmtId="49" fontId="13" fillId="0" borderId="0" xfId="1420" applyNumberFormat="1" applyAlignment="1">
      <alignment horizontal="center" vertical="center" wrapText="1"/>
    </xf>
    <xf numFmtId="0" fontId="162" fillId="0" borderId="0" xfId="1423" applyFont="1" applyAlignment="1">
      <alignment horizontal="left" vertical="top"/>
    </xf>
    <xf numFmtId="0" fontId="162" fillId="0" borderId="0" xfId="1423" applyFont="1"/>
    <xf numFmtId="0" fontId="91" fillId="0" borderId="0" xfId="1423" applyFont="1"/>
    <xf numFmtId="0" fontId="164" fillId="0" borderId="0" xfId="1423" applyFont="1" applyAlignment="1">
      <alignment horizontal="center"/>
    </xf>
    <xf numFmtId="0" fontId="162" fillId="0" borderId="0" xfId="1424" applyFont="1" applyAlignment="1">
      <alignment vertical="top"/>
    </xf>
    <xf numFmtId="0" fontId="91" fillId="0" borderId="0" xfId="1424" applyFont="1"/>
    <xf numFmtId="0" fontId="93" fillId="0" borderId="0" xfId="94" applyFont="1" applyAlignment="1">
      <alignment horizontal="center" vertical="top"/>
    </xf>
    <xf numFmtId="0" fontId="91" fillId="0" borderId="0" xfId="1391" applyFont="1"/>
    <xf numFmtId="0" fontId="149" fillId="0" borderId="8" xfId="1419" applyFont="1" applyBorder="1" applyAlignment="1">
      <alignment horizontal="justify" vertical="top" wrapText="1"/>
    </xf>
    <xf numFmtId="2" fontId="149" fillId="0" borderId="28" xfId="1421" applyNumberFormat="1" applyFont="1" applyBorder="1" applyAlignment="1">
      <alignment vertical="top" wrapText="1"/>
    </xf>
    <xf numFmtId="0" fontId="87" fillId="0" borderId="29" xfId="95" applyFont="1" applyBorder="1" applyAlignment="1">
      <alignment horizontal="left" vertical="top"/>
    </xf>
    <xf numFmtId="2" fontId="87" fillId="0" borderId="10" xfId="95" applyNumberFormat="1" applyFont="1" applyBorder="1" applyAlignment="1">
      <alignment horizontal="left" vertical="top"/>
    </xf>
    <xf numFmtId="0" fontId="95" fillId="0" borderId="0" xfId="1420" applyFont="1"/>
    <xf numFmtId="0" fontId="95" fillId="0" borderId="0" xfId="1420" applyFont="1" applyAlignment="1">
      <alignment horizontal="center"/>
    </xf>
    <xf numFmtId="0" fontId="95" fillId="0" borderId="0" xfId="1420" applyFont="1" applyAlignment="1">
      <alignment horizontal="center" vertical="center"/>
    </xf>
    <xf numFmtId="0" fontId="95" fillId="0" borderId="0" xfId="1420" applyFont="1" applyAlignment="1">
      <alignment horizontal="justify" vertical="center"/>
    </xf>
    <xf numFmtId="2" fontId="146" fillId="0" borderId="0" xfId="1420" applyNumberFormat="1" applyFont="1" applyAlignment="1">
      <alignment horizontal="right" vertical="center"/>
    </xf>
    <xf numFmtId="0" fontId="146" fillId="0" borderId="0" xfId="1420" applyFont="1" applyAlignment="1">
      <alignment horizontal="justify" vertical="center"/>
    </xf>
    <xf numFmtId="2" fontId="146" fillId="0" borderId="0" xfId="1420" applyNumberFormat="1" applyFont="1" applyAlignment="1">
      <alignment horizontal="justify" vertical="center"/>
    </xf>
    <xf numFmtId="0" fontId="146" fillId="0" borderId="0" xfId="1420" applyFont="1" applyAlignment="1">
      <alignment horizontal="center" vertical="center"/>
    </xf>
    <xf numFmtId="0" fontId="148" fillId="0" borderId="0" xfId="1420" applyFont="1"/>
    <xf numFmtId="2" fontId="147" fillId="0" borderId="8" xfId="1420" applyNumberFormat="1" applyFont="1" applyBorder="1" applyAlignment="1">
      <alignment horizontal="center" vertical="center" wrapText="1"/>
    </xf>
    <xf numFmtId="49" fontId="147" fillId="0" borderId="8" xfId="1420" applyNumberFormat="1" applyFont="1" applyBorder="1" applyAlignment="1">
      <alignment horizontal="center" vertical="center" wrapText="1"/>
    </xf>
    <xf numFmtId="0" fontId="148" fillId="0" borderId="28" xfId="1420" applyFont="1" applyBorder="1" applyAlignment="1">
      <alignment horizontal="center" vertical="top"/>
    </xf>
    <xf numFmtId="2" fontId="148" fillId="0" borderId="27" xfId="1420" applyNumberFormat="1" applyFont="1" applyBorder="1" applyAlignment="1">
      <alignment horizontal="right" vertical="top" wrapText="1"/>
    </xf>
    <xf numFmtId="2" fontId="148" fillId="0" borderId="8" xfId="1420" applyNumberFormat="1" applyFont="1" applyBorder="1" applyAlignment="1">
      <alignment horizontal="center" vertical="top" wrapText="1"/>
    </xf>
    <xf numFmtId="49" fontId="148" fillId="0" borderId="8" xfId="1420" applyNumberFormat="1" applyFont="1" applyBorder="1" applyAlignment="1">
      <alignment horizontal="center" vertical="top" wrapText="1"/>
    </xf>
    <xf numFmtId="2" fontId="148" fillId="0" borderId="8" xfId="1420" applyNumberFormat="1" applyFont="1" applyBorder="1" applyAlignment="1">
      <alignment horizontal="right" vertical="top" wrapText="1"/>
    </xf>
    <xf numFmtId="49" fontId="147" fillId="0" borderId="27" xfId="1420" applyNumberFormat="1" applyFont="1" applyBorder="1" applyAlignment="1">
      <alignment horizontal="center" vertical="center" wrapText="1"/>
    </xf>
    <xf numFmtId="2" fontId="148" fillId="0" borderId="0" xfId="1420" applyNumberFormat="1" applyFont="1" applyAlignment="1">
      <alignment horizontal="right" vertical="top" wrapText="1"/>
    </xf>
    <xf numFmtId="2" fontId="148" fillId="0" borderId="0" xfId="1420" applyNumberFormat="1" applyFont="1" applyAlignment="1">
      <alignment vertical="top"/>
    </xf>
    <xf numFmtId="0" fontId="148" fillId="0" borderId="29" xfId="1420" applyFont="1" applyBorder="1" applyAlignment="1">
      <alignment horizontal="center" vertical="top"/>
    </xf>
    <xf numFmtId="2" fontId="148" fillId="0" borderId="30" xfId="1420" applyNumberFormat="1" applyFont="1" applyBorder="1" applyAlignment="1">
      <alignment horizontal="right" vertical="top" wrapText="1"/>
    </xf>
    <xf numFmtId="2" fontId="148" fillId="0" borderId="31" xfId="1420" applyNumberFormat="1" applyFont="1" applyBorder="1" applyAlignment="1">
      <alignment horizontal="center" vertical="top" wrapText="1"/>
    </xf>
    <xf numFmtId="0" fontId="87" fillId="0" borderId="31" xfId="0" applyFont="1" applyBorder="1" applyAlignment="1">
      <alignment horizontal="justify" vertical="top" wrapText="1"/>
    </xf>
    <xf numFmtId="49" fontId="148" fillId="0" borderId="31" xfId="1420" applyNumberFormat="1" applyFont="1" applyBorder="1" applyAlignment="1">
      <alignment horizontal="center" vertical="top" wrapText="1"/>
    </xf>
    <xf numFmtId="2" fontId="148" fillId="0" borderId="31" xfId="1420" applyNumberFormat="1" applyFont="1" applyBorder="1" applyAlignment="1">
      <alignment horizontal="right" vertical="top" wrapText="1"/>
    </xf>
    <xf numFmtId="49" fontId="147" fillId="0" borderId="30" xfId="1420" applyNumberFormat="1" applyFont="1" applyBorder="1" applyAlignment="1">
      <alignment horizontal="center" vertical="center" wrapText="1"/>
    </xf>
    <xf numFmtId="0" fontId="148" fillId="0" borderId="10" xfId="1420" applyFont="1" applyBorder="1" applyAlignment="1">
      <alignment horizontal="center" vertical="top"/>
    </xf>
    <xf numFmtId="2" fontId="148" fillId="0" borderId="32" xfId="1420" applyNumberFormat="1" applyFont="1" applyBorder="1" applyAlignment="1">
      <alignment horizontal="right" vertical="top" wrapText="1"/>
    </xf>
    <xf numFmtId="2" fontId="148" fillId="0" borderId="33" xfId="1420" applyNumberFormat="1" applyFont="1" applyBorder="1" applyAlignment="1">
      <alignment horizontal="center" vertical="top" wrapText="1"/>
    </xf>
    <xf numFmtId="0" fontId="87" fillId="0" borderId="33" xfId="0" applyFont="1" applyBorder="1" applyAlignment="1">
      <alignment horizontal="justify" vertical="top" wrapText="1"/>
    </xf>
    <xf numFmtId="49" fontId="148" fillId="0" borderId="33" xfId="1420" applyNumberFormat="1" applyFont="1" applyBorder="1" applyAlignment="1">
      <alignment horizontal="center" vertical="top" wrapText="1"/>
    </xf>
    <xf numFmtId="2" fontId="148" fillId="0" borderId="33" xfId="1420" applyNumberFormat="1" applyFont="1" applyBorder="1" applyAlignment="1">
      <alignment horizontal="right" vertical="top" wrapText="1"/>
    </xf>
    <xf numFmtId="49" fontId="147" fillId="0" borderId="32" xfId="1420" applyNumberFormat="1" applyFont="1" applyBorder="1" applyAlignment="1">
      <alignment horizontal="center" vertical="center" wrapText="1"/>
    </xf>
    <xf numFmtId="0" fontId="97" fillId="0" borderId="33" xfId="0" applyFont="1" applyBorder="1" applyAlignment="1">
      <alignment horizontal="justify" vertical="top" wrapText="1"/>
    </xf>
    <xf numFmtId="0" fontId="150" fillId="0" borderId="10" xfId="1420" applyFont="1" applyBorder="1" applyAlignment="1">
      <alignment horizontal="center" vertical="top"/>
    </xf>
    <xf numFmtId="2" fontId="150" fillId="0" borderId="33" xfId="1420" applyNumberFormat="1" applyFont="1" applyBorder="1" applyAlignment="1">
      <alignment horizontal="center" vertical="top" wrapText="1"/>
    </xf>
    <xf numFmtId="49" fontId="150" fillId="0" borderId="33" xfId="1420" applyNumberFormat="1" applyFont="1" applyBorder="1" applyAlignment="1">
      <alignment horizontal="center" vertical="top" wrapText="1"/>
    </xf>
    <xf numFmtId="2" fontId="150" fillId="0" borderId="33" xfId="1420" applyNumberFormat="1" applyFont="1" applyBorder="1" applyAlignment="1">
      <alignment horizontal="right" vertical="top" wrapText="1"/>
    </xf>
    <xf numFmtId="49" fontId="152" fillId="0" borderId="32" xfId="1420" applyNumberFormat="1" applyFont="1" applyBorder="1" applyAlignment="1">
      <alignment horizontal="center" vertical="center" wrapText="1"/>
    </xf>
    <xf numFmtId="2" fontId="150" fillId="0" borderId="0" xfId="1420" applyNumberFormat="1" applyFont="1" applyAlignment="1">
      <alignment horizontal="right" vertical="top" wrapText="1"/>
    </xf>
    <xf numFmtId="2" fontId="150" fillId="0" borderId="32" xfId="1420" applyNumberFormat="1" applyFont="1" applyBorder="1" applyAlignment="1">
      <alignment horizontal="right" vertical="top" wrapText="1"/>
    </xf>
    <xf numFmtId="0" fontId="148" fillId="0" borderId="34" xfId="1419" applyFont="1" applyBorder="1" applyAlignment="1">
      <alignment horizontal="center" vertical="top"/>
    </xf>
    <xf numFmtId="2" fontId="148" fillId="0" borderId="35" xfId="1419" applyNumberFormat="1" applyFont="1" applyBorder="1" applyAlignment="1">
      <alignment horizontal="right" vertical="top" wrapText="1"/>
    </xf>
    <xf numFmtId="49" fontId="148" fillId="0" borderId="34" xfId="1419" applyNumberFormat="1" applyFont="1" applyBorder="1" applyAlignment="1">
      <alignment horizontal="left" vertical="top" wrapText="1"/>
    </xf>
    <xf numFmtId="2" fontId="148" fillId="0" borderId="36" xfId="1419" applyNumberFormat="1" applyFont="1" applyBorder="1" applyAlignment="1">
      <alignment horizontal="center" vertical="top" wrapText="1"/>
    </xf>
    <xf numFmtId="49" fontId="147" fillId="0" borderId="36" xfId="1419" applyNumberFormat="1" applyFont="1" applyBorder="1" applyAlignment="1">
      <alignment horizontal="right" vertical="top" wrapText="1"/>
    </xf>
    <xf numFmtId="2" fontId="153" fillId="0" borderId="36" xfId="1419" applyNumberFormat="1" applyFont="1" applyBorder="1" applyAlignment="1">
      <alignment horizontal="center" vertical="top" wrapText="1"/>
    </xf>
    <xf numFmtId="49" fontId="148" fillId="0" borderId="36" xfId="1419" applyNumberFormat="1" applyFont="1" applyBorder="1" applyAlignment="1">
      <alignment horizontal="center" vertical="top" wrapText="1"/>
    </xf>
    <xf numFmtId="2" fontId="148" fillId="0" borderId="36" xfId="1419" applyNumberFormat="1" applyFont="1" applyBorder="1" applyAlignment="1">
      <alignment horizontal="right" vertical="top" wrapText="1"/>
    </xf>
    <xf numFmtId="49" fontId="148" fillId="0" borderId="36" xfId="1419" applyNumberFormat="1" applyFont="1" applyBorder="1" applyAlignment="1">
      <alignment horizontal="justify" vertical="top" wrapText="1"/>
    </xf>
    <xf numFmtId="49" fontId="148" fillId="0" borderId="35" xfId="1419" applyNumberFormat="1" applyFont="1" applyBorder="1" applyAlignment="1">
      <alignment horizontal="justify" vertical="top" wrapText="1"/>
    </xf>
    <xf numFmtId="0" fontId="148" fillId="0" borderId="0" xfId="1419" applyFont="1" applyAlignment="1">
      <alignment vertical="top"/>
    </xf>
    <xf numFmtId="0" fontId="130" fillId="0" borderId="0" xfId="1421" applyFont="1" applyAlignment="1">
      <alignment vertical="top"/>
    </xf>
    <xf numFmtId="2" fontId="156" fillId="0" borderId="33" xfId="1421" applyNumberFormat="1" applyFont="1" applyBorder="1" applyAlignment="1">
      <alignment horizontal="right" vertical="top" wrapText="1"/>
    </xf>
    <xf numFmtId="49" fontId="148" fillId="0" borderId="0" xfId="1420" applyNumberFormat="1" applyFont="1" applyAlignment="1">
      <alignment horizontal="center" wrapText="1"/>
    </xf>
    <xf numFmtId="2" fontId="148" fillId="0" borderId="0" xfId="1420" applyNumberFormat="1" applyFont="1" applyAlignment="1">
      <alignment horizontal="right" vertical="center" wrapText="1"/>
    </xf>
    <xf numFmtId="49" fontId="148" fillId="0" borderId="0" xfId="1420" applyNumberFormat="1" applyFont="1" applyAlignment="1">
      <alignment horizontal="center" vertical="center" wrapText="1"/>
    </xf>
    <xf numFmtId="2" fontId="95" fillId="0" borderId="0" xfId="1420" applyNumberFormat="1" applyFont="1" applyAlignment="1">
      <alignment horizontal="right" vertical="center" wrapText="1"/>
    </xf>
    <xf numFmtId="49" fontId="95" fillId="0" borderId="0" xfId="1420" applyNumberFormat="1" applyFont="1" applyAlignment="1">
      <alignment horizontal="center" vertical="center" wrapText="1"/>
    </xf>
    <xf numFmtId="2" fontId="146" fillId="0" borderId="0" xfId="1420" applyNumberFormat="1" applyFont="1" applyAlignment="1">
      <alignment horizontal="center" vertical="center" wrapText="1"/>
    </xf>
    <xf numFmtId="0" fontId="95" fillId="0" borderId="0" xfId="1420" applyFont="1" applyAlignment="1">
      <alignment horizontal="center" vertical="center" wrapText="1"/>
    </xf>
    <xf numFmtId="2" fontId="150" fillId="0" borderId="0" xfId="1420" applyNumberFormat="1" applyFont="1" applyAlignment="1">
      <alignment horizontal="right" vertical="center" wrapText="1"/>
    </xf>
    <xf numFmtId="49" fontId="150" fillId="0" borderId="0" xfId="1420" applyNumberFormat="1" applyFont="1" applyAlignment="1">
      <alignment horizontal="center" vertical="center" wrapText="1"/>
    </xf>
    <xf numFmtId="2" fontId="150" fillId="0" borderId="0" xfId="1420" applyNumberFormat="1" applyFont="1" applyAlignment="1">
      <alignment horizontal="center" vertical="center" wrapText="1"/>
    </xf>
    <xf numFmtId="2" fontId="95" fillId="0" borderId="0" xfId="1420" applyNumberFormat="1" applyFont="1" applyAlignment="1">
      <alignment horizontal="center" vertical="center" wrapText="1"/>
    </xf>
    <xf numFmtId="2" fontId="95" fillId="0" borderId="0" xfId="1420" applyNumberFormat="1" applyFont="1" applyAlignment="1">
      <alignment horizontal="right"/>
    </xf>
    <xf numFmtId="2" fontId="95" fillId="0" borderId="0" xfId="1420" applyNumberFormat="1" applyFont="1"/>
    <xf numFmtId="0" fontId="148" fillId="0" borderId="29" xfId="1421" applyFont="1" applyBorder="1" applyAlignment="1">
      <alignment horizontal="center" vertical="top"/>
    </xf>
    <xf numFmtId="2" fontId="148" fillId="0" borderId="30" xfId="1421" applyNumberFormat="1" applyFont="1" applyBorder="1" applyAlignment="1">
      <alignment horizontal="right" vertical="top" wrapText="1"/>
    </xf>
    <xf numFmtId="49" fontId="148" fillId="0" borderId="29" xfId="1421" applyNumberFormat="1" applyFont="1" applyBorder="1" applyAlignment="1">
      <alignment horizontal="left" vertical="top" wrapText="1"/>
    </xf>
    <xf numFmtId="2" fontId="148" fillId="0" borderId="31" xfId="1421" applyNumberFormat="1" applyFont="1" applyBorder="1" applyAlignment="1">
      <alignment horizontal="center" vertical="top" wrapText="1"/>
    </xf>
    <xf numFmtId="2" fontId="155" fillId="0" borderId="31" xfId="1421" applyNumberFormat="1" applyFont="1" applyBorder="1" applyAlignment="1">
      <alignment horizontal="center" vertical="center" wrapText="1"/>
    </xf>
    <xf numFmtId="2" fontId="156" fillId="0" borderId="31" xfId="1421" applyNumberFormat="1" applyFont="1" applyBorder="1" applyAlignment="1">
      <alignment horizontal="right" vertical="top" wrapText="1"/>
    </xf>
    <xf numFmtId="49" fontId="150" fillId="0" borderId="30" xfId="1421" applyNumberFormat="1" applyFont="1" applyBorder="1" applyAlignment="1">
      <alignment horizontal="center" vertical="top" wrapText="1"/>
    </xf>
    <xf numFmtId="0" fontId="148" fillId="0" borderId="10" xfId="1421" applyFont="1" applyBorder="1" applyAlignment="1">
      <alignment horizontal="center" vertical="top"/>
    </xf>
    <xf numFmtId="2" fontId="148" fillId="0" borderId="32" xfId="1421" applyNumberFormat="1" applyFont="1" applyBorder="1" applyAlignment="1">
      <alignment horizontal="right" vertical="top" wrapText="1"/>
    </xf>
    <xf numFmtId="49" fontId="148" fillId="0" borderId="10" xfId="1421" applyNumberFormat="1" applyFont="1" applyBorder="1" applyAlignment="1">
      <alignment horizontal="left" vertical="top" wrapText="1"/>
    </xf>
    <xf numFmtId="2" fontId="148" fillId="0" borderId="33" xfId="1421" applyNumberFormat="1" applyFont="1" applyBorder="1" applyAlignment="1">
      <alignment horizontal="center" vertical="top" wrapText="1"/>
    </xf>
    <xf numFmtId="2" fontId="155" fillId="0" borderId="33" xfId="1421" applyNumberFormat="1" applyFont="1" applyBorder="1" applyAlignment="1">
      <alignment horizontal="center" vertical="center" wrapText="1"/>
    </xf>
    <xf numFmtId="49" fontId="156" fillId="0" borderId="33" xfId="1421" applyNumberFormat="1" applyFont="1" applyBorder="1" applyAlignment="1">
      <alignment horizontal="center" vertical="center" wrapText="1"/>
    </xf>
    <xf numFmtId="49" fontId="150" fillId="0" borderId="32" xfId="1421" applyNumberFormat="1" applyFont="1" applyBorder="1" applyAlignment="1">
      <alignment horizontal="center" vertical="top" wrapText="1"/>
    </xf>
    <xf numFmtId="0" fontId="148" fillId="0" borderId="34" xfId="1421" applyFont="1" applyBorder="1" applyAlignment="1">
      <alignment horizontal="center" vertical="top"/>
    </xf>
    <xf numFmtId="2" fontId="148" fillId="0" borderId="35" xfId="1421" applyNumberFormat="1" applyFont="1" applyBorder="1" applyAlignment="1">
      <alignment horizontal="right" vertical="top" wrapText="1"/>
    </xf>
    <xf numFmtId="49" fontId="148" fillId="0" borderId="34" xfId="1421" applyNumberFormat="1" applyFont="1" applyBorder="1" applyAlignment="1">
      <alignment horizontal="left" vertical="top" wrapText="1"/>
    </xf>
    <xf numFmtId="2" fontId="148" fillId="0" borderId="36" xfId="1421" applyNumberFormat="1" applyFont="1" applyBorder="1" applyAlignment="1">
      <alignment horizontal="center" vertical="top" wrapText="1"/>
    </xf>
    <xf numFmtId="2" fontId="155" fillId="0" borderId="36" xfId="1421" applyNumberFormat="1" applyFont="1" applyBorder="1" applyAlignment="1">
      <alignment horizontal="center" vertical="center" wrapText="1"/>
    </xf>
    <xf numFmtId="2" fontId="156" fillId="0" borderId="36" xfId="1421" applyNumberFormat="1" applyFont="1" applyBorder="1" applyAlignment="1">
      <alignment horizontal="right" vertical="center" wrapText="1"/>
    </xf>
    <xf numFmtId="2" fontId="167" fillId="0" borderId="0" xfId="1506" applyNumberFormat="1" applyFont="1" applyAlignment="1">
      <alignment vertical="top"/>
    </xf>
    <xf numFmtId="0" fontId="167" fillId="0" borderId="0" xfId="1506" applyFont="1" applyAlignment="1">
      <alignment vertical="top"/>
    </xf>
    <xf numFmtId="0" fontId="167" fillId="0" borderId="0" xfId="1506" applyFont="1"/>
    <xf numFmtId="0" fontId="138" fillId="0" borderId="16" xfId="1388" applyFont="1" applyBorder="1" applyAlignment="1">
      <alignment horizontal="center" vertical="top"/>
    </xf>
    <xf numFmtId="0" fontId="138" fillId="0" borderId="17" xfId="1388" applyFont="1" applyBorder="1" applyAlignment="1">
      <alignment horizontal="center" vertical="top"/>
    </xf>
    <xf numFmtId="0" fontId="140" fillId="0" borderId="17" xfId="1388" applyFont="1" applyBorder="1" applyAlignment="1">
      <alignment horizontal="left" vertical="top"/>
    </xf>
    <xf numFmtId="0" fontId="138" fillId="0" borderId="18" xfId="1388" applyFont="1" applyBorder="1" applyAlignment="1">
      <alignment horizontal="center" vertical="top"/>
    </xf>
    <xf numFmtId="2" fontId="87" fillId="0" borderId="0" xfId="94" applyNumberFormat="1" applyFont="1" applyAlignment="1">
      <alignment horizontal="center"/>
    </xf>
    <xf numFmtId="0" fontId="87" fillId="0" borderId="15" xfId="1418" applyFont="1" applyBorder="1" applyAlignment="1">
      <alignment vertical="top"/>
    </xf>
    <xf numFmtId="0" fontId="87" fillId="0" borderId="16" xfId="1418" applyFont="1" applyBorder="1" applyAlignment="1">
      <alignment horizontal="right" vertical="top"/>
    </xf>
    <xf numFmtId="0" fontId="87" fillId="0" borderId="17" xfId="1418" applyFont="1" applyBorder="1" applyAlignment="1">
      <alignment horizontal="center" vertical="top"/>
    </xf>
    <xf numFmtId="0" fontId="87" fillId="0" borderId="18" xfId="1418" applyFont="1" applyBorder="1" applyAlignment="1">
      <alignment horizontal="left" vertical="top"/>
    </xf>
    <xf numFmtId="167" fontId="87" fillId="0" borderId="15" xfId="1418" applyNumberFormat="1" applyFont="1" applyBorder="1" applyAlignment="1">
      <alignment horizontal="center" vertical="top"/>
    </xf>
    <xf numFmtId="2" fontId="93" fillId="0" borderId="0" xfId="0" applyNumberFormat="1" applyFont="1" applyAlignment="1">
      <alignment vertical="top"/>
    </xf>
    <xf numFmtId="1" fontId="87" fillId="0" borderId="0" xfId="1274" applyNumberFormat="1" applyFont="1" applyAlignment="1">
      <alignment horizontal="left" vertical="top" wrapText="1"/>
    </xf>
    <xf numFmtId="0" fontId="97" fillId="0" borderId="15" xfId="0" applyFont="1" applyBorder="1" applyAlignment="1">
      <alignment vertical="top" wrapText="1"/>
    </xf>
    <xf numFmtId="0" fontId="94" fillId="0" borderId="15" xfId="1385" applyFont="1" applyBorder="1" applyAlignment="1">
      <alignment horizontal="center" vertical="top" wrapText="1"/>
    </xf>
    <xf numFmtId="170" fontId="137" fillId="0" borderId="15" xfId="0" applyNumberFormat="1" applyFont="1" applyBorder="1" applyAlignment="1">
      <alignment horizontal="center" vertical="top" wrapText="1"/>
    </xf>
    <xf numFmtId="0" fontId="137" fillId="0" borderId="15" xfId="0" applyFont="1" applyBorder="1" applyAlignment="1">
      <alignment horizontal="center" vertical="top"/>
    </xf>
    <xf numFmtId="9" fontId="87" fillId="0" borderId="15" xfId="1401" applyFont="1" applyFill="1" applyBorder="1" applyAlignment="1">
      <alignment horizontal="center" vertical="top" wrapText="1"/>
    </xf>
    <xf numFmtId="2" fontId="13" fillId="0" borderId="15" xfId="0" applyNumberFormat="1" applyFont="1" applyBorder="1" applyAlignment="1">
      <alignment horizontal="center" vertical="center"/>
    </xf>
    <xf numFmtId="0" fontId="117" fillId="0" borderId="0" xfId="1419" applyFont="1"/>
    <xf numFmtId="0" fontId="166" fillId="0" borderId="0" xfId="1506" applyFont="1" applyAlignment="1">
      <alignment horizontal="right" vertical="top" wrapText="1"/>
    </xf>
    <xf numFmtId="0" fontId="90" fillId="0" borderId="37" xfId="95" applyFont="1" applyBorder="1" applyAlignment="1">
      <alignment vertical="center" wrapText="1"/>
    </xf>
    <xf numFmtId="2" fontId="90" fillId="0" borderId="37" xfId="95" applyNumberFormat="1" applyFont="1" applyBorder="1" applyAlignment="1">
      <alignment horizontal="center" vertical="top" wrapText="1"/>
    </xf>
    <xf numFmtId="0" fontId="90" fillId="0" borderId="37" xfId="95" applyFont="1" applyBorder="1" applyAlignment="1">
      <alignment vertical="center"/>
    </xf>
    <xf numFmtId="0" fontId="90" fillId="0" borderId="37" xfId="95" applyFont="1" applyBorder="1" applyAlignment="1">
      <alignment horizontal="center" vertical="center"/>
    </xf>
    <xf numFmtId="2" fontId="90" fillId="0" borderId="37" xfId="95" applyNumberFormat="1" applyFont="1" applyBorder="1" applyAlignment="1">
      <alignment horizontal="center" vertical="center"/>
    </xf>
    <xf numFmtId="2" fontId="100" fillId="0" borderId="37" xfId="95" applyNumberFormat="1" applyFont="1" applyBorder="1" applyAlignment="1">
      <alignment horizontal="right" vertical="center"/>
    </xf>
    <xf numFmtId="0" fontId="87" fillId="0" borderId="37" xfId="0" applyFont="1" applyBorder="1" applyAlignment="1">
      <alignment vertical="top" wrapText="1"/>
    </xf>
    <xf numFmtId="0" fontId="87" fillId="0" borderId="37" xfId="0" applyFont="1" applyBorder="1" applyAlignment="1">
      <alignment horizontal="center" vertical="top" wrapText="1"/>
    </xf>
    <xf numFmtId="0" fontId="87" fillId="0" borderId="37" xfId="0" applyFont="1" applyBorder="1" applyAlignment="1">
      <alignment horizontal="justify" vertical="top"/>
    </xf>
    <xf numFmtId="0" fontId="87" fillId="0" borderId="37" xfId="0" applyFont="1" applyBorder="1" applyAlignment="1">
      <alignment horizontal="center" vertical="top"/>
    </xf>
    <xf numFmtId="168" fontId="87" fillId="0" borderId="37" xfId="0" applyNumberFormat="1" applyFont="1" applyBorder="1" applyAlignment="1">
      <alignment horizontal="center" vertical="top"/>
    </xf>
    <xf numFmtId="2" fontId="87" fillId="0" borderId="37" xfId="0" applyNumberFormat="1" applyFont="1" applyBorder="1" applyAlignment="1">
      <alignment horizontal="center" vertical="top"/>
    </xf>
    <xf numFmtId="2" fontId="87" fillId="0" borderId="37" xfId="0" applyNumberFormat="1" applyFont="1" applyBorder="1" applyAlignment="1">
      <alignment horizontal="right" vertical="top"/>
    </xf>
    <xf numFmtId="0" fontId="98" fillId="0" borderId="15" xfId="95" applyFont="1" applyBorder="1" applyAlignment="1">
      <alignment horizontal="center" vertical="center" wrapText="1"/>
    </xf>
    <xf numFmtId="0" fontId="98" fillId="0" borderId="15" xfId="95" applyFont="1" applyBorder="1" applyAlignment="1">
      <alignment vertical="center" wrapText="1"/>
    </xf>
    <xf numFmtId="170" fontId="98" fillId="0" borderId="15" xfId="95" applyNumberFormat="1" applyFont="1" applyBorder="1" applyAlignment="1">
      <alignment horizontal="center" vertical="center" wrapText="1"/>
    </xf>
    <xf numFmtId="170" fontId="98" fillId="0" borderId="15" xfId="95" applyNumberFormat="1" applyFont="1" applyBorder="1" applyAlignment="1">
      <alignment horizontal="right" vertical="center" wrapText="1"/>
    </xf>
    <xf numFmtId="172" fontId="98" fillId="0" borderId="15" xfId="95" applyNumberFormat="1" applyFont="1" applyBorder="1" applyAlignment="1">
      <alignment horizontal="center" vertical="center" wrapText="1"/>
    </xf>
    <xf numFmtId="0" fontId="104" fillId="0" borderId="31" xfId="95" applyFont="1" applyBorder="1" applyAlignment="1">
      <alignment horizontal="left" vertical="top" wrapText="1"/>
    </xf>
    <xf numFmtId="2" fontId="104" fillId="0" borderId="30" xfId="95" applyNumberFormat="1" applyFont="1" applyBorder="1" applyAlignment="1">
      <alignment horizontal="right" vertical="top" wrapText="1"/>
    </xf>
    <xf numFmtId="4" fontId="104" fillId="0" borderId="29" xfId="95" applyNumberFormat="1" applyFont="1" applyBorder="1" applyAlignment="1">
      <alignment horizontal="left" vertical="top" wrapText="1"/>
    </xf>
    <xf numFmtId="1" fontId="104" fillId="0" borderId="30" xfId="95" applyNumberFormat="1" applyFont="1" applyBorder="1" applyAlignment="1">
      <alignment vertical="top" wrapText="1"/>
    </xf>
    <xf numFmtId="2" fontId="104" fillId="0" borderId="31" xfId="95" applyNumberFormat="1" applyFont="1" applyBorder="1" applyAlignment="1">
      <alignment horizontal="center" vertical="top"/>
    </xf>
    <xf numFmtId="2" fontId="104" fillId="0" borderId="31" xfId="95" applyNumberFormat="1" applyFont="1" applyBorder="1" applyAlignment="1">
      <alignment horizontal="right" vertical="top"/>
    </xf>
    <xf numFmtId="0" fontId="104" fillId="0" borderId="31" xfId="95" applyFont="1" applyBorder="1" applyAlignment="1">
      <alignment horizontal="center" vertical="top" wrapText="1"/>
    </xf>
    <xf numFmtId="0" fontId="104" fillId="0" borderId="31" xfId="95" applyFont="1" applyBorder="1" applyAlignment="1">
      <alignment horizontal="justify" vertical="top" wrapText="1"/>
    </xf>
    <xf numFmtId="0" fontId="104" fillId="0" borderId="29" xfId="95" applyFont="1" applyBorder="1" applyAlignment="1">
      <alignment horizontal="left" vertical="top" wrapText="1"/>
    </xf>
    <xf numFmtId="2" fontId="104" fillId="0" borderId="31" xfId="95" applyNumberFormat="1" applyFont="1" applyBorder="1" applyAlignment="1">
      <alignment vertical="top"/>
    </xf>
    <xf numFmtId="0" fontId="104" fillId="0" borderId="31" xfId="95" applyFont="1" applyBorder="1" applyAlignment="1">
      <alignment horizontal="center" vertical="top"/>
    </xf>
    <xf numFmtId="2" fontId="105" fillId="0" borderId="31" xfId="95" applyNumberFormat="1" applyFont="1" applyBorder="1" applyAlignment="1">
      <alignment horizontal="center" vertical="top"/>
    </xf>
    <xf numFmtId="2" fontId="104" fillId="0" borderId="36" xfId="95" applyNumberFormat="1" applyFont="1" applyBorder="1" applyAlignment="1">
      <alignment horizontal="center" vertical="top"/>
    </xf>
    <xf numFmtId="0" fontId="104" fillId="0" borderId="36" xfId="95" applyFont="1" applyBorder="1" applyAlignment="1">
      <alignment horizontal="justify" vertical="top" wrapText="1"/>
    </xf>
    <xf numFmtId="0" fontId="104" fillId="0" borderId="35" xfId="95" applyFont="1" applyBorder="1" applyAlignment="1">
      <alignment vertical="top" wrapText="1"/>
    </xf>
    <xf numFmtId="0" fontId="104" fillId="0" borderId="34" xfId="95" applyFont="1" applyBorder="1" applyAlignment="1">
      <alignment vertical="top" wrapText="1"/>
    </xf>
    <xf numFmtId="0" fontId="104" fillId="0" borderId="36" xfId="95" applyFont="1" applyBorder="1" applyAlignment="1">
      <alignment vertical="top" wrapText="1"/>
    </xf>
    <xf numFmtId="0" fontId="104" fillId="0" borderId="36" xfId="95" applyFont="1" applyBorder="1" applyAlignment="1">
      <alignment horizontal="center" vertical="top"/>
    </xf>
    <xf numFmtId="0" fontId="104" fillId="0" borderId="35" xfId="95" applyFont="1" applyBorder="1" applyAlignment="1">
      <alignment horizontal="justify" vertical="top" wrapText="1"/>
    </xf>
    <xf numFmtId="0" fontId="104" fillId="0" borderId="34" xfId="95" applyFont="1" applyBorder="1" applyAlignment="1">
      <alignment horizontal="justify" vertical="top" wrapText="1"/>
    </xf>
    <xf numFmtId="0" fontId="87" fillId="0" borderId="16" xfId="95" applyFont="1" applyBorder="1" applyAlignment="1">
      <alignment vertical="top"/>
    </xf>
    <xf numFmtId="0" fontId="87" fillId="0" borderId="15" xfId="95" applyFont="1" applyBorder="1" applyAlignment="1">
      <alignment vertical="top"/>
    </xf>
    <xf numFmtId="0" fontId="87" fillId="0" borderId="16" xfId="95" applyFont="1" applyBorder="1" applyAlignment="1">
      <alignment horizontal="right" vertical="top" wrapText="1"/>
    </xf>
    <xf numFmtId="1" fontId="87" fillId="0" borderId="16" xfId="95" applyNumberFormat="1" applyFont="1" applyBorder="1" applyAlignment="1">
      <alignment horizontal="right" vertical="top"/>
    </xf>
    <xf numFmtId="1" fontId="87" fillId="0" borderId="16" xfId="95" applyNumberFormat="1" applyFont="1" applyBorder="1" applyAlignment="1">
      <alignment vertical="top"/>
    </xf>
    <xf numFmtId="2" fontId="87" fillId="0" borderId="16" xfId="95" applyNumberFormat="1" applyFont="1" applyBorder="1" applyAlignment="1">
      <alignment horizontal="right" vertical="top"/>
    </xf>
    <xf numFmtId="0" fontId="87" fillId="0" borderId="15" xfId="1385" applyFont="1" applyBorder="1" applyAlignment="1">
      <alignment horizontal="center" vertical="top" wrapText="1"/>
    </xf>
    <xf numFmtId="10" fontId="87" fillId="0" borderId="15" xfId="1401" applyNumberFormat="1" applyFont="1" applyFill="1" applyBorder="1" applyAlignment="1">
      <alignment horizontal="center" vertical="top" wrapText="1"/>
    </xf>
    <xf numFmtId="0" fontId="87" fillId="0" borderId="15" xfId="96" applyFont="1" applyBorder="1" applyAlignment="1">
      <alignment horizontal="center" vertical="top" wrapText="1"/>
    </xf>
    <xf numFmtId="2" fontId="94" fillId="0" borderId="18" xfId="0" applyNumberFormat="1" applyFont="1" applyBorder="1" applyAlignment="1">
      <alignment vertical="top"/>
    </xf>
    <xf numFmtId="0" fontId="87" fillId="0" borderId="15" xfId="1385" applyFont="1" applyBorder="1" applyAlignment="1">
      <alignment horizontal="justify" vertical="top"/>
    </xf>
    <xf numFmtId="0" fontId="87" fillId="0" borderId="15" xfId="95" applyFont="1" applyBorder="1" applyAlignment="1">
      <alignment horizontal="right" vertical="top"/>
    </xf>
    <xf numFmtId="0" fontId="104" fillId="0" borderId="15" xfId="95" applyFont="1" applyBorder="1" applyAlignment="1">
      <alignment vertical="top" wrapText="1"/>
    </xf>
    <xf numFmtId="2" fontId="104" fillId="0" borderId="15" xfId="95" applyNumberFormat="1" applyFont="1" applyBorder="1" applyAlignment="1">
      <alignment horizontal="left" vertical="top"/>
    </xf>
    <xf numFmtId="2" fontId="104" fillId="0" borderId="15" xfId="95" applyNumberFormat="1" applyFont="1" applyBorder="1" applyAlignment="1">
      <alignment horizontal="center" vertical="top"/>
    </xf>
    <xf numFmtId="2" fontId="104" fillId="0" borderId="15" xfId="95" applyNumberFormat="1" applyFont="1" applyBorder="1" applyAlignment="1">
      <alignment horizontal="right" vertical="top"/>
    </xf>
    <xf numFmtId="0" fontId="104" fillId="0" borderId="15" xfId="95" applyFont="1" applyBorder="1" applyAlignment="1">
      <alignment horizontal="left" vertical="top" wrapText="1"/>
    </xf>
    <xf numFmtId="2" fontId="104" fillId="0" borderId="15" xfId="95" applyNumberFormat="1" applyFont="1" applyBorder="1" applyAlignment="1">
      <alignment vertical="top"/>
    </xf>
    <xf numFmtId="0" fontId="87" fillId="0" borderId="15" xfId="0" applyFont="1" applyBorder="1" applyAlignment="1">
      <alignment horizontal="justify" vertical="top" wrapText="1"/>
    </xf>
    <xf numFmtId="0" fontId="104" fillId="0" borderId="16" xfId="95" applyFont="1" applyBorder="1" applyAlignment="1">
      <alignment vertical="top" wrapText="1"/>
    </xf>
    <xf numFmtId="0" fontId="104" fillId="0" borderId="18" xfId="95" applyFont="1" applyBorder="1" applyAlignment="1">
      <alignment vertical="top" wrapText="1"/>
    </xf>
    <xf numFmtId="2" fontId="104" fillId="0" borderId="16" xfId="95" applyNumberFormat="1" applyFont="1" applyBorder="1" applyAlignment="1">
      <alignment horizontal="right" vertical="top" wrapText="1"/>
    </xf>
    <xf numFmtId="4" fontId="104" fillId="0" borderId="18" xfId="95" applyNumberFormat="1" applyFont="1" applyBorder="1" applyAlignment="1">
      <alignment horizontal="left" vertical="top" wrapText="1"/>
    </xf>
    <xf numFmtId="1" fontId="104" fillId="0" borderId="16" xfId="95" applyNumberFormat="1" applyFont="1" applyBorder="1" applyAlignment="1">
      <alignment vertical="top" wrapText="1"/>
    </xf>
    <xf numFmtId="0" fontId="97" fillId="0" borderId="0" xfId="95" applyFont="1" applyAlignment="1">
      <alignment horizontal="center" vertical="top" wrapText="1"/>
    </xf>
    <xf numFmtId="167" fontId="87" fillId="0" borderId="16" xfId="0" applyNumberFormat="1" applyFont="1" applyBorder="1" applyAlignment="1">
      <alignment horizontal="right" vertical="top"/>
    </xf>
    <xf numFmtId="0" fontId="94" fillId="0" borderId="0" xfId="95" applyFont="1" applyAlignment="1">
      <alignment horizontal="center" vertical="top" wrapText="1"/>
    </xf>
    <xf numFmtId="0" fontId="105" fillId="0" borderId="15" xfId="95" applyFont="1" applyBorder="1" applyAlignment="1">
      <alignment horizontal="justify" vertical="top" wrapText="1"/>
    </xf>
    <xf numFmtId="0" fontId="104" fillId="0" borderId="18" xfId="95" applyFont="1" applyBorder="1" applyAlignment="1">
      <alignment horizontal="left" vertical="top" wrapText="1"/>
    </xf>
    <xf numFmtId="0" fontId="104" fillId="0" borderId="16" xfId="95" applyFont="1" applyBorder="1" applyAlignment="1">
      <alignment vertical="top"/>
    </xf>
    <xf numFmtId="1" fontId="104" fillId="0" borderId="16" xfId="95" applyNumberFormat="1" applyFont="1" applyBorder="1" applyAlignment="1">
      <alignment horizontal="right" vertical="top" wrapText="1"/>
    </xf>
    <xf numFmtId="167" fontId="104" fillId="0" borderId="16" xfId="95" applyNumberFormat="1" applyFont="1" applyBorder="1" applyAlignment="1">
      <alignment horizontal="right" vertical="top" wrapText="1"/>
    </xf>
    <xf numFmtId="2" fontId="105" fillId="0" borderId="16" xfId="95" applyNumberFormat="1" applyFont="1" applyBorder="1" applyAlignment="1">
      <alignment vertical="top" wrapText="1"/>
    </xf>
    <xf numFmtId="0" fontId="105" fillId="0" borderId="18" xfId="95" applyFont="1" applyBorder="1" applyAlignment="1">
      <alignment horizontal="left" vertical="top" wrapText="1"/>
    </xf>
    <xf numFmtId="2" fontId="105" fillId="0" borderId="15" xfId="95" applyNumberFormat="1" applyFont="1" applyBorder="1" applyAlignment="1">
      <alignment horizontal="center" vertical="top"/>
    </xf>
    <xf numFmtId="0" fontId="104" fillId="0" borderId="15" xfId="95" applyFont="1" applyBorder="1" applyAlignment="1">
      <alignment horizontal="left" vertical="top"/>
    </xf>
    <xf numFmtId="2" fontId="104" fillId="0" borderId="16" xfId="95" applyNumberFormat="1" applyFont="1" applyBorder="1" applyAlignment="1">
      <alignment horizontal="left" vertical="top"/>
    </xf>
    <xf numFmtId="4" fontId="104" fillId="0" borderId="18" xfId="95" applyNumberFormat="1" applyFont="1" applyBorder="1" applyAlignment="1">
      <alignment horizontal="left" vertical="top"/>
    </xf>
    <xf numFmtId="9" fontId="104" fillId="0" borderId="16" xfId="95" applyNumberFormat="1" applyFont="1" applyBorder="1" applyAlignment="1">
      <alignment vertical="top"/>
    </xf>
    <xf numFmtId="0" fontId="97" fillId="0" borderId="8" xfId="95" applyFont="1" applyBorder="1"/>
    <xf numFmtId="0" fontId="97" fillId="0" borderId="8" xfId="95" applyFont="1" applyBorder="1" applyAlignment="1">
      <alignment horizontal="center" vertical="top"/>
    </xf>
    <xf numFmtId="0" fontId="97" fillId="0" borderId="31" xfId="95" applyFont="1" applyBorder="1"/>
    <xf numFmtId="0" fontId="97" fillId="0" borderId="31" xfId="95" applyFont="1" applyBorder="1" applyAlignment="1">
      <alignment horizontal="center" vertical="top"/>
    </xf>
    <xf numFmtId="0" fontId="97" fillId="0" borderId="15" xfId="95" applyFont="1" applyBorder="1"/>
    <xf numFmtId="0" fontId="97" fillId="0" borderId="15" xfId="95" applyFont="1" applyBorder="1" applyAlignment="1">
      <alignment horizontal="center" vertical="top"/>
    </xf>
    <xf numFmtId="0" fontId="97" fillId="0" borderId="36" xfId="95" applyFont="1" applyBorder="1"/>
    <xf numFmtId="0" fontId="97" fillId="0" borderId="36" xfId="95" applyFont="1" applyBorder="1" applyAlignment="1">
      <alignment horizontal="center" vertical="top"/>
    </xf>
    <xf numFmtId="0" fontId="87" fillId="0" borderId="15" xfId="1671" applyFont="1" applyBorder="1" applyAlignment="1">
      <alignment horizontal="justify" vertical="top" wrapText="1"/>
    </xf>
    <xf numFmtId="0" fontId="87" fillId="0" borderId="16" xfId="1671" applyFont="1" applyBorder="1" applyAlignment="1">
      <alignment horizontal="right" vertical="top" wrapText="1"/>
    </xf>
    <xf numFmtId="0" fontId="87" fillId="0" borderId="17" xfId="1671" applyFont="1" applyBorder="1" applyAlignment="1">
      <alignment horizontal="center" vertical="top" wrapText="1"/>
    </xf>
    <xf numFmtId="0" fontId="87" fillId="0" borderId="18" xfId="1671" applyFont="1" applyBorder="1" applyAlignment="1">
      <alignment horizontal="left" vertical="top" wrapText="1"/>
    </xf>
    <xf numFmtId="2" fontId="87" fillId="0" borderId="15" xfId="1671" applyNumberFormat="1" applyFont="1" applyBorder="1" applyAlignment="1">
      <alignment horizontal="center" vertical="top" wrapText="1"/>
    </xf>
    <xf numFmtId="0" fontId="97" fillId="0" borderId="15" xfId="0" applyFont="1" applyBorder="1" applyAlignment="1">
      <alignment horizontal="justify" vertical="top" wrapText="1"/>
    </xf>
    <xf numFmtId="0" fontId="87" fillId="0" borderId="15" xfId="1671" applyFont="1" applyBorder="1" applyAlignment="1">
      <alignment horizontal="left" vertical="top" wrapText="1"/>
    </xf>
    <xf numFmtId="167" fontId="87" fillId="0" borderId="15" xfId="1671" applyNumberFormat="1" applyFont="1" applyBorder="1" applyAlignment="1">
      <alignment horizontal="center" vertical="top" wrapText="1"/>
    </xf>
    <xf numFmtId="167" fontId="104" fillId="0" borderId="15" xfId="95" applyNumberFormat="1" applyFont="1" applyBorder="1" applyAlignment="1">
      <alignment horizontal="center" vertical="top"/>
    </xf>
    <xf numFmtId="2" fontId="97" fillId="0" borderId="15" xfId="0" applyNumberFormat="1" applyFont="1" applyBorder="1" applyAlignment="1">
      <alignment horizontal="right" vertical="top" wrapText="1"/>
    </xf>
    <xf numFmtId="0" fontId="87" fillId="0" borderId="16" xfId="0" applyFont="1" applyBorder="1" applyAlignment="1">
      <alignment horizontal="justify" vertical="top" wrapText="1"/>
    </xf>
    <xf numFmtId="0" fontId="87" fillId="0" borderId="17" xfId="0" applyFont="1" applyBorder="1" applyAlignment="1">
      <alignment horizontal="justify" vertical="top" wrapText="1"/>
    </xf>
    <xf numFmtId="0" fontId="87" fillId="0" borderId="18" xfId="0" applyFont="1" applyBorder="1" applyAlignment="1">
      <alignment horizontal="justify" vertical="top" wrapText="1"/>
    </xf>
    <xf numFmtId="0" fontId="90" fillId="45" borderId="15" xfId="95" applyFont="1" applyFill="1" applyBorder="1" applyAlignment="1">
      <alignment horizontal="justify" vertical="top" wrapText="1"/>
    </xf>
    <xf numFmtId="0" fontId="94" fillId="0" borderId="15" xfId="0" applyFont="1" applyBorder="1" applyAlignment="1">
      <alignment horizontal="left" vertical="top" wrapText="1"/>
    </xf>
    <xf numFmtId="0" fontId="87" fillId="0" borderId="0" xfId="0" applyFont="1" applyAlignment="1">
      <alignment horizontal="left" vertical="top" wrapText="1"/>
    </xf>
    <xf numFmtId="2" fontId="87" fillId="0" borderId="0" xfId="0" applyNumberFormat="1" applyFont="1" applyAlignment="1">
      <alignment horizontal="center" vertical="top" wrapText="1"/>
    </xf>
    <xf numFmtId="2" fontId="121" fillId="0" borderId="15" xfId="0" applyNumberFormat="1" applyFont="1" applyBorder="1" applyAlignment="1">
      <alignment horizontal="center" vertical="top"/>
    </xf>
    <xf numFmtId="0" fontId="90" fillId="45" borderId="15" xfId="95" applyFont="1" applyFill="1" applyBorder="1" applyAlignment="1">
      <alignment horizontal="center" vertical="top" wrapText="1"/>
    </xf>
    <xf numFmtId="0" fontId="90" fillId="45" borderId="15" xfId="95" applyFont="1" applyFill="1" applyBorder="1" applyAlignment="1">
      <alignment vertical="top"/>
    </xf>
    <xf numFmtId="2" fontId="90" fillId="45" borderId="15" xfId="95" applyNumberFormat="1" applyFont="1" applyFill="1" applyBorder="1" applyAlignment="1">
      <alignment vertical="top"/>
    </xf>
    <xf numFmtId="2" fontId="90" fillId="45" borderId="15" xfId="95" applyNumberFormat="1" applyFont="1" applyFill="1" applyBorder="1" applyAlignment="1">
      <alignment horizontal="center" vertical="top"/>
    </xf>
    <xf numFmtId="170" fontId="90" fillId="45" borderId="15" xfId="95" applyNumberFormat="1" applyFont="1" applyFill="1" applyBorder="1" applyAlignment="1">
      <alignment horizontal="right" vertical="top" wrapText="1"/>
    </xf>
    <xf numFmtId="0" fontId="93" fillId="45" borderId="0" xfId="95" applyFont="1" applyFill="1" applyAlignment="1">
      <alignment vertical="top"/>
    </xf>
    <xf numFmtId="0" fontId="100" fillId="45" borderId="15" xfId="95" applyFont="1" applyFill="1" applyBorder="1" applyAlignment="1">
      <alignment horizontal="center" vertical="top" wrapText="1"/>
    </xf>
    <xf numFmtId="0" fontId="90" fillId="45" borderId="15" xfId="95" applyFont="1" applyFill="1" applyBorder="1"/>
    <xf numFmtId="0" fontId="90" fillId="45" borderId="15" xfId="95" applyFont="1" applyFill="1" applyBorder="1" applyAlignment="1">
      <alignment horizontal="center"/>
    </xf>
    <xf numFmtId="2" fontId="90" fillId="45" borderId="15" xfId="95" applyNumberFormat="1" applyFont="1" applyFill="1" applyBorder="1" applyAlignment="1">
      <alignment horizontal="center"/>
    </xf>
    <xf numFmtId="2" fontId="90" fillId="45" borderId="15" xfId="95" applyNumberFormat="1" applyFont="1" applyFill="1" applyBorder="1" applyAlignment="1">
      <alignment horizontal="right" wrapText="1"/>
    </xf>
    <xf numFmtId="0" fontId="87" fillId="45" borderId="0" xfId="95" applyFont="1" applyFill="1"/>
    <xf numFmtId="2" fontId="90" fillId="45" borderId="15" xfId="95" applyNumberFormat="1" applyFont="1" applyFill="1" applyBorder="1" applyAlignment="1">
      <alignment horizontal="center" vertical="top" wrapText="1"/>
    </xf>
    <xf numFmtId="0" fontId="90" fillId="45" borderId="15" xfId="95" applyFont="1" applyFill="1" applyBorder="1" applyAlignment="1">
      <alignment horizontal="justify" vertical="top"/>
    </xf>
    <xf numFmtId="0" fontId="90" fillId="45" borderId="15" xfId="95" applyFont="1" applyFill="1" applyBorder="1" applyAlignment="1">
      <alignment horizontal="center" vertical="top"/>
    </xf>
    <xf numFmtId="2" fontId="100" fillId="45" borderId="15" xfId="95" applyNumberFormat="1" applyFont="1" applyFill="1" applyBorder="1" applyAlignment="1">
      <alignment horizontal="right" vertical="top"/>
    </xf>
    <xf numFmtId="0" fontId="90" fillId="45" borderId="15" xfId="95" applyFont="1" applyFill="1" applyBorder="1" applyAlignment="1">
      <alignment horizontal="right" vertical="top"/>
    </xf>
    <xf numFmtId="0" fontId="87" fillId="45" borderId="0" xfId="95" applyFont="1" applyFill="1" applyAlignment="1">
      <alignment vertical="center"/>
    </xf>
    <xf numFmtId="0" fontId="90" fillId="45" borderId="15" xfId="95" applyFont="1" applyFill="1" applyBorder="1" applyAlignment="1">
      <alignment vertical="top" wrapText="1"/>
    </xf>
    <xf numFmtId="168" fontId="90" fillId="45" borderId="15" xfId="95" applyNumberFormat="1" applyFont="1" applyFill="1" applyBorder="1" applyAlignment="1">
      <alignment horizontal="center" vertical="top"/>
    </xf>
    <xf numFmtId="2" fontId="90" fillId="45" borderId="15" xfId="95" applyNumberFormat="1" applyFont="1" applyFill="1" applyBorder="1" applyAlignment="1">
      <alignment horizontal="right" vertical="top"/>
    </xf>
    <xf numFmtId="0" fontId="87" fillId="45" borderId="0" xfId="95" applyFont="1" applyFill="1" applyAlignment="1">
      <alignment vertical="top"/>
    </xf>
    <xf numFmtId="2" fontId="90" fillId="45" borderId="15" xfId="95" applyNumberFormat="1" applyFont="1" applyFill="1" applyBorder="1" applyAlignment="1">
      <alignment horizontal="center" vertical="top" shrinkToFit="1"/>
    </xf>
    <xf numFmtId="170" fontId="90" fillId="45" borderId="15" xfId="95" applyNumberFormat="1" applyFont="1" applyFill="1" applyBorder="1" applyAlignment="1">
      <alignment horizontal="center" vertical="top" wrapText="1"/>
    </xf>
    <xf numFmtId="0" fontId="101" fillId="45" borderId="15" xfId="1275" applyFont="1" applyFill="1" applyBorder="1" applyAlignment="1">
      <alignment horizontal="center" vertical="top"/>
    </xf>
    <xf numFmtId="0" fontId="101" fillId="45" borderId="15" xfId="95" applyFont="1" applyFill="1" applyBorder="1" applyAlignment="1">
      <alignment horizontal="left" vertical="top" wrapText="1"/>
    </xf>
    <xf numFmtId="0" fontId="101" fillId="45" borderId="15" xfId="95" applyFont="1" applyFill="1" applyBorder="1" applyAlignment="1">
      <alignment horizontal="center" vertical="top" wrapText="1"/>
    </xf>
    <xf numFmtId="0" fontId="101" fillId="45" borderId="15" xfId="95" applyFont="1" applyFill="1" applyBorder="1" applyAlignment="1">
      <alignment vertical="top"/>
    </xf>
    <xf numFmtId="0" fontId="101" fillId="45" borderId="15" xfId="95" applyFont="1" applyFill="1" applyBorder="1" applyAlignment="1">
      <alignment horizontal="left" vertical="top"/>
    </xf>
    <xf numFmtId="0" fontId="102" fillId="45" borderId="0" xfId="1275" applyFont="1" applyFill="1" applyAlignment="1">
      <alignment horizontal="justify" vertical="top" wrapText="1"/>
    </xf>
    <xf numFmtId="0" fontId="101" fillId="45" borderId="15" xfId="95" applyFont="1" applyFill="1" applyBorder="1" applyAlignment="1">
      <alignment horizontal="justify" vertical="top" wrapText="1"/>
    </xf>
    <xf numFmtId="170" fontId="90" fillId="45" borderId="15" xfId="96" applyNumberFormat="1" applyFont="1" applyFill="1" applyBorder="1" applyAlignment="1">
      <alignment horizontal="center" vertical="top" wrapText="1"/>
    </xf>
    <xf numFmtId="170" fontId="90" fillId="45" borderId="15" xfId="96" applyNumberFormat="1" applyFont="1" applyFill="1" applyBorder="1" applyAlignment="1">
      <alignment horizontal="right" vertical="top" wrapText="1"/>
    </xf>
    <xf numFmtId="0" fontId="101" fillId="45" borderId="15" xfId="1275" applyFont="1" applyFill="1" applyBorder="1" applyAlignment="1">
      <alignment horizontal="justify" vertical="top" wrapText="1"/>
    </xf>
    <xf numFmtId="0" fontId="105" fillId="0" borderId="31" xfId="95" applyFont="1" applyBorder="1" applyAlignment="1">
      <alignment horizontal="justify" vertical="top" wrapText="1"/>
    </xf>
    <xf numFmtId="0" fontId="104" fillId="0" borderId="30" xfId="95" applyFont="1" applyBorder="1" applyAlignment="1">
      <alignment vertical="top" wrapText="1"/>
    </xf>
    <xf numFmtId="0" fontId="104" fillId="0" borderId="29" xfId="95" applyFont="1" applyBorder="1" applyAlignment="1">
      <alignment vertical="top" wrapText="1"/>
    </xf>
    <xf numFmtId="0" fontId="104" fillId="0" borderId="29" xfId="95" applyFont="1" applyBorder="1" applyAlignment="1">
      <alignment vertical="top"/>
    </xf>
    <xf numFmtId="0" fontId="97" fillId="0" borderId="40" xfId="95" applyFont="1" applyBorder="1"/>
    <xf numFmtId="0" fontId="97" fillId="0" borderId="40" xfId="95" applyFont="1" applyBorder="1" applyAlignment="1">
      <alignment horizontal="center" vertical="top"/>
    </xf>
    <xf numFmtId="0" fontId="104" fillId="0" borderId="40" xfId="95" applyFont="1" applyBorder="1" applyAlignment="1">
      <alignment horizontal="justify" vertical="top" wrapText="1"/>
    </xf>
    <xf numFmtId="0" fontId="104" fillId="0" borderId="20" xfId="95" applyFont="1" applyBorder="1" applyAlignment="1">
      <alignment vertical="top" wrapText="1"/>
    </xf>
    <xf numFmtId="0" fontId="104" fillId="0" borderId="41" xfId="95" applyFont="1" applyBorder="1" applyAlignment="1">
      <alignment vertical="top" wrapText="1"/>
    </xf>
    <xf numFmtId="0" fontId="104" fillId="0" borderId="40" xfId="95" applyFont="1" applyBorder="1" applyAlignment="1">
      <alignment vertical="top" wrapText="1"/>
    </xf>
    <xf numFmtId="2" fontId="104" fillId="0" borderId="40" xfId="95" applyNumberFormat="1" applyFont="1" applyBorder="1" applyAlignment="1">
      <alignment horizontal="center" vertical="top" wrapText="1"/>
    </xf>
    <xf numFmtId="0" fontId="104" fillId="0" borderId="40" xfId="95" applyFont="1" applyBorder="1" applyAlignment="1">
      <alignment horizontal="center" vertical="top"/>
    </xf>
    <xf numFmtId="0" fontId="104" fillId="0" borderId="20" xfId="95" applyFont="1" applyBorder="1" applyAlignment="1">
      <alignment horizontal="justify" vertical="top" wrapText="1"/>
    </xf>
    <xf numFmtId="0" fontId="104" fillId="0" borderId="41" xfId="95" applyFont="1" applyBorder="1" applyAlignment="1">
      <alignment horizontal="justify" vertical="top" wrapText="1"/>
    </xf>
    <xf numFmtId="0" fontId="104" fillId="0" borderId="40" xfId="95" applyFont="1" applyBorder="1" applyAlignment="1">
      <alignment horizontal="center" vertical="top" wrapText="1"/>
    </xf>
    <xf numFmtId="0" fontId="169" fillId="0" borderId="15" xfId="95" applyFont="1" applyBorder="1" applyAlignment="1">
      <alignment horizontal="center" vertical="top" wrapText="1"/>
    </xf>
    <xf numFmtId="170" fontId="169" fillId="0" borderId="15" xfId="95" applyNumberFormat="1" applyFont="1" applyBorder="1" applyAlignment="1">
      <alignment horizontal="center" vertical="top" wrapText="1"/>
    </xf>
    <xf numFmtId="0" fontId="169" fillId="0" borderId="37" xfId="95" applyFont="1" applyBorder="1" applyAlignment="1">
      <alignment horizontal="center" vertical="top" wrapText="1"/>
    </xf>
    <xf numFmtId="172" fontId="169" fillId="0" borderId="37" xfId="95" applyNumberFormat="1" applyFont="1" applyBorder="1" applyAlignment="1">
      <alignment horizontal="center" vertical="top" wrapText="1"/>
    </xf>
    <xf numFmtId="0" fontId="97" fillId="0" borderId="0" xfId="95" applyFont="1" applyAlignment="1">
      <alignment horizontal="center"/>
    </xf>
    <xf numFmtId="0" fontId="97" fillId="0" borderId="16" xfId="95" applyFont="1" applyBorder="1"/>
    <xf numFmtId="0" fontId="97" fillId="0" borderId="18" xfId="95" applyFont="1" applyBorder="1"/>
    <xf numFmtId="2" fontId="97" fillId="0" borderId="15" xfId="95" applyNumberFormat="1" applyFont="1" applyBorder="1"/>
    <xf numFmtId="0" fontId="87" fillId="0" borderId="0" xfId="0" applyFont="1" applyAlignment="1">
      <alignment horizontal="justify" vertical="justify" wrapText="1"/>
    </xf>
    <xf numFmtId="0" fontId="87" fillId="0" borderId="15" xfId="0" applyFont="1" applyBorder="1" applyAlignment="1">
      <alignment horizontal="center" vertical="justify" wrapText="1"/>
    </xf>
    <xf numFmtId="0" fontId="87" fillId="0" borderId="0" xfId="0" applyFont="1" applyAlignment="1">
      <alignment horizontal="center" vertical="center"/>
    </xf>
    <xf numFmtId="0" fontId="87" fillId="0" borderId="0" xfId="0" applyFont="1" applyAlignment="1">
      <alignment horizontal="justify" vertical="top" wrapText="1"/>
    </xf>
    <xf numFmtId="0" fontId="87" fillId="0" borderId="8" xfId="0" applyFont="1" applyBorder="1" applyAlignment="1">
      <alignment horizontal="center" vertical="top" wrapText="1"/>
    </xf>
    <xf numFmtId="0" fontId="88" fillId="0" borderId="15" xfId="0" applyFont="1" applyBorder="1" applyAlignment="1">
      <alignment horizontal="center" vertical="center" wrapText="1"/>
    </xf>
    <xf numFmtId="1" fontId="88" fillId="0" borderId="15" xfId="0" applyNumberFormat="1" applyFont="1" applyBorder="1" applyAlignment="1">
      <alignment horizontal="center" vertical="center" wrapText="1"/>
    </xf>
    <xf numFmtId="0" fontId="88" fillId="0" borderId="0" xfId="0" applyFont="1" applyAlignment="1">
      <alignment vertical="center" wrapText="1"/>
    </xf>
    <xf numFmtId="167" fontId="88" fillId="0" borderId="15" xfId="0" applyNumberFormat="1" applyFont="1" applyBorder="1" applyAlignment="1">
      <alignment horizontal="center" vertical="center" wrapText="1"/>
    </xf>
    <xf numFmtId="0" fontId="88" fillId="0" borderId="16" xfId="0" applyFont="1" applyBorder="1" applyAlignment="1">
      <alignment vertical="center" wrapText="1"/>
    </xf>
    <xf numFmtId="0" fontId="88" fillId="0" borderId="18" xfId="0" applyFont="1" applyBorder="1" applyAlignment="1">
      <alignment vertical="center" wrapText="1"/>
    </xf>
    <xf numFmtId="0" fontId="87" fillId="0" borderId="0" xfId="0" applyFont="1" applyAlignment="1">
      <alignment horizontal="left" vertical="top"/>
    </xf>
    <xf numFmtId="167" fontId="87" fillId="0" borderId="0" xfId="0" applyNumberFormat="1" applyFont="1" applyAlignment="1">
      <alignment horizontal="center" vertical="top"/>
    </xf>
    <xf numFmtId="167" fontId="87" fillId="0" borderId="0" xfId="0" applyNumberFormat="1" applyFont="1" applyAlignment="1">
      <alignment vertical="top"/>
    </xf>
    <xf numFmtId="1" fontId="87" fillId="0" borderId="0" xfId="0" applyNumberFormat="1" applyFont="1" applyAlignment="1">
      <alignment horizontal="center" vertical="top"/>
    </xf>
    <xf numFmtId="2" fontId="87" fillId="0" borderId="0" xfId="0" applyNumberFormat="1" applyFont="1" applyAlignment="1">
      <alignment horizontal="right" vertical="top"/>
    </xf>
    <xf numFmtId="0" fontId="170" fillId="0" borderId="0" xfId="0" applyFont="1" applyAlignment="1">
      <alignment horizontal="center" vertical="top"/>
    </xf>
    <xf numFmtId="0" fontId="95" fillId="0" borderId="0" xfId="95" applyFont="1" applyAlignment="1">
      <alignment horizontal="right" vertical="top"/>
    </xf>
    <xf numFmtId="0" fontId="95" fillId="0" borderId="0" xfId="95" applyFont="1" applyAlignment="1">
      <alignment horizontal="center" vertical="top"/>
    </xf>
    <xf numFmtId="1" fontId="95" fillId="0" borderId="0" xfId="0" applyNumberFormat="1" applyFont="1" applyAlignment="1">
      <alignment horizontal="center" vertical="top"/>
    </xf>
    <xf numFmtId="2" fontId="87" fillId="0" borderId="0" xfId="0" applyNumberFormat="1" applyFont="1" applyAlignment="1">
      <alignment horizontal="center" vertical="top"/>
    </xf>
    <xf numFmtId="0" fontId="87" fillId="47" borderId="15" xfId="0" applyFont="1" applyFill="1" applyBorder="1" applyAlignment="1">
      <alignment horizontal="center" vertical="top"/>
    </xf>
    <xf numFmtId="0" fontId="87" fillId="47" borderId="15" xfId="0" applyFont="1" applyFill="1" applyBorder="1" applyAlignment="1">
      <alignment horizontal="justify" vertical="top" wrapText="1"/>
    </xf>
    <xf numFmtId="0" fontId="87" fillId="47" borderId="16" xfId="0" applyFont="1" applyFill="1" applyBorder="1" applyAlignment="1">
      <alignment horizontal="right" vertical="top"/>
    </xf>
    <xf numFmtId="0" fontId="87" fillId="47" borderId="18" xfId="0" applyFont="1" applyFill="1" applyBorder="1" applyAlignment="1">
      <alignment horizontal="right" vertical="top"/>
    </xf>
    <xf numFmtId="1" fontId="87" fillId="47" borderId="15" xfId="0" applyNumberFormat="1" applyFont="1" applyFill="1" applyBorder="1" applyAlignment="1">
      <alignment horizontal="center" vertical="top"/>
    </xf>
    <xf numFmtId="0" fontId="87" fillId="47" borderId="15" xfId="0" applyFont="1" applyFill="1" applyBorder="1" applyAlignment="1">
      <alignment horizontal="right" vertical="top"/>
    </xf>
    <xf numFmtId="0" fontId="87" fillId="47" borderId="0" xfId="0" applyFont="1" applyFill="1" applyAlignment="1">
      <alignment vertical="top"/>
    </xf>
    <xf numFmtId="0" fontId="87" fillId="47" borderId="15" xfId="0" applyFont="1" applyFill="1" applyBorder="1" applyAlignment="1">
      <alignment vertical="top"/>
    </xf>
    <xf numFmtId="0" fontId="87" fillId="47" borderId="16" xfId="0" applyFont="1" applyFill="1" applyBorder="1" applyAlignment="1">
      <alignment horizontal="center" vertical="top"/>
    </xf>
    <xf numFmtId="0" fontId="87" fillId="47" borderId="17" xfId="0" applyFont="1" applyFill="1" applyBorder="1" applyAlignment="1">
      <alignment horizontal="center" vertical="top"/>
    </xf>
    <xf numFmtId="0" fontId="87" fillId="47" borderId="18" xfId="0" applyFont="1" applyFill="1" applyBorder="1" applyAlignment="1">
      <alignment horizontal="left" vertical="top"/>
    </xf>
    <xf numFmtId="2" fontId="87" fillId="47" borderId="15" xfId="0" applyNumberFormat="1" applyFont="1" applyFill="1" applyBorder="1" applyAlignment="1">
      <alignment horizontal="center" vertical="top"/>
    </xf>
    <xf numFmtId="2" fontId="87" fillId="47" borderId="16" xfId="0" applyNumberFormat="1" applyFont="1" applyFill="1" applyBorder="1" applyAlignment="1">
      <alignment horizontal="right" vertical="top"/>
    </xf>
    <xf numFmtId="2" fontId="87" fillId="47" borderId="18" xfId="0" applyNumberFormat="1" applyFont="1" applyFill="1" applyBorder="1" applyAlignment="1">
      <alignment horizontal="left" vertical="top"/>
    </xf>
    <xf numFmtId="0" fontId="93" fillId="47" borderId="0" xfId="0" applyFont="1" applyFill="1" applyAlignment="1">
      <alignment vertical="top"/>
    </xf>
    <xf numFmtId="0" fontId="87" fillId="47" borderId="15" xfId="0" applyFont="1" applyFill="1" applyBorder="1" applyAlignment="1">
      <alignment vertical="top" wrapText="1"/>
    </xf>
    <xf numFmtId="0" fontId="87" fillId="47" borderId="15" xfId="1274" applyFont="1" applyFill="1" applyBorder="1" applyAlignment="1">
      <alignment vertical="top" wrapText="1"/>
    </xf>
    <xf numFmtId="1" fontId="87" fillId="47" borderId="16" xfId="1274" applyNumberFormat="1" applyFont="1" applyFill="1" applyBorder="1" applyAlignment="1">
      <alignment horizontal="right" vertical="top" wrapText="1"/>
    </xf>
    <xf numFmtId="1" fontId="87" fillId="47" borderId="17" xfId="1274" applyNumberFormat="1" applyFont="1" applyFill="1" applyBorder="1" applyAlignment="1">
      <alignment horizontal="center" vertical="top" wrapText="1"/>
    </xf>
    <xf numFmtId="1" fontId="87" fillId="47" borderId="18" xfId="1274" applyNumberFormat="1" applyFont="1" applyFill="1" applyBorder="1" applyAlignment="1">
      <alignment horizontal="left" vertical="top" wrapText="1"/>
    </xf>
    <xf numFmtId="167" fontId="87" fillId="47" borderId="15" xfId="1274" applyNumberFormat="1" applyFont="1" applyFill="1" applyBorder="1" applyAlignment="1">
      <alignment horizontal="center" vertical="top" wrapText="1"/>
    </xf>
    <xf numFmtId="2" fontId="92" fillId="47" borderId="18" xfId="0" applyNumberFormat="1" applyFont="1" applyFill="1" applyBorder="1" applyAlignment="1">
      <alignment horizontal="left" vertical="top"/>
    </xf>
    <xf numFmtId="0" fontId="87" fillId="47" borderId="16" xfId="0" applyFont="1" applyFill="1" applyBorder="1" applyAlignment="1">
      <alignment vertical="top"/>
    </xf>
    <xf numFmtId="0" fontId="87" fillId="47" borderId="17" xfId="0" applyFont="1" applyFill="1" applyBorder="1" applyAlignment="1">
      <alignment vertical="top"/>
    </xf>
    <xf numFmtId="167" fontId="87" fillId="47" borderId="15" xfId="0" applyNumberFormat="1" applyFont="1" applyFill="1" applyBorder="1" applyAlignment="1">
      <alignment horizontal="center" vertical="top"/>
    </xf>
    <xf numFmtId="167" fontId="87" fillId="47" borderId="15" xfId="0" applyNumberFormat="1" applyFont="1" applyFill="1" applyBorder="1" applyAlignment="1">
      <alignment vertical="top"/>
    </xf>
    <xf numFmtId="2" fontId="92" fillId="47" borderId="18" xfId="0" applyNumberFormat="1" applyFont="1" applyFill="1" applyBorder="1" applyAlignment="1">
      <alignment vertical="top"/>
    </xf>
    <xf numFmtId="2" fontId="87" fillId="47" borderId="15" xfId="0" applyNumberFormat="1" applyFont="1" applyFill="1" applyBorder="1" applyAlignment="1">
      <alignment horizontal="right" vertical="top"/>
    </xf>
    <xf numFmtId="0" fontId="94" fillId="47" borderId="15" xfId="0" applyFont="1" applyFill="1" applyBorder="1" applyAlignment="1">
      <alignment horizontal="justify" vertical="top" wrapText="1"/>
    </xf>
    <xf numFmtId="2" fontId="92" fillId="47" borderId="16" xfId="0" applyNumberFormat="1" applyFont="1" applyFill="1" applyBorder="1" applyAlignment="1">
      <alignment horizontal="right" vertical="top"/>
    </xf>
    <xf numFmtId="0" fontId="87" fillId="47" borderId="15" xfId="138" applyFont="1" applyFill="1" applyBorder="1" applyAlignment="1">
      <alignment vertical="top" wrapText="1"/>
    </xf>
    <xf numFmtId="0" fontId="87" fillId="47" borderId="16" xfId="138" applyFont="1" applyFill="1" applyBorder="1" applyAlignment="1">
      <alignment horizontal="right" vertical="top"/>
    </xf>
    <xf numFmtId="0" fontId="87" fillId="47" borderId="17" xfId="95" applyFont="1" applyFill="1" applyBorder="1" applyAlignment="1">
      <alignment horizontal="center" vertical="top"/>
    </xf>
    <xf numFmtId="0" fontId="87" fillId="47" borderId="18" xfId="138" applyFont="1" applyFill="1" applyBorder="1" applyAlignment="1">
      <alignment horizontal="left" vertical="top"/>
    </xf>
    <xf numFmtId="2" fontId="87" fillId="47" borderId="15" xfId="138" applyNumberFormat="1" applyFont="1" applyFill="1" applyBorder="1" applyAlignment="1">
      <alignment horizontal="center" vertical="top"/>
    </xf>
    <xf numFmtId="167" fontId="87" fillId="47" borderId="15" xfId="138" applyNumberFormat="1" applyFont="1" applyFill="1" applyBorder="1" applyAlignment="1">
      <alignment horizontal="center" vertical="top"/>
    </xf>
    <xf numFmtId="2" fontId="92" fillId="47" borderId="16" xfId="95" applyNumberFormat="1" applyFont="1" applyFill="1" applyBorder="1" applyAlignment="1">
      <alignment horizontal="right" vertical="top"/>
    </xf>
    <xf numFmtId="0" fontId="87" fillId="47" borderId="17" xfId="0" applyFont="1" applyFill="1" applyBorder="1" applyAlignment="1">
      <alignment horizontal="justify" vertical="top" wrapText="1"/>
    </xf>
    <xf numFmtId="0" fontId="87" fillId="47" borderId="15" xfId="94" applyFont="1" applyFill="1" applyBorder="1" applyAlignment="1">
      <alignment vertical="top" wrapText="1"/>
    </xf>
    <xf numFmtId="0" fontId="87" fillId="47" borderId="16" xfId="94" applyFont="1" applyFill="1" applyBorder="1" applyAlignment="1">
      <alignment horizontal="right" vertical="top"/>
    </xf>
    <xf numFmtId="0" fontId="87" fillId="47" borderId="17" xfId="94" applyFont="1" applyFill="1" applyBorder="1" applyAlignment="1">
      <alignment vertical="top"/>
    </xf>
    <xf numFmtId="0" fontId="87" fillId="47" borderId="18" xfId="94" applyFont="1" applyFill="1" applyBorder="1" applyAlignment="1">
      <alignment horizontal="left" vertical="top"/>
    </xf>
    <xf numFmtId="2" fontId="87" fillId="47" borderId="15" xfId="94" applyNumberFormat="1" applyFont="1" applyFill="1" applyBorder="1" applyAlignment="1">
      <alignment horizontal="center" vertical="top"/>
    </xf>
    <xf numFmtId="2" fontId="87" fillId="47" borderId="16" xfId="94" applyNumberFormat="1" applyFont="1" applyFill="1" applyBorder="1" applyAlignment="1">
      <alignment horizontal="right" vertical="top"/>
    </xf>
    <xf numFmtId="2" fontId="87" fillId="47" borderId="18" xfId="94" applyNumberFormat="1" applyFont="1" applyFill="1" applyBorder="1" applyAlignment="1">
      <alignment horizontal="left" vertical="top"/>
    </xf>
    <xf numFmtId="2" fontId="87" fillId="47" borderId="18" xfId="1274" applyNumberFormat="1" applyFont="1" applyFill="1" applyBorder="1" applyAlignment="1">
      <alignment horizontal="left" vertical="top" wrapText="1"/>
    </xf>
    <xf numFmtId="2" fontId="92" fillId="47" borderId="17" xfId="0" applyNumberFormat="1" applyFont="1" applyFill="1" applyBorder="1" applyAlignment="1">
      <alignment vertical="top"/>
    </xf>
    <xf numFmtId="0" fontId="87" fillId="47" borderId="16" xfId="0" applyFont="1" applyFill="1" applyBorder="1" applyAlignment="1">
      <alignment horizontal="right" vertical="center" wrapText="1"/>
    </xf>
    <xf numFmtId="0" fontId="87" fillId="47" borderId="17" xfId="0" applyFont="1" applyFill="1" applyBorder="1" applyAlignment="1">
      <alignment horizontal="center" vertical="center" wrapText="1"/>
    </xf>
    <xf numFmtId="1" fontId="87" fillId="47" borderId="18" xfId="0" applyNumberFormat="1" applyFont="1" applyFill="1" applyBorder="1" applyAlignment="1">
      <alignment horizontal="left" vertical="center" wrapText="1"/>
    </xf>
    <xf numFmtId="167" fontId="87" fillId="47" borderId="15" xfId="0" applyNumberFormat="1" applyFont="1" applyFill="1" applyBorder="1" applyAlignment="1">
      <alignment horizontal="center" vertical="center" wrapText="1"/>
    </xf>
    <xf numFmtId="2" fontId="90" fillId="47" borderId="15" xfId="0" applyNumberFormat="1" applyFont="1" applyFill="1" applyBorder="1" applyAlignment="1">
      <alignment horizontal="center" vertical="top"/>
    </xf>
    <xf numFmtId="0" fontId="87" fillId="47" borderId="20" xfId="126" applyFont="1" applyFill="1" applyBorder="1" applyAlignment="1">
      <alignment horizontal="left" vertical="justify" wrapText="1"/>
    </xf>
    <xf numFmtId="0" fontId="87" fillId="47" borderId="16" xfId="138" applyFont="1" applyFill="1" applyBorder="1" applyAlignment="1">
      <alignment horizontal="right"/>
    </xf>
    <xf numFmtId="0" fontId="87" fillId="47" borderId="17" xfId="138" applyFont="1" applyFill="1" applyBorder="1" applyAlignment="1">
      <alignment horizontal="center"/>
    </xf>
    <xf numFmtId="0" fontId="87" fillId="47" borderId="18" xfId="138" applyFont="1" applyFill="1" applyBorder="1" applyAlignment="1">
      <alignment horizontal="left"/>
    </xf>
    <xf numFmtId="2" fontId="87" fillId="47" borderId="15" xfId="138" applyNumberFormat="1" applyFont="1" applyFill="1" applyBorder="1" applyAlignment="1">
      <alignment horizontal="center"/>
    </xf>
    <xf numFmtId="0" fontId="91" fillId="47" borderId="15" xfId="0" applyFont="1" applyFill="1" applyBorder="1" applyAlignment="1">
      <alignment vertical="top" wrapText="1"/>
    </xf>
    <xf numFmtId="1" fontId="87" fillId="47" borderId="16" xfId="0" applyNumberFormat="1" applyFont="1" applyFill="1" applyBorder="1" applyAlignment="1">
      <alignment horizontal="right" vertical="top"/>
    </xf>
    <xf numFmtId="2" fontId="87" fillId="47" borderId="15" xfId="1274" applyNumberFormat="1" applyFont="1" applyFill="1" applyBorder="1" applyAlignment="1">
      <alignment horizontal="center" vertical="top" wrapText="1"/>
    </xf>
    <xf numFmtId="1" fontId="87" fillId="47" borderId="17" xfId="1274" applyNumberFormat="1" applyFont="1" applyFill="1" applyBorder="1" applyAlignment="1">
      <alignment horizontal="right" vertical="top" wrapText="1"/>
    </xf>
    <xf numFmtId="178" fontId="87" fillId="0" borderId="0" xfId="0" applyNumberFormat="1" applyFont="1" applyAlignment="1">
      <alignment horizontal="right" vertical="top"/>
    </xf>
    <xf numFmtId="0" fontId="94" fillId="47" borderId="15" xfId="0" applyFont="1" applyFill="1" applyBorder="1" applyAlignment="1">
      <alignment horizontal="center" vertical="top" wrapText="1"/>
    </xf>
    <xf numFmtId="0" fontId="87" fillId="47" borderId="15" xfId="0" applyFont="1" applyFill="1" applyBorder="1" applyAlignment="1">
      <alignment horizontal="center" vertical="top" wrapText="1"/>
    </xf>
    <xf numFmtId="0" fontId="87" fillId="47" borderId="0" xfId="0" applyFont="1" applyFill="1" applyAlignment="1">
      <alignment horizontal="right" vertical="top"/>
    </xf>
    <xf numFmtId="0" fontId="94" fillId="47" borderId="15" xfId="0" applyFont="1" applyFill="1" applyBorder="1" applyAlignment="1">
      <alignment horizontal="right" vertical="top" wrapText="1"/>
    </xf>
    <xf numFmtId="2" fontId="87" fillId="47" borderId="15" xfId="0" applyNumberFormat="1" applyFont="1" applyFill="1" applyBorder="1" applyAlignment="1">
      <alignment horizontal="center" vertical="top" wrapText="1"/>
    </xf>
    <xf numFmtId="2" fontId="87" fillId="47" borderId="15" xfId="0" applyNumberFormat="1" applyFont="1" applyFill="1" applyBorder="1" applyAlignment="1">
      <alignment vertical="top"/>
    </xf>
    <xf numFmtId="2" fontId="87" fillId="47" borderId="15" xfId="0" applyNumberFormat="1" applyFont="1" applyFill="1" applyBorder="1" applyAlignment="1">
      <alignment horizontal="right" vertical="top" wrapText="1"/>
    </xf>
    <xf numFmtId="2" fontId="94" fillId="47" borderId="15" xfId="0" applyNumberFormat="1" applyFont="1" applyFill="1" applyBorder="1" applyAlignment="1">
      <alignment vertical="top"/>
    </xf>
    <xf numFmtId="2" fontId="87" fillId="47" borderId="0" xfId="0" applyNumberFormat="1" applyFont="1" applyFill="1" applyAlignment="1">
      <alignment vertical="top"/>
    </xf>
    <xf numFmtId="2" fontId="94" fillId="47" borderId="15" xfId="0" applyNumberFormat="1" applyFont="1" applyFill="1" applyBorder="1" applyAlignment="1">
      <alignment horizontal="right" vertical="top" wrapText="1"/>
    </xf>
    <xf numFmtId="2" fontId="87" fillId="47" borderId="19" xfId="0" applyNumberFormat="1" applyFont="1" applyFill="1" applyBorder="1" applyAlignment="1">
      <alignment vertical="top"/>
    </xf>
    <xf numFmtId="167" fontId="87" fillId="47" borderId="15" xfId="0" applyNumberFormat="1" applyFont="1" applyFill="1" applyBorder="1" applyAlignment="1">
      <alignment horizontal="center" vertical="top" wrapText="1"/>
    </xf>
    <xf numFmtId="2" fontId="94" fillId="47" borderId="15" xfId="0" applyNumberFormat="1" applyFont="1" applyFill="1" applyBorder="1" applyAlignment="1">
      <alignment horizontal="center" vertical="top" wrapText="1"/>
    </xf>
    <xf numFmtId="0" fontId="87" fillId="47" borderId="15" xfId="0" applyFont="1" applyFill="1" applyBorder="1" applyAlignment="1">
      <alignment horizontal="right" vertical="top" wrapText="1"/>
    </xf>
    <xf numFmtId="169" fontId="87" fillId="47" borderId="15" xfId="0" applyNumberFormat="1" applyFont="1" applyFill="1" applyBorder="1" applyAlignment="1">
      <alignment horizontal="center" vertical="top" wrapText="1"/>
    </xf>
    <xf numFmtId="2" fontId="87" fillId="47" borderId="21" xfId="0" applyNumberFormat="1" applyFont="1" applyFill="1" applyBorder="1" applyAlignment="1">
      <alignment vertical="top"/>
    </xf>
    <xf numFmtId="0" fontId="94" fillId="47" borderId="0" xfId="0" applyFont="1" applyFill="1" applyAlignment="1">
      <alignment horizontal="center" vertical="top"/>
    </xf>
    <xf numFmtId="0" fontId="87" fillId="47" borderId="8" xfId="0" applyFont="1" applyFill="1" applyBorder="1" applyAlignment="1">
      <alignment horizontal="left" vertical="top"/>
    </xf>
    <xf numFmtId="0" fontId="87" fillId="47" borderId="8" xfId="0" applyFont="1" applyFill="1" applyBorder="1" applyAlignment="1">
      <alignment vertical="top"/>
    </xf>
    <xf numFmtId="2" fontId="87" fillId="47" borderId="8" xfId="0" applyNumberFormat="1" applyFont="1" applyFill="1" applyBorder="1" applyAlignment="1">
      <alignment horizontal="center" vertical="top"/>
    </xf>
    <xf numFmtId="0" fontId="87" fillId="47" borderId="8" xfId="0" applyFont="1" applyFill="1" applyBorder="1" applyAlignment="1">
      <alignment horizontal="center" vertical="top"/>
    </xf>
    <xf numFmtId="168" fontId="87" fillId="47" borderId="15" xfId="0" applyNumberFormat="1" applyFont="1" applyFill="1" applyBorder="1" applyAlignment="1">
      <alignment horizontal="center" vertical="top" wrapText="1"/>
    </xf>
    <xf numFmtId="1" fontId="87" fillId="47" borderId="15" xfId="0" applyNumberFormat="1" applyFont="1" applyFill="1" applyBorder="1" applyAlignment="1">
      <alignment horizontal="center" vertical="top" wrapText="1"/>
    </xf>
    <xf numFmtId="2" fontId="87" fillId="47" borderId="15" xfId="0" applyNumberFormat="1" applyFont="1" applyFill="1" applyBorder="1" applyAlignment="1">
      <alignment horizontal="center" vertical="top" shrinkToFit="1"/>
    </xf>
    <xf numFmtId="2" fontId="94" fillId="47" borderId="15" xfId="0" applyNumberFormat="1" applyFont="1" applyFill="1" applyBorder="1" applyAlignment="1">
      <alignment horizontal="center" vertical="top" shrinkToFit="1"/>
    </xf>
    <xf numFmtId="49" fontId="87" fillId="47" borderId="15" xfId="0" applyNumberFormat="1" applyFont="1" applyFill="1" applyBorder="1" applyAlignment="1">
      <alignment horizontal="center" vertical="top" shrinkToFit="1"/>
    </xf>
    <xf numFmtId="9" fontId="87" fillId="47" borderId="15" xfId="1393" applyFont="1" applyFill="1" applyBorder="1" applyAlignment="1">
      <alignment horizontal="center" vertical="top" shrinkToFit="1"/>
    </xf>
    <xf numFmtId="0" fontId="87" fillId="47" borderId="15" xfId="0" applyFont="1" applyFill="1" applyBorder="1" applyAlignment="1">
      <alignment horizontal="center" vertical="top" shrinkToFit="1"/>
    </xf>
    <xf numFmtId="172" fontId="87" fillId="47" borderId="0" xfId="0" applyNumberFormat="1" applyFont="1" applyFill="1" applyAlignment="1">
      <alignment horizontal="center" vertical="top" wrapText="1"/>
    </xf>
    <xf numFmtId="2" fontId="87" fillId="47" borderId="15" xfId="0" applyNumberFormat="1" applyFont="1" applyFill="1" applyBorder="1" applyAlignment="1">
      <alignment horizontal="right" vertical="top" shrinkToFit="1"/>
    </xf>
    <xf numFmtId="0" fontId="87" fillId="47" borderId="15" xfId="0" applyFont="1" applyFill="1" applyBorder="1" applyAlignment="1">
      <alignment horizontal="justify" vertical="top"/>
    </xf>
    <xf numFmtId="2" fontId="87" fillId="47" borderId="15" xfId="0" applyNumberFormat="1" applyFont="1" applyFill="1" applyBorder="1" applyAlignment="1">
      <alignment vertical="top" shrinkToFit="1"/>
    </xf>
    <xf numFmtId="172" fontId="94" fillId="47" borderId="15" xfId="0" applyNumberFormat="1" applyFont="1" applyFill="1" applyBorder="1" applyAlignment="1">
      <alignment horizontal="center" vertical="top" wrapText="1"/>
    </xf>
    <xf numFmtId="172" fontId="94" fillId="47" borderId="0" xfId="0" applyNumberFormat="1" applyFont="1" applyFill="1" applyAlignment="1">
      <alignment horizontal="center" vertical="top" wrapText="1"/>
    </xf>
    <xf numFmtId="2" fontId="94" fillId="47" borderId="15" xfId="0" applyNumberFormat="1" applyFont="1" applyFill="1" applyBorder="1" applyAlignment="1">
      <alignment horizontal="right" vertical="top" shrinkToFit="1"/>
    </xf>
    <xf numFmtId="167" fontId="87" fillId="47" borderId="15" xfId="0" applyNumberFormat="1" applyFont="1" applyFill="1" applyBorder="1" applyAlignment="1">
      <alignment horizontal="center" vertical="top" shrinkToFit="1"/>
    </xf>
    <xf numFmtId="2" fontId="104" fillId="47" borderId="15" xfId="95" applyNumberFormat="1" applyFont="1" applyFill="1" applyBorder="1" applyAlignment="1">
      <alignment horizontal="center" vertical="top"/>
    </xf>
    <xf numFmtId="0" fontId="104" fillId="47" borderId="15" xfId="95" applyFont="1" applyFill="1" applyBorder="1" applyAlignment="1">
      <alignment horizontal="center" vertical="top" wrapText="1"/>
    </xf>
    <xf numFmtId="0" fontId="104" fillId="47" borderId="15" xfId="95" applyFont="1" applyFill="1" applyBorder="1" applyAlignment="1">
      <alignment horizontal="justify" vertical="top" wrapText="1"/>
    </xf>
    <xf numFmtId="0" fontId="104" fillId="47" borderId="16" xfId="95" applyFont="1" applyFill="1" applyBorder="1" applyAlignment="1">
      <alignment vertical="top" wrapText="1"/>
    </xf>
    <xf numFmtId="0" fontId="104" fillId="47" borderId="18" xfId="95" applyFont="1" applyFill="1" applyBorder="1" applyAlignment="1">
      <alignment vertical="top" wrapText="1"/>
    </xf>
    <xf numFmtId="0" fontId="104" fillId="47" borderId="15" xfId="95" applyFont="1" applyFill="1" applyBorder="1" applyAlignment="1">
      <alignment vertical="top" wrapText="1"/>
    </xf>
    <xf numFmtId="0" fontId="97" fillId="47" borderId="0" xfId="95" applyFont="1" applyFill="1"/>
    <xf numFmtId="0" fontId="104" fillId="47" borderId="15" xfId="95" applyFont="1" applyFill="1" applyBorder="1" applyAlignment="1">
      <alignment horizontal="center" vertical="top"/>
    </xf>
    <xf numFmtId="0" fontId="104" fillId="47" borderId="16" xfId="95" applyFont="1" applyFill="1" applyBorder="1" applyAlignment="1">
      <alignment horizontal="justify" vertical="top" wrapText="1"/>
    </xf>
    <xf numFmtId="0" fontId="104" fillId="47" borderId="18" xfId="95" applyFont="1" applyFill="1" applyBorder="1" applyAlignment="1">
      <alignment horizontal="justify" vertical="top" wrapText="1"/>
    </xf>
    <xf numFmtId="0" fontId="105" fillId="47" borderId="15" xfId="95" applyFont="1" applyFill="1" applyBorder="1" applyAlignment="1">
      <alignment horizontal="justify" vertical="top" wrapText="1"/>
    </xf>
    <xf numFmtId="2" fontId="104" fillId="47" borderId="16" xfId="95" applyNumberFormat="1" applyFont="1" applyFill="1" applyBorder="1" applyAlignment="1">
      <alignment horizontal="center" vertical="top" wrapText="1"/>
    </xf>
    <xf numFmtId="2" fontId="104" fillId="47" borderId="18" xfId="95" applyNumberFormat="1" applyFont="1" applyFill="1" applyBorder="1" applyAlignment="1">
      <alignment horizontal="center" vertical="top" wrapText="1"/>
    </xf>
    <xf numFmtId="1" fontId="105" fillId="47" borderId="16" xfId="95" applyNumberFormat="1" applyFont="1" applyFill="1" applyBorder="1" applyAlignment="1">
      <alignment horizontal="center" vertical="top" wrapText="1"/>
    </xf>
    <xf numFmtId="1" fontId="105" fillId="47" borderId="18" xfId="95" applyNumberFormat="1" applyFont="1" applyFill="1" applyBorder="1" applyAlignment="1">
      <alignment horizontal="center" vertical="top" wrapText="1"/>
    </xf>
    <xf numFmtId="2" fontId="104" fillId="47" borderId="15" xfId="95" applyNumberFormat="1" applyFont="1" applyFill="1" applyBorder="1" applyAlignment="1">
      <alignment horizontal="right" vertical="top"/>
    </xf>
    <xf numFmtId="2" fontId="104" fillId="47" borderId="15" xfId="95" applyNumberFormat="1" applyFont="1" applyFill="1" applyBorder="1" applyAlignment="1">
      <alignment horizontal="left" vertical="top"/>
    </xf>
    <xf numFmtId="2" fontId="104" fillId="47" borderId="16" xfId="95" applyNumberFormat="1" applyFont="1" applyFill="1" applyBorder="1" applyAlignment="1">
      <alignment horizontal="right" vertical="top" wrapText="1"/>
    </xf>
    <xf numFmtId="4" fontId="104" fillId="47" borderId="18" xfId="95" applyNumberFormat="1" applyFont="1" applyFill="1" applyBorder="1" applyAlignment="1">
      <alignment horizontal="left" vertical="top" wrapText="1"/>
    </xf>
    <xf numFmtId="1" fontId="104" fillId="47" borderId="16" xfId="95" applyNumberFormat="1" applyFont="1" applyFill="1" applyBorder="1" applyAlignment="1">
      <alignment vertical="top" wrapText="1"/>
    </xf>
    <xf numFmtId="0" fontId="104" fillId="47" borderId="15" xfId="95" applyFont="1" applyFill="1" applyBorder="1" applyAlignment="1">
      <alignment horizontal="left" vertical="top" wrapText="1"/>
    </xf>
    <xf numFmtId="0" fontId="104" fillId="47" borderId="18" xfId="95" applyFont="1" applyFill="1" applyBorder="1" applyAlignment="1">
      <alignment horizontal="left" vertical="top" wrapText="1"/>
    </xf>
    <xf numFmtId="1" fontId="105" fillId="47" borderId="16" xfId="95" applyNumberFormat="1" applyFont="1" applyFill="1" applyBorder="1" applyAlignment="1">
      <alignment vertical="top" wrapText="1"/>
    </xf>
    <xf numFmtId="2" fontId="105" fillId="47" borderId="15" xfId="95" applyNumberFormat="1" applyFont="1" applyFill="1" applyBorder="1" applyAlignment="1">
      <alignment horizontal="right" vertical="top"/>
    </xf>
    <xf numFmtId="0" fontId="97" fillId="47" borderId="15" xfId="95" applyFont="1" applyFill="1" applyBorder="1"/>
    <xf numFmtId="0" fontId="97" fillId="47" borderId="15" xfId="95" applyFont="1" applyFill="1" applyBorder="1" applyAlignment="1">
      <alignment horizontal="center" vertical="top"/>
    </xf>
    <xf numFmtId="0" fontId="104" fillId="47" borderId="16" xfId="95" applyFont="1" applyFill="1" applyBorder="1" applyAlignment="1">
      <alignment vertical="top"/>
    </xf>
    <xf numFmtId="0" fontId="104" fillId="47" borderId="15" xfId="95" applyFont="1" applyFill="1" applyBorder="1" applyAlignment="1">
      <alignment vertical="top"/>
    </xf>
    <xf numFmtId="0" fontId="97" fillId="47" borderId="15" xfId="0" applyFont="1" applyFill="1" applyBorder="1" applyAlignment="1">
      <alignment horizontal="justify" vertical="top" wrapText="1"/>
    </xf>
    <xf numFmtId="0" fontId="97" fillId="47" borderId="15" xfId="0" quotePrefix="1" applyFont="1" applyFill="1" applyBorder="1" applyAlignment="1">
      <alignment horizontal="justify" vertical="top" wrapText="1"/>
    </xf>
    <xf numFmtId="167" fontId="104" fillId="47" borderId="15" xfId="95" applyNumberFormat="1" applyFont="1" applyFill="1" applyBorder="1" applyAlignment="1">
      <alignment horizontal="center" vertical="top"/>
    </xf>
    <xf numFmtId="2" fontId="104" fillId="47" borderId="15" xfId="95" applyNumberFormat="1" applyFont="1" applyFill="1" applyBorder="1" applyAlignment="1">
      <alignment horizontal="center" vertical="top" wrapText="1"/>
    </xf>
    <xf numFmtId="2" fontId="104" fillId="47" borderId="15" xfId="95" applyNumberFormat="1" applyFont="1" applyFill="1" applyBorder="1" applyAlignment="1">
      <alignment vertical="top"/>
    </xf>
    <xf numFmtId="2" fontId="104" fillId="47" borderId="15" xfId="95" applyNumberFormat="1" applyFont="1" applyFill="1" applyBorder="1" applyAlignment="1">
      <alignment horizontal="justify" vertical="top" wrapText="1"/>
    </xf>
    <xf numFmtId="1" fontId="104" fillId="47" borderId="16" xfId="95" applyNumberFormat="1" applyFont="1" applyFill="1" applyBorder="1" applyAlignment="1">
      <alignment horizontal="right" vertical="top" wrapText="1"/>
    </xf>
    <xf numFmtId="2" fontId="104" fillId="47" borderId="15" xfId="95" applyNumberFormat="1" applyFont="1" applyFill="1" applyBorder="1" applyAlignment="1">
      <alignment horizontal="justify" vertical="top"/>
    </xf>
    <xf numFmtId="167" fontId="104" fillId="47" borderId="16" xfId="95" applyNumberFormat="1" applyFont="1" applyFill="1" applyBorder="1" applyAlignment="1">
      <alignment horizontal="right" vertical="top" wrapText="1"/>
    </xf>
    <xf numFmtId="2" fontId="105" fillId="47" borderId="16" xfId="95" applyNumberFormat="1" applyFont="1" applyFill="1" applyBorder="1" applyAlignment="1">
      <alignment vertical="top" wrapText="1"/>
    </xf>
    <xf numFmtId="0" fontId="105" fillId="47" borderId="18" xfId="95" applyFont="1" applyFill="1" applyBorder="1" applyAlignment="1">
      <alignment horizontal="left" vertical="top" wrapText="1"/>
    </xf>
    <xf numFmtId="2" fontId="105" fillId="47" borderId="15" xfId="95" applyNumberFormat="1" applyFont="1" applyFill="1" applyBorder="1" applyAlignment="1">
      <alignment horizontal="center" vertical="top"/>
    </xf>
    <xf numFmtId="2" fontId="104" fillId="47" borderId="16" xfId="95" applyNumberFormat="1" applyFont="1" applyFill="1" applyBorder="1" applyAlignment="1">
      <alignment horizontal="justify" vertical="top" wrapText="1"/>
    </xf>
    <xf numFmtId="0" fontId="104" fillId="47" borderId="15" xfId="95" applyFont="1" applyFill="1" applyBorder="1" applyAlignment="1">
      <alignment horizontal="left" vertical="top"/>
    </xf>
    <xf numFmtId="10" fontId="104" fillId="47" borderId="15" xfId="95" applyNumberFormat="1" applyFont="1" applyFill="1" applyBorder="1" applyAlignment="1">
      <alignment horizontal="center" vertical="top"/>
    </xf>
    <xf numFmtId="0" fontId="104" fillId="47" borderId="18" xfId="95" applyFont="1" applyFill="1" applyBorder="1" applyAlignment="1">
      <alignment vertical="top"/>
    </xf>
    <xf numFmtId="0" fontId="97" fillId="47" borderId="16" xfId="95" applyFont="1" applyFill="1" applyBorder="1"/>
    <xf numFmtId="0" fontId="97" fillId="47" borderId="18" xfId="95" applyFont="1" applyFill="1" applyBorder="1"/>
    <xf numFmtId="0" fontId="104" fillId="47" borderId="16" xfId="95" applyFont="1" applyFill="1" applyBorder="1" applyAlignment="1">
      <alignment horizontal="right" vertical="top" wrapText="1"/>
    </xf>
    <xf numFmtId="0" fontId="105" fillId="47" borderId="15" xfId="95" applyFont="1" applyFill="1" applyBorder="1" applyAlignment="1">
      <alignment horizontal="center" vertical="top" wrapText="1"/>
    </xf>
    <xf numFmtId="2" fontId="105" fillId="47" borderId="16" xfId="95" applyNumberFormat="1" applyFont="1" applyFill="1" applyBorder="1" applyAlignment="1">
      <alignment horizontal="right" vertical="top" wrapText="1"/>
    </xf>
    <xf numFmtId="0" fontId="105" fillId="47" borderId="18" xfId="95" applyFont="1" applyFill="1" applyBorder="1" applyAlignment="1">
      <alignment horizontal="justify" vertical="top" wrapText="1"/>
    </xf>
    <xf numFmtId="2" fontId="105" fillId="47" borderId="15" xfId="95" applyNumberFormat="1" applyFont="1" applyFill="1" applyBorder="1" applyAlignment="1">
      <alignment vertical="top"/>
    </xf>
    <xf numFmtId="0" fontId="87" fillId="47" borderId="16" xfId="0" applyFont="1" applyFill="1" applyBorder="1" applyAlignment="1">
      <alignment vertical="top" wrapText="1"/>
    </xf>
    <xf numFmtId="0" fontId="87" fillId="47" borderId="18" xfId="0" applyFont="1" applyFill="1" applyBorder="1" applyAlignment="1">
      <alignment horizontal="left" vertical="top" wrapText="1"/>
    </xf>
    <xf numFmtId="167" fontId="87" fillId="47" borderId="15" xfId="0" applyNumberFormat="1" applyFont="1" applyFill="1" applyBorder="1" applyAlignment="1">
      <alignment horizontal="justify" vertical="top" wrapText="1"/>
    </xf>
    <xf numFmtId="2" fontId="87" fillId="47" borderId="18" xfId="0" applyNumberFormat="1" applyFont="1" applyFill="1" applyBorder="1" applyAlignment="1">
      <alignment horizontal="right" vertical="top"/>
    </xf>
    <xf numFmtId="2" fontId="94" fillId="47" borderId="15" xfId="0" applyNumberFormat="1" applyFont="1" applyFill="1" applyBorder="1" applyAlignment="1">
      <alignment horizontal="right" vertical="top"/>
    </xf>
    <xf numFmtId="0" fontId="87" fillId="47" borderId="15" xfId="94" applyFont="1" applyFill="1" applyBorder="1" applyAlignment="1">
      <alignment horizontal="center" vertical="top"/>
    </xf>
    <xf numFmtId="0" fontId="87" fillId="47" borderId="15" xfId="94" applyFont="1" applyFill="1" applyBorder="1" applyAlignment="1">
      <alignment horizontal="justify" vertical="top" wrapText="1"/>
    </xf>
    <xf numFmtId="0" fontId="87" fillId="47" borderId="18" xfId="94" applyFont="1" applyFill="1" applyBorder="1" applyAlignment="1">
      <alignment horizontal="right" vertical="top"/>
    </xf>
    <xf numFmtId="2" fontId="87" fillId="47" borderId="15" xfId="94" applyNumberFormat="1" applyFont="1" applyFill="1" applyBorder="1" applyAlignment="1">
      <alignment horizontal="right" vertical="top"/>
    </xf>
    <xf numFmtId="0" fontId="87" fillId="47" borderId="0" xfId="94" applyFont="1" applyFill="1" applyAlignment="1">
      <alignment vertical="top"/>
    </xf>
    <xf numFmtId="2" fontId="94" fillId="47" borderId="15" xfId="94" applyNumberFormat="1" applyFont="1" applyFill="1" applyBorder="1" applyAlignment="1">
      <alignment horizontal="right" vertical="top"/>
    </xf>
    <xf numFmtId="1" fontId="87" fillId="47" borderId="16" xfId="94" applyNumberFormat="1" applyFont="1" applyFill="1" applyBorder="1" applyAlignment="1">
      <alignment horizontal="right" vertical="top"/>
    </xf>
    <xf numFmtId="2" fontId="87" fillId="47" borderId="0" xfId="94" applyNumberFormat="1" applyFont="1" applyFill="1" applyAlignment="1">
      <alignment vertical="top"/>
    </xf>
    <xf numFmtId="0" fontId="87" fillId="47" borderId="15" xfId="0" applyFont="1" applyFill="1" applyBorder="1" applyAlignment="1">
      <alignment horizontal="justify" vertical="justify" wrapText="1"/>
    </xf>
    <xf numFmtId="0" fontId="94" fillId="47" borderId="15" xfId="0" applyFont="1" applyFill="1" applyBorder="1" applyAlignment="1">
      <alignment horizontal="justify" vertical="justify" wrapText="1"/>
    </xf>
    <xf numFmtId="0" fontId="87" fillId="47" borderId="15" xfId="0" applyFont="1" applyFill="1" applyBorder="1" applyAlignment="1">
      <alignment wrapText="1"/>
    </xf>
    <xf numFmtId="2" fontId="87" fillId="47" borderId="15" xfId="0" applyNumberFormat="1" applyFont="1" applyFill="1" applyBorder="1" applyAlignment="1">
      <alignment wrapText="1"/>
    </xf>
    <xf numFmtId="167" fontId="87" fillId="47" borderId="15" xfId="0" applyNumberFormat="1" applyFont="1" applyFill="1" applyBorder="1" applyAlignment="1">
      <alignment wrapText="1"/>
    </xf>
    <xf numFmtId="169" fontId="87" fillId="47" borderId="15" xfId="0" applyNumberFormat="1" applyFont="1" applyFill="1" applyBorder="1" applyAlignment="1">
      <alignment horizontal="right" wrapText="1"/>
    </xf>
    <xf numFmtId="169" fontId="94" fillId="47" borderId="15" xfId="0" applyNumberFormat="1" applyFont="1" applyFill="1" applyBorder="1" applyAlignment="1">
      <alignment horizontal="right" wrapText="1"/>
    </xf>
    <xf numFmtId="170" fontId="91" fillId="47" borderId="15" xfId="0" applyNumberFormat="1" applyFont="1" applyFill="1" applyBorder="1" applyAlignment="1">
      <alignment horizontal="center" vertical="top" wrapText="1"/>
    </xf>
    <xf numFmtId="0" fontId="87" fillId="47" borderId="15" xfId="95" applyFont="1" applyFill="1" applyBorder="1" applyAlignment="1">
      <alignment horizontal="justify" vertical="justify" wrapText="1"/>
    </xf>
    <xf numFmtId="0" fontId="97" fillId="47" borderId="15" xfId="0" applyFont="1" applyFill="1" applyBorder="1" applyAlignment="1">
      <alignment horizontal="justify" vertical="justify" wrapText="1"/>
    </xf>
    <xf numFmtId="2" fontId="108" fillId="47" borderId="15" xfId="95" applyNumberFormat="1" applyFont="1" applyFill="1" applyBorder="1" applyAlignment="1">
      <alignment horizontal="right" vertical="top"/>
    </xf>
    <xf numFmtId="0" fontId="87" fillId="0" borderId="16" xfId="0" applyFont="1" applyBorder="1" applyAlignment="1">
      <alignment horizontal="left" vertical="top" indent="1"/>
    </xf>
    <xf numFmtId="0" fontId="91" fillId="0" borderId="16" xfId="0" applyFont="1" applyBorder="1" applyAlignment="1">
      <alignment horizontal="left" vertical="top" indent="1"/>
    </xf>
    <xf numFmtId="2" fontId="167" fillId="0" borderId="0" xfId="860" applyNumberFormat="1" applyFont="1" applyAlignment="1">
      <alignment vertical="top"/>
    </xf>
    <xf numFmtId="0" fontId="167" fillId="0" borderId="0" xfId="860" applyFont="1" applyAlignment="1">
      <alignment vertical="top"/>
    </xf>
    <xf numFmtId="0" fontId="167" fillId="0" borderId="0" xfId="860" applyFont="1"/>
    <xf numFmtId="0" fontId="94" fillId="0" borderId="0" xfId="0" applyFont="1" applyAlignment="1">
      <alignment horizontal="center" wrapText="1"/>
    </xf>
    <xf numFmtId="1" fontId="94" fillId="0" borderId="0" xfId="0" applyNumberFormat="1" applyFont="1" applyAlignment="1">
      <alignment horizontal="center"/>
    </xf>
    <xf numFmtId="0" fontId="94" fillId="0" borderId="0" xfId="0" applyFont="1" applyAlignment="1">
      <alignment horizontal="center"/>
    </xf>
    <xf numFmtId="0" fontId="100" fillId="0" borderId="0" xfId="0" applyFont="1" applyAlignment="1">
      <alignment horizontal="left" vertical="justify" wrapText="1"/>
    </xf>
    <xf numFmtId="1" fontId="91" fillId="0" borderId="15" xfId="1419" applyNumberFormat="1" applyFont="1" applyBorder="1" applyAlignment="1">
      <alignment horizontal="center" vertical="top"/>
    </xf>
    <xf numFmtId="1" fontId="91" fillId="0" borderId="17" xfId="1419" applyNumberFormat="1" applyFont="1" applyBorder="1" applyAlignment="1">
      <alignment horizontal="center" vertical="top"/>
    </xf>
    <xf numFmtId="2" fontId="13" fillId="45" borderId="15" xfId="0" applyNumberFormat="1" applyFont="1" applyFill="1" applyBorder="1" applyAlignment="1">
      <alignment horizontal="center" vertical="center"/>
    </xf>
    <xf numFmtId="0" fontId="59" fillId="0" borderId="0" xfId="121" applyFont="1" applyAlignment="1">
      <alignment horizontal="center" vertical="center"/>
    </xf>
    <xf numFmtId="0" fontId="64" fillId="0" borderId="0" xfId="121" applyFont="1" applyAlignment="1">
      <alignment horizontal="left" vertical="center" wrapText="1"/>
    </xf>
    <xf numFmtId="0" fontId="67" fillId="0" borderId="0" xfId="121" applyFont="1" applyAlignment="1">
      <alignment horizontal="left" vertical="center"/>
    </xf>
    <xf numFmtId="0" fontId="67" fillId="0" borderId="0" xfId="121" applyFont="1" applyAlignment="1">
      <alignment horizontal="left" vertical="center" wrapText="1"/>
    </xf>
    <xf numFmtId="0" fontId="15" fillId="0" borderId="0" xfId="121"/>
    <xf numFmtId="0" fontId="59" fillId="0" borderId="0" xfId="121" applyFont="1" applyAlignment="1">
      <alignment horizontal="center" textRotation="90"/>
    </xf>
    <xf numFmtId="0" fontId="59" fillId="0" borderId="0" xfId="121" applyFont="1" applyAlignment="1">
      <alignment vertical="center" textRotation="90"/>
    </xf>
    <xf numFmtId="0" fontId="60" fillId="0" borderId="0" xfId="121" applyFont="1" applyAlignment="1">
      <alignment horizontal="center" vertical="center"/>
    </xf>
    <xf numFmtId="0" fontId="62" fillId="0" borderId="0" xfId="121" applyFont="1" applyAlignment="1">
      <alignment horizontal="center" vertical="center"/>
    </xf>
    <xf numFmtId="0" fontId="63" fillId="0" borderId="0" xfId="121" applyFont="1"/>
    <xf numFmtId="0" fontId="66" fillId="0" borderId="0" xfId="121" applyFont="1" applyAlignment="1">
      <alignment horizontal="left" vertical="top"/>
    </xf>
    <xf numFmtId="0" fontId="69" fillId="0" borderId="0" xfId="121" applyFont="1" applyAlignment="1">
      <alignment horizontal="center"/>
    </xf>
    <xf numFmtId="0" fontId="65" fillId="0" borderId="0" xfId="121" applyFont="1" applyAlignment="1">
      <alignment horizontal="justify" vertical="top" wrapText="1"/>
    </xf>
    <xf numFmtId="2" fontId="65" fillId="0" borderId="0" xfId="121" applyNumberFormat="1" applyFont="1" applyAlignment="1">
      <alignment horizontal="left" vertical="center" wrapText="1"/>
    </xf>
    <xf numFmtId="0" fontId="65" fillId="0" borderId="0" xfId="121" applyFont="1" applyAlignment="1">
      <alignment horizontal="left" vertical="center" wrapText="1"/>
    </xf>
    <xf numFmtId="0" fontId="115" fillId="0" borderId="0" xfId="1506" applyFont="1" applyAlignment="1">
      <alignment horizontal="justify" vertical="top" wrapText="1"/>
    </xf>
    <xf numFmtId="0" fontId="112" fillId="0" borderId="0" xfId="860" applyFont="1" applyAlignment="1">
      <alignment horizontal="center"/>
    </xf>
    <xf numFmtId="0" fontId="115" fillId="0" borderId="0" xfId="860" applyFont="1" applyAlignment="1">
      <alignment horizontal="justify" vertical="top" wrapText="1"/>
    </xf>
    <xf numFmtId="0" fontId="115" fillId="0" borderId="0" xfId="860" applyFont="1" applyAlignment="1">
      <alignment horizontal="left" vertical="top" wrapText="1"/>
    </xf>
    <xf numFmtId="0" fontId="116" fillId="0" borderId="0" xfId="860" applyFont="1" applyAlignment="1">
      <alignment horizontal="right"/>
    </xf>
    <xf numFmtId="0" fontId="117" fillId="0" borderId="0" xfId="1419" applyFont="1" applyAlignment="1">
      <alignment horizontal="justify" vertical="top" wrapText="1"/>
    </xf>
    <xf numFmtId="0" fontId="166" fillId="0" borderId="0" xfId="1506" applyFont="1" applyAlignment="1">
      <alignment horizontal="justify" vertical="top" wrapText="1"/>
    </xf>
    <xf numFmtId="0" fontId="87" fillId="0" borderId="15" xfId="0" applyFont="1" applyBorder="1" applyAlignment="1">
      <alignment horizontal="justify" vertical="top" wrapText="1"/>
    </xf>
    <xf numFmtId="0" fontId="87" fillId="47" borderId="15" xfId="0" applyFont="1" applyFill="1" applyBorder="1" applyAlignment="1">
      <alignment horizontal="justify" vertical="top" wrapText="1"/>
    </xf>
    <xf numFmtId="0" fontId="87" fillId="0" borderId="15" xfId="95" applyFont="1" applyBorder="1" applyAlignment="1">
      <alignment horizontal="justify" vertical="top"/>
    </xf>
    <xf numFmtId="0" fontId="87" fillId="47" borderId="16" xfId="94" applyFont="1" applyFill="1" applyBorder="1" applyAlignment="1">
      <alignment horizontal="center" vertical="top" wrapText="1"/>
    </xf>
    <xf numFmtId="0" fontId="87" fillId="47" borderId="17" xfId="94" applyFont="1" applyFill="1" applyBorder="1" applyAlignment="1">
      <alignment horizontal="center" vertical="top" wrapText="1"/>
    </xf>
    <xf numFmtId="0" fontId="87" fillId="47" borderId="18" xfId="94" applyFont="1" applyFill="1" applyBorder="1" applyAlignment="1">
      <alignment horizontal="center" vertical="top" wrapText="1"/>
    </xf>
    <xf numFmtId="0" fontId="87" fillId="47" borderId="15" xfId="94" applyFont="1" applyFill="1" applyBorder="1" applyAlignment="1">
      <alignment horizontal="justify" vertical="top" wrapText="1"/>
    </xf>
    <xf numFmtId="0" fontId="87" fillId="0" borderId="15" xfId="95" applyFont="1" applyBorder="1" applyAlignment="1">
      <alignment horizontal="justify" vertical="top" wrapText="1"/>
    </xf>
    <xf numFmtId="0" fontId="97" fillId="47" borderId="15" xfId="0" applyFont="1" applyFill="1" applyBorder="1" applyAlignment="1">
      <alignment horizontal="justify" vertical="top" wrapText="1"/>
    </xf>
    <xf numFmtId="0" fontId="87" fillId="47" borderId="16" xfId="0" applyFont="1" applyFill="1" applyBorder="1" applyAlignment="1">
      <alignment horizontal="justify" vertical="top" wrapText="1"/>
    </xf>
    <xf numFmtId="0" fontId="87" fillId="47" borderId="17" xfId="0" applyFont="1" applyFill="1" applyBorder="1" applyAlignment="1">
      <alignment horizontal="justify" vertical="top" wrapText="1"/>
    </xf>
    <xf numFmtId="0" fontId="87" fillId="47" borderId="18" xfId="0" applyFont="1" applyFill="1" applyBorder="1" applyAlignment="1">
      <alignment horizontal="justify" vertical="top" wrapText="1"/>
    </xf>
    <xf numFmtId="0" fontId="87" fillId="0" borderId="16" xfId="0" applyFont="1" applyBorder="1" applyAlignment="1">
      <alignment horizontal="justify" vertical="top" wrapText="1"/>
    </xf>
    <xf numFmtId="0" fontId="87" fillId="0" borderId="17" xfId="0" applyFont="1" applyBorder="1" applyAlignment="1">
      <alignment horizontal="justify" vertical="top" wrapText="1"/>
    </xf>
    <xf numFmtId="0" fontId="87" fillId="0" borderId="18" xfId="0" applyFont="1" applyBorder="1" applyAlignment="1">
      <alignment horizontal="justify" vertical="top" wrapText="1"/>
    </xf>
    <xf numFmtId="0" fontId="88" fillId="0" borderId="15" xfId="0" applyFont="1" applyBorder="1" applyAlignment="1">
      <alignment horizontal="center" vertical="center" wrapText="1"/>
    </xf>
    <xf numFmtId="1" fontId="88" fillId="0" borderId="15" xfId="0" applyNumberFormat="1" applyFont="1" applyBorder="1" applyAlignment="1">
      <alignment horizontal="center" vertical="center" wrapText="1"/>
    </xf>
    <xf numFmtId="0" fontId="86" fillId="0" borderId="0" xfId="0" applyFont="1" applyAlignment="1">
      <alignment horizontal="center" vertical="top"/>
    </xf>
    <xf numFmtId="0" fontId="87" fillId="0" borderId="0" xfId="0" applyFont="1" applyAlignment="1">
      <alignment horizontal="right" vertical="top" wrapText="1"/>
    </xf>
    <xf numFmtId="0" fontId="88" fillId="0" borderId="0" xfId="0" applyFont="1" applyAlignment="1">
      <alignment horizontal="left" vertical="top" wrapText="1"/>
    </xf>
    <xf numFmtId="0" fontId="88" fillId="0" borderId="0" xfId="0" applyFont="1" applyAlignment="1">
      <alignment horizontal="center" vertical="top" wrapText="1"/>
    </xf>
    <xf numFmtId="0" fontId="89" fillId="0" borderId="0" xfId="0" applyFont="1" applyAlignment="1">
      <alignment horizontal="right" vertical="top" wrapText="1"/>
    </xf>
    <xf numFmtId="2" fontId="89" fillId="0" borderId="0" xfId="0" applyNumberFormat="1" applyFont="1" applyAlignment="1">
      <alignment horizontal="left" vertical="top" wrapText="1"/>
    </xf>
    <xf numFmtId="0" fontId="109" fillId="0" borderId="0" xfId="0" applyFont="1" applyAlignment="1">
      <alignment horizontal="center"/>
    </xf>
    <xf numFmtId="0" fontId="87" fillId="0" borderId="15" xfId="0" applyFont="1" applyBorder="1" applyAlignment="1">
      <alignment horizontal="center" vertical="center" wrapText="1"/>
    </xf>
    <xf numFmtId="0" fontId="89" fillId="0" borderId="42" xfId="0" applyFont="1" applyBorder="1" applyAlignment="1">
      <alignment horizontal="center"/>
    </xf>
    <xf numFmtId="0" fontId="127" fillId="0" borderId="0" xfId="178" applyFont="1" applyAlignment="1">
      <alignment horizontal="center" vertical="center" wrapText="1"/>
    </xf>
    <xf numFmtId="0" fontId="89" fillId="0" borderId="0" xfId="0" applyFont="1" applyAlignment="1">
      <alignment horizontal="center" vertical="center" wrapText="1"/>
    </xf>
    <xf numFmtId="0" fontId="125" fillId="0" borderId="15" xfId="0" applyFont="1" applyBorder="1" applyAlignment="1">
      <alignment horizontal="center" vertical="center" wrapText="1"/>
    </xf>
    <xf numFmtId="2" fontId="125" fillId="0" borderId="15" xfId="0" applyNumberFormat="1" applyFont="1" applyBorder="1" applyAlignment="1">
      <alignment horizontal="center" vertical="center" wrapText="1"/>
    </xf>
    <xf numFmtId="0" fontId="94" fillId="0" borderId="0" xfId="0" applyFont="1" applyAlignment="1">
      <alignment horizontal="left" vertical="center" wrapText="1"/>
    </xf>
    <xf numFmtId="0" fontId="96" fillId="0" borderId="0" xfId="0" applyFont="1" applyAlignment="1">
      <alignment horizontal="center" vertical="top"/>
    </xf>
    <xf numFmtId="0" fontId="94" fillId="0" borderId="0" xfId="0" applyFont="1" applyAlignment="1">
      <alignment horizontal="center" vertical="top" wrapText="1"/>
    </xf>
    <xf numFmtId="0" fontId="94" fillId="0" borderId="0" xfId="95" applyFont="1" applyAlignment="1">
      <alignment horizontal="center" vertical="top" wrapText="1"/>
    </xf>
    <xf numFmtId="0" fontId="111" fillId="0" borderId="31" xfId="95" applyFont="1" applyBorder="1" applyAlignment="1">
      <alignment horizontal="center"/>
    </xf>
    <xf numFmtId="0" fontId="111" fillId="0" borderId="30" xfId="95" applyFont="1" applyBorder="1" applyAlignment="1">
      <alignment horizontal="center"/>
    </xf>
    <xf numFmtId="0" fontId="111" fillId="0" borderId="29" xfId="95" applyFont="1" applyBorder="1" applyAlignment="1">
      <alignment horizontal="center"/>
    </xf>
    <xf numFmtId="0" fontId="169" fillId="0" borderId="16" xfId="95" applyFont="1" applyBorder="1" applyAlignment="1">
      <alignment horizontal="center" vertical="top" wrapText="1"/>
    </xf>
    <xf numFmtId="0" fontId="169" fillId="0" borderId="18" xfId="95" applyFont="1" applyBorder="1" applyAlignment="1">
      <alignment horizontal="center" vertical="top" wrapText="1"/>
    </xf>
    <xf numFmtId="170" fontId="169" fillId="0" borderId="16" xfId="95" applyNumberFormat="1" applyFont="1" applyBorder="1" applyAlignment="1">
      <alignment horizontal="center" vertical="top" wrapText="1"/>
    </xf>
    <xf numFmtId="170" fontId="169" fillId="0" borderId="18" xfId="95" applyNumberFormat="1" applyFont="1" applyBorder="1" applyAlignment="1">
      <alignment horizontal="center" vertical="top" wrapText="1"/>
    </xf>
    <xf numFmtId="0" fontId="169" fillId="0" borderId="38" xfId="95" applyFont="1" applyBorder="1" applyAlignment="1">
      <alignment horizontal="center" vertical="top" wrapText="1"/>
    </xf>
    <xf numFmtId="0" fontId="169" fillId="0" borderId="39" xfId="95" applyFont="1" applyBorder="1" applyAlignment="1">
      <alignment horizontal="center" vertical="top" wrapText="1"/>
    </xf>
    <xf numFmtId="172" fontId="169" fillId="0" borderId="38" xfId="95" applyNumberFormat="1" applyFont="1" applyBorder="1" applyAlignment="1">
      <alignment horizontal="center" vertical="top" wrapText="1"/>
    </xf>
    <xf numFmtId="172" fontId="169" fillId="0" borderId="39" xfId="95" applyNumberFormat="1" applyFont="1" applyBorder="1" applyAlignment="1">
      <alignment horizontal="center" vertical="top" wrapText="1"/>
    </xf>
    <xf numFmtId="0" fontId="168" fillId="0" borderId="0" xfId="0" applyFont="1" applyAlignment="1">
      <alignment horizontal="center" vertical="top"/>
    </xf>
    <xf numFmtId="0" fontId="111" fillId="0" borderId="15" xfId="0" applyFont="1" applyBorder="1" applyAlignment="1">
      <alignment horizontal="center" vertical="top" wrapText="1"/>
    </xf>
    <xf numFmtId="0" fontId="94" fillId="0" borderId="15" xfId="0" applyFont="1" applyBorder="1" applyAlignment="1">
      <alignment horizontal="center" vertical="top" wrapText="1"/>
    </xf>
    <xf numFmtId="0" fontId="128" fillId="0" borderId="8" xfId="1416" applyFont="1" applyBorder="1" applyAlignment="1">
      <alignment horizontal="center"/>
    </xf>
    <xf numFmtId="0" fontId="129" fillId="0" borderId="8" xfId="1416" applyFont="1" applyBorder="1" applyAlignment="1">
      <alignment horizontal="center"/>
    </xf>
    <xf numFmtId="0" fontId="130" fillId="0" borderId="8" xfId="1416" applyFont="1" applyBorder="1" applyAlignment="1">
      <alignment horizontal="center" vertical="center" wrapText="1"/>
    </xf>
    <xf numFmtId="49" fontId="87" fillId="0" borderId="15" xfId="970" applyNumberFormat="1" applyFont="1" applyBorder="1" applyAlignment="1">
      <alignment horizontal="left" vertical="center" wrapText="1"/>
    </xf>
    <xf numFmtId="0" fontId="87" fillId="0" borderId="15" xfId="970" applyFont="1" applyBorder="1" applyAlignment="1">
      <alignment horizontal="left" vertical="center" wrapText="1"/>
    </xf>
    <xf numFmtId="49" fontId="135" fillId="0" borderId="0" xfId="970" applyNumberFormat="1" applyFont="1" applyAlignment="1">
      <alignment horizontal="center" vertical="center" wrapText="1"/>
    </xf>
    <xf numFmtId="49" fontId="136" fillId="0" borderId="0" xfId="970" applyNumberFormat="1" applyFont="1" applyAlignment="1">
      <alignment horizontal="center" vertical="center" wrapText="1"/>
    </xf>
    <xf numFmtId="0" fontId="136" fillId="0" borderId="0" xfId="970" applyFont="1" applyAlignment="1">
      <alignment horizontal="center" vertical="center" wrapText="1"/>
    </xf>
    <xf numFmtId="0" fontId="94" fillId="0" borderId="0" xfId="970" applyFont="1" applyAlignment="1">
      <alignment horizontal="center" vertical="center" wrapText="1"/>
    </xf>
    <xf numFmtId="2" fontId="94" fillId="0" borderId="0" xfId="970" applyNumberFormat="1" applyFont="1" applyAlignment="1">
      <alignment horizontal="left" vertical="center" wrapText="1"/>
    </xf>
    <xf numFmtId="0" fontId="87" fillId="0" borderId="0" xfId="970" applyFont="1" applyAlignment="1">
      <alignment horizontal="left" vertical="center" wrapText="1"/>
    </xf>
    <xf numFmtId="49" fontId="94" fillId="0" borderId="15" xfId="970" applyNumberFormat="1" applyFont="1" applyBorder="1" applyAlignment="1">
      <alignment horizontal="center" vertical="center" wrapText="1"/>
    </xf>
    <xf numFmtId="0" fontId="94" fillId="0" borderId="15" xfId="970" applyFont="1" applyBorder="1" applyAlignment="1">
      <alignment horizontal="center" vertical="center" wrapText="1"/>
    </xf>
    <xf numFmtId="0" fontId="33" fillId="0" borderId="15" xfId="1388" applyBorder="1" applyAlignment="1">
      <alignment horizontal="left" vertical="top" wrapText="1"/>
    </xf>
    <xf numFmtId="0" fontId="33" fillId="0" borderId="15" xfId="1388" applyBorder="1" applyAlignment="1">
      <alignment horizontal="left" vertical="top"/>
    </xf>
    <xf numFmtId="2" fontId="33" fillId="0" borderId="15" xfId="1388" applyNumberFormat="1" applyBorder="1" applyAlignment="1">
      <alignment horizontal="left" vertical="top"/>
    </xf>
    <xf numFmtId="0" fontId="33" fillId="0" borderId="16" xfId="1388" applyBorder="1" applyAlignment="1">
      <alignment horizontal="left" vertical="top" wrapText="1"/>
    </xf>
    <xf numFmtId="0" fontId="33" fillId="0" borderId="17" xfId="1388" applyBorder="1" applyAlignment="1">
      <alignment horizontal="left" vertical="top" wrapText="1"/>
    </xf>
    <xf numFmtId="0" fontId="33" fillId="0" borderId="18" xfId="1388" applyBorder="1" applyAlignment="1">
      <alignment horizontal="left" vertical="top" wrapText="1"/>
    </xf>
    <xf numFmtId="0" fontId="39" fillId="0" borderId="16" xfId="1388" applyFont="1" applyBorder="1" applyAlignment="1">
      <alignment horizontal="left" vertical="top"/>
    </xf>
    <xf numFmtId="0" fontId="39" fillId="0" borderId="18" xfId="1388" applyFont="1" applyBorder="1" applyAlignment="1">
      <alignment horizontal="left" vertical="top"/>
    </xf>
    <xf numFmtId="0" fontId="33" fillId="0" borderId="16" xfId="1388" applyBorder="1" applyAlignment="1">
      <alignment horizontal="justify" vertical="top" wrapText="1"/>
    </xf>
    <xf numFmtId="0" fontId="33" fillId="0" borderId="17" xfId="1388" applyBorder="1" applyAlignment="1">
      <alignment horizontal="justify" vertical="top" wrapText="1"/>
    </xf>
    <xf numFmtId="0" fontId="33" fillId="0" borderId="18" xfId="1388" applyBorder="1" applyAlignment="1">
      <alignment horizontal="justify" vertical="top" wrapText="1"/>
    </xf>
    <xf numFmtId="0" fontId="138" fillId="0" borderId="0" xfId="1388" applyFont="1" applyAlignment="1">
      <alignment horizontal="center" vertical="top"/>
    </xf>
    <xf numFmtId="0" fontId="139" fillId="0" borderId="17" xfId="1388" applyFont="1" applyBorder="1" applyAlignment="1">
      <alignment horizontal="center" vertical="top" wrapText="1"/>
    </xf>
    <xf numFmtId="0" fontId="39" fillId="0" borderId="17" xfId="1388" applyFont="1" applyBorder="1" applyAlignment="1">
      <alignment horizontal="left" vertical="top"/>
    </xf>
    <xf numFmtId="0" fontId="33" fillId="0" borderId="16" xfId="1388" applyBorder="1" applyAlignment="1">
      <alignment horizontal="center" vertical="top" wrapText="1"/>
    </xf>
    <xf numFmtId="0" fontId="33" fillId="0" borderId="17" xfId="1388" applyBorder="1" applyAlignment="1">
      <alignment horizontal="center" vertical="top" wrapText="1"/>
    </xf>
    <xf numFmtId="0" fontId="33" fillId="0" borderId="18" xfId="1388" applyBorder="1" applyAlignment="1">
      <alignment horizontal="center" vertical="top" wrapText="1"/>
    </xf>
    <xf numFmtId="0" fontId="33" fillId="0" borderId="15" xfId="1388" applyBorder="1" applyAlignment="1">
      <alignment horizontal="justify" vertical="top" wrapText="1"/>
    </xf>
    <xf numFmtId="0" fontId="142" fillId="0" borderId="16" xfId="1388" applyFont="1" applyBorder="1" applyAlignment="1">
      <alignment horizontal="left" vertical="top" wrapText="1"/>
    </xf>
    <xf numFmtId="0" fontId="142" fillId="0" borderId="17" xfId="1388" applyFont="1" applyBorder="1" applyAlignment="1">
      <alignment horizontal="left" vertical="top" wrapText="1"/>
    </xf>
    <xf numFmtId="0" fontId="142" fillId="0" borderId="18" xfId="1388" applyFont="1" applyBorder="1" applyAlignment="1">
      <alignment horizontal="left" vertical="top" wrapText="1"/>
    </xf>
    <xf numFmtId="0" fontId="33" fillId="0" borderId="15" xfId="1388" applyBorder="1" applyAlignment="1">
      <alignment horizontal="center" vertical="top" wrapText="1"/>
    </xf>
    <xf numFmtId="49" fontId="148" fillId="0" borderId="0" xfId="1420" applyNumberFormat="1" applyFont="1" applyAlignment="1">
      <alignment horizontal="left" vertical="center" wrapText="1"/>
    </xf>
    <xf numFmtId="49" fontId="148" fillId="0" borderId="0" xfId="1420" applyNumberFormat="1" applyFont="1" applyAlignment="1">
      <alignment horizontal="center" vertical="center" wrapText="1"/>
    </xf>
    <xf numFmtId="49" fontId="146" fillId="0" borderId="0" xfId="1420" applyNumberFormat="1" applyFont="1" applyAlignment="1">
      <alignment horizontal="center" vertical="center" wrapText="1"/>
    </xf>
    <xf numFmtId="49" fontId="95" fillId="0" borderId="0" xfId="1420" applyNumberFormat="1" applyFont="1" applyAlignment="1">
      <alignment horizontal="center" vertical="center" wrapText="1"/>
    </xf>
    <xf numFmtId="0" fontId="95" fillId="0" borderId="0" xfId="1420" applyFont="1" applyAlignment="1">
      <alignment horizontal="center" vertical="center" wrapText="1"/>
    </xf>
    <xf numFmtId="49" fontId="147" fillId="0" borderId="27" xfId="1420" applyNumberFormat="1" applyFont="1" applyBorder="1" applyAlignment="1">
      <alignment horizontal="center" vertical="center" wrapText="1"/>
    </xf>
    <xf numFmtId="49" fontId="147" fillId="0" borderId="28" xfId="1420" applyNumberFormat="1" applyFont="1" applyBorder="1" applyAlignment="1">
      <alignment horizontal="center" vertical="center" wrapText="1"/>
    </xf>
    <xf numFmtId="0" fontId="154" fillId="0" borderId="31" xfId="1421" applyFont="1" applyBorder="1" applyAlignment="1">
      <alignment horizontal="left" vertical="top" wrapText="1"/>
    </xf>
    <xf numFmtId="0" fontId="154" fillId="0" borderId="33" xfId="1421" applyFont="1" applyBorder="1" applyAlignment="1">
      <alignment horizontal="left" vertical="top" wrapText="1"/>
    </xf>
    <xf numFmtId="49" fontId="154" fillId="0" borderId="36" xfId="1421" applyNumberFormat="1" applyFont="1" applyBorder="1" applyAlignment="1">
      <alignment horizontal="left" vertical="center" wrapText="1"/>
    </xf>
    <xf numFmtId="2" fontId="156" fillId="0" borderId="36" xfId="1421" applyNumberFormat="1" applyFont="1" applyBorder="1" applyAlignment="1">
      <alignment horizontal="center" vertical="center" wrapText="1"/>
    </xf>
    <xf numFmtId="2" fontId="156" fillId="0" borderId="35" xfId="1421" applyNumberFormat="1" applyFont="1" applyBorder="1" applyAlignment="1">
      <alignment horizontal="center" vertical="center" wrapText="1"/>
    </xf>
    <xf numFmtId="49" fontId="148" fillId="0" borderId="0" xfId="1420" applyNumberFormat="1" applyFont="1" applyAlignment="1">
      <alignment horizontal="left" wrapText="1"/>
    </xf>
    <xf numFmtId="49" fontId="148" fillId="0" borderId="0" xfId="1420" applyNumberFormat="1" applyFont="1" applyAlignment="1">
      <alignment horizontal="center" wrapText="1"/>
    </xf>
    <xf numFmtId="0" fontId="157" fillId="0" borderId="0" xfId="1420" applyFont="1" applyAlignment="1">
      <alignment horizontal="justify" vertical="top" wrapText="1"/>
    </xf>
    <xf numFmtId="0" fontId="146" fillId="0" borderId="0" xfId="1420" applyFont="1" applyAlignment="1">
      <alignment horizontal="justify" vertical="center"/>
    </xf>
    <xf numFmtId="0" fontId="146" fillId="0" borderId="0" xfId="1420" applyFont="1" applyAlignment="1">
      <alignment horizontal="center" vertical="center"/>
    </xf>
    <xf numFmtId="0" fontId="95" fillId="0" borderId="0" xfId="1420" applyFont="1" applyAlignment="1">
      <alignment horizontal="center" vertical="center"/>
    </xf>
    <xf numFmtId="0" fontId="95" fillId="0" borderId="0" xfId="1420" applyFont="1" applyAlignment="1">
      <alignment horizontal="justify" vertical="center"/>
    </xf>
    <xf numFmtId="0" fontId="147" fillId="0" borderId="28" xfId="1420" applyFont="1" applyBorder="1" applyAlignment="1">
      <alignment horizontal="center" vertical="center" wrapText="1"/>
    </xf>
    <xf numFmtId="49" fontId="147" fillId="0" borderId="8" xfId="1420" applyNumberFormat="1" applyFont="1" applyBorder="1" applyAlignment="1">
      <alignment horizontal="center" vertical="center" wrapText="1"/>
    </xf>
    <xf numFmtId="0" fontId="146" fillId="0" borderId="0" xfId="1420" applyFont="1" applyAlignment="1">
      <alignment horizontal="left" vertical="center"/>
    </xf>
    <xf numFmtId="0" fontId="95" fillId="0" borderId="0" xfId="1420" applyFont="1" applyAlignment="1">
      <alignment horizontal="left" vertical="center"/>
    </xf>
    <xf numFmtId="49" fontId="143" fillId="0" borderId="0" xfId="1420" applyNumberFormat="1" applyFont="1" applyAlignment="1">
      <alignment horizontal="center" vertical="center" wrapText="1"/>
    </xf>
    <xf numFmtId="0" fontId="144" fillId="0" borderId="0" xfId="1420" applyFont="1"/>
    <xf numFmtId="0" fontId="95" fillId="0" borderId="0" xfId="1420" applyFont="1" applyAlignment="1">
      <alignment horizontal="right" vertical="center"/>
    </xf>
    <xf numFmtId="0" fontId="145" fillId="0" borderId="0" xfId="1420" applyFont="1" applyAlignment="1">
      <alignment horizontal="center" vertical="center" wrapText="1"/>
    </xf>
    <xf numFmtId="0" fontId="146" fillId="0" borderId="0" xfId="1420" applyFont="1" applyAlignment="1">
      <alignment horizontal="left" vertical="top" wrapText="1"/>
    </xf>
    <xf numFmtId="0" fontId="146" fillId="0" borderId="0" xfId="1420" applyFont="1" applyAlignment="1">
      <alignment horizontal="justify" vertical="center" wrapText="1"/>
    </xf>
    <xf numFmtId="0" fontId="95" fillId="0" borderId="0" xfId="1420" applyFont="1" applyAlignment="1">
      <alignment horizontal="justify" vertical="center" wrapText="1"/>
    </xf>
    <xf numFmtId="49" fontId="16" fillId="0" borderId="0" xfId="1420" applyNumberFormat="1" applyFont="1" applyAlignment="1">
      <alignment vertical="center" wrapText="1"/>
    </xf>
    <xf numFmtId="49" fontId="16" fillId="0" borderId="0" xfId="1420" applyNumberFormat="1" applyFont="1" applyAlignment="1">
      <alignment horizontal="left" vertical="center" wrapText="1"/>
    </xf>
    <xf numFmtId="49" fontId="16" fillId="0" borderId="0" xfId="1420" applyNumberFormat="1" applyFont="1" applyAlignment="1">
      <alignment horizontal="center" vertical="center" wrapText="1"/>
    </xf>
    <xf numFmtId="49" fontId="161" fillId="0" borderId="14" xfId="1420" applyNumberFormat="1" applyFont="1" applyBorder="1" applyAlignment="1">
      <alignment horizontal="left" wrapText="1"/>
    </xf>
    <xf numFmtId="49" fontId="161" fillId="0" borderId="4" xfId="1420" applyNumberFormat="1" applyFont="1" applyBorder="1" applyAlignment="1">
      <alignment horizontal="center" vertical="center" wrapText="1"/>
    </xf>
    <xf numFmtId="49" fontId="23" fillId="0" borderId="0" xfId="1420" applyNumberFormat="1" applyFont="1" applyAlignment="1">
      <alignment horizontal="left" vertical="center" wrapText="1"/>
    </xf>
    <xf numFmtId="49" fontId="16" fillId="0" borderId="0" xfId="1420" applyNumberFormat="1" applyFont="1" applyAlignment="1">
      <alignment horizontal="justify" vertical="center" wrapText="1"/>
    </xf>
    <xf numFmtId="0" fontId="16" fillId="0" borderId="0" xfId="1420" applyFont="1" applyAlignment="1">
      <alignment horizontal="center"/>
    </xf>
    <xf numFmtId="49" fontId="161" fillId="0" borderId="14" xfId="1420" applyNumberFormat="1" applyFont="1" applyBorder="1" applyAlignment="1">
      <alignment horizontal="center" vertical="center" wrapText="1"/>
    </xf>
    <xf numFmtId="49" fontId="16" fillId="0" borderId="14" xfId="1420" applyNumberFormat="1" applyFont="1" applyBorder="1" applyAlignment="1">
      <alignment horizontal="center" vertical="center" wrapText="1"/>
    </xf>
    <xf numFmtId="0" fontId="14" fillId="0" borderId="0" xfId="1420" applyFont="1" applyAlignment="1">
      <alignment horizontal="left"/>
    </xf>
    <xf numFmtId="49" fontId="16" fillId="0" borderId="10" xfId="1420" applyNumberFormat="1" applyFont="1" applyBorder="1" applyAlignment="1">
      <alignment horizontal="left" vertical="center" wrapText="1"/>
    </xf>
    <xf numFmtId="49" fontId="160" fillId="0" borderId="0" xfId="1420" applyNumberFormat="1" applyFont="1" applyAlignment="1">
      <alignment horizontal="left" vertical="center" wrapText="1"/>
    </xf>
    <xf numFmtId="0" fontId="13" fillId="0" borderId="0" xfId="1420" applyAlignment="1">
      <alignment horizontal="center"/>
    </xf>
    <xf numFmtId="0" fontId="162" fillId="0" borderId="0" xfId="1424" applyFont="1" applyAlignment="1">
      <alignment horizontal="justify" vertical="top" wrapText="1"/>
    </xf>
    <xf numFmtId="0" fontId="162" fillId="0" borderId="0" xfId="1423" applyFont="1" applyAlignment="1">
      <alignment horizontal="left" vertical="top" wrapText="1"/>
    </xf>
    <xf numFmtId="0" fontId="163" fillId="0" borderId="0" xfId="1423" applyFont="1" applyAlignment="1">
      <alignment horizontal="center"/>
    </xf>
    <xf numFmtId="0" fontId="163" fillId="0" borderId="0" xfId="1391" applyFont="1" applyAlignment="1">
      <alignment horizontal="center" vertical="top"/>
    </xf>
    <xf numFmtId="0" fontId="162" fillId="0" borderId="0" xfId="1391" applyFont="1" applyAlignment="1">
      <alignment horizontal="justify" vertical="justify" wrapText="1"/>
    </xf>
    <xf numFmtId="0" fontId="162" fillId="0" borderId="0" xfId="1391" applyFont="1" applyAlignment="1">
      <alignment horizontal="justify" vertical="justify"/>
    </xf>
  </cellXfs>
  <cellStyles count="1672">
    <cellStyle name="20% - Accent1 10" xfId="179" xr:uid="{00000000-0005-0000-0000-000000000000}"/>
    <cellStyle name="20% - Accent1 11" xfId="180" xr:uid="{00000000-0005-0000-0000-000001000000}"/>
    <cellStyle name="20% - Accent1 2" xfId="1" xr:uid="{00000000-0005-0000-0000-000002000000}"/>
    <cellStyle name="20% - Accent1 3" xfId="181" xr:uid="{00000000-0005-0000-0000-000003000000}"/>
    <cellStyle name="20% - Accent1 4" xfId="182" xr:uid="{00000000-0005-0000-0000-000004000000}"/>
    <cellStyle name="20% - Accent1 5" xfId="183" xr:uid="{00000000-0005-0000-0000-000005000000}"/>
    <cellStyle name="20% - Accent1 6" xfId="184" xr:uid="{00000000-0005-0000-0000-000006000000}"/>
    <cellStyle name="20% - Accent1 7" xfId="185" xr:uid="{00000000-0005-0000-0000-000007000000}"/>
    <cellStyle name="20% - Accent1 8" xfId="186" xr:uid="{00000000-0005-0000-0000-000008000000}"/>
    <cellStyle name="20% - Accent1 9" xfId="187" xr:uid="{00000000-0005-0000-0000-000009000000}"/>
    <cellStyle name="20% - Accent2 10" xfId="188" xr:uid="{00000000-0005-0000-0000-00000A000000}"/>
    <cellStyle name="20% - Accent2 11" xfId="189" xr:uid="{00000000-0005-0000-0000-00000B000000}"/>
    <cellStyle name="20% - Accent2 2" xfId="2" xr:uid="{00000000-0005-0000-0000-00000C000000}"/>
    <cellStyle name="20% - Accent2 3" xfId="190" xr:uid="{00000000-0005-0000-0000-00000D000000}"/>
    <cellStyle name="20% - Accent2 4" xfId="191" xr:uid="{00000000-0005-0000-0000-00000E000000}"/>
    <cellStyle name="20% - Accent2 5" xfId="192" xr:uid="{00000000-0005-0000-0000-00000F000000}"/>
    <cellStyle name="20% - Accent2 6" xfId="193" xr:uid="{00000000-0005-0000-0000-000010000000}"/>
    <cellStyle name="20% - Accent2 7" xfId="194" xr:uid="{00000000-0005-0000-0000-000011000000}"/>
    <cellStyle name="20% - Accent2 8" xfId="195" xr:uid="{00000000-0005-0000-0000-000012000000}"/>
    <cellStyle name="20% - Accent2 9" xfId="196" xr:uid="{00000000-0005-0000-0000-000013000000}"/>
    <cellStyle name="20% - Accent3 10" xfId="197" xr:uid="{00000000-0005-0000-0000-000014000000}"/>
    <cellStyle name="20% - Accent3 11" xfId="198" xr:uid="{00000000-0005-0000-0000-000015000000}"/>
    <cellStyle name="20% - Accent3 2" xfId="3" xr:uid="{00000000-0005-0000-0000-000016000000}"/>
    <cellStyle name="20% - Accent3 3" xfId="199" xr:uid="{00000000-0005-0000-0000-000017000000}"/>
    <cellStyle name="20% - Accent3 4" xfId="200" xr:uid="{00000000-0005-0000-0000-000018000000}"/>
    <cellStyle name="20% - Accent3 5" xfId="201" xr:uid="{00000000-0005-0000-0000-000019000000}"/>
    <cellStyle name="20% - Accent3 6" xfId="202" xr:uid="{00000000-0005-0000-0000-00001A000000}"/>
    <cellStyle name="20% - Accent3 7" xfId="203" xr:uid="{00000000-0005-0000-0000-00001B000000}"/>
    <cellStyle name="20% - Accent3 8" xfId="204" xr:uid="{00000000-0005-0000-0000-00001C000000}"/>
    <cellStyle name="20% - Accent3 9" xfId="205" xr:uid="{00000000-0005-0000-0000-00001D000000}"/>
    <cellStyle name="20% - Accent4 10" xfId="206" xr:uid="{00000000-0005-0000-0000-00001E000000}"/>
    <cellStyle name="20% - Accent4 11" xfId="207" xr:uid="{00000000-0005-0000-0000-00001F000000}"/>
    <cellStyle name="20% - Accent4 2" xfId="4" xr:uid="{00000000-0005-0000-0000-000020000000}"/>
    <cellStyle name="20% - Accent4 3" xfId="208" xr:uid="{00000000-0005-0000-0000-000021000000}"/>
    <cellStyle name="20% - Accent4 4" xfId="209" xr:uid="{00000000-0005-0000-0000-000022000000}"/>
    <cellStyle name="20% - Accent4 5" xfId="210" xr:uid="{00000000-0005-0000-0000-000023000000}"/>
    <cellStyle name="20% - Accent4 6" xfId="211" xr:uid="{00000000-0005-0000-0000-000024000000}"/>
    <cellStyle name="20% - Accent4 7" xfId="212" xr:uid="{00000000-0005-0000-0000-000025000000}"/>
    <cellStyle name="20% - Accent4 8" xfId="213" xr:uid="{00000000-0005-0000-0000-000026000000}"/>
    <cellStyle name="20% - Accent4 9" xfId="214" xr:uid="{00000000-0005-0000-0000-000027000000}"/>
    <cellStyle name="20% - Accent5 10" xfId="215" xr:uid="{00000000-0005-0000-0000-000028000000}"/>
    <cellStyle name="20% - Accent5 11" xfId="216" xr:uid="{00000000-0005-0000-0000-000029000000}"/>
    <cellStyle name="20% - Accent5 2" xfId="5" xr:uid="{00000000-0005-0000-0000-00002A000000}"/>
    <cellStyle name="20% - Accent5 3" xfId="217" xr:uid="{00000000-0005-0000-0000-00002B000000}"/>
    <cellStyle name="20% - Accent5 4" xfId="218" xr:uid="{00000000-0005-0000-0000-00002C000000}"/>
    <cellStyle name="20% - Accent5 5" xfId="219" xr:uid="{00000000-0005-0000-0000-00002D000000}"/>
    <cellStyle name="20% - Accent5 6" xfId="220" xr:uid="{00000000-0005-0000-0000-00002E000000}"/>
    <cellStyle name="20% - Accent5 7" xfId="221" xr:uid="{00000000-0005-0000-0000-00002F000000}"/>
    <cellStyle name="20% - Accent5 8" xfId="222" xr:uid="{00000000-0005-0000-0000-000030000000}"/>
    <cellStyle name="20% - Accent5 9" xfId="223" xr:uid="{00000000-0005-0000-0000-000031000000}"/>
    <cellStyle name="20% - Accent6 10" xfId="224" xr:uid="{00000000-0005-0000-0000-000032000000}"/>
    <cellStyle name="20% - Accent6 11" xfId="225" xr:uid="{00000000-0005-0000-0000-000033000000}"/>
    <cellStyle name="20% - Accent6 2" xfId="6" xr:uid="{00000000-0005-0000-0000-000034000000}"/>
    <cellStyle name="20% - Accent6 3" xfId="226" xr:uid="{00000000-0005-0000-0000-000035000000}"/>
    <cellStyle name="20% - Accent6 4" xfId="227" xr:uid="{00000000-0005-0000-0000-000036000000}"/>
    <cellStyle name="20% - Accent6 5" xfId="228" xr:uid="{00000000-0005-0000-0000-000037000000}"/>
    <cellStyle name="20% - Accent6 6" xfId="229" xr:uid="{00000000-0005-0000-0000-000038000000}"/>
    <cellStyle name="20% - Accent6 7" xfId="230" xr:uid="{00000000-0005-0000-0000-000039000000}"/>
    <cellStyle name="20% - Accent6 8" xfId="231" xr:uid="{00000000-0005-0000-0000-00003A000000}"/>
    <cellStyle name="20% - Accent6 9" xfId="232" xr:uid="{00000000-0005-0000-0000-00003B000000}"/>
    <cellStyle name="40% - Accent1 10" xfId="233" xr:uid="{00000000-0005-0000-0000-00003C000000}"/>
    <cellStyle name="40% - Accent1 11" xfId="234" xr:uid="{00000000-0005-0000-0000-00003D000000}"/>
    <cellStyle name="40% - Accent1 2" xfId="7" xr:uid="{00000000-0005-0000-0000-00003E000000}"/>
    <cellStyle name="40% - Accent1 3" xfId="235" xr:uid="{00000000-0005-0000-0000-00003F000000}"/>
    <cellStyle name="40% - Accent1 4" xfId="236" xr:uid="{00000000-0005-0000-0000-000040000000}"/>
    <cellStyle name="40% - Accent1 5" xfId="237" xr:uid="{00000000-0005-0000-0000-000041000000}"/>
    <cellStyle name="40% - Accent1 6" xfId="238" xr:uid="{00000000-0005-0000-0000-000042000000}"/>
    <cellStyle name="40% - Accent1 7" xfId="239" xr:uid="{00000000-0005-0000-0000-000043000000}"/>
    <cellStyle name="40% - Accent1 8" xfId="240" xr:uid="{00000000-0005-0000-0000-000044000000}"/>
    <cellStyle name="40% - Accent1 9" xfId="241" xr:uid="{00000000-0005-0000-0000-000045000000}"/>
    <cellStyle name="40% - Accent2 10" xfId="242" xr:uid="{00000000-0005-0000-0000-000046000000}"/>
    <cellStyle name="40% - Accent2 11" xfId="243" xr:uid="{00000000-0005-0000-0000-000047000000}"/>
    <cellStyle name="40% - Accent2 2" xfId="8" xr:uid="{00000000-0005-0000-0000-000048000000}"/>
    <cellStyle name="40% - Accent2 3" xfId="244" xr:uid="{00000000-0005-0000-0000-000049000000}"/>
    <cellStyle name="40% - Accent2 4" xfId="245" xr:uid="{00000000-0005-0000-0000-00004A000000}"/>
    <cellStyle name="40% - Accent2 5" xfId="246" xr:uid="{00000000-0005-0000-0000-00004B000000}"/>
    <cellStyle name="40% - Accent2 6" xfId="247" xr:uid="{00000000-0005-0000-0000-00004C000000}"/>
    <cellStyle name="40% - Accent2 7" xfId="248" xr:uid="{00000000-0005-0000-0000-00004D000000}"/>
    <cellStyle name="40% - Accent2 8" xfId="249" xr:uid="{00000000-0005-0000-0000-00004E000000}"/>
    <cellStyle name="40% - Accent2 9" xfId="250" xr:uid="{00000000-0005-0000-0000-00004F000000}"/>
    <cellStyle name="40% - Accent3 10" xfId="251" xr:uid="{00000000-0005-0000-0000-000050000000}"/>
    <cellStyle name="40% - Accent3 11" xfId="252" xr:uid="{00000000-0005-0000-0000-000051000000}"/>
    <cellStyle name="40% - Accent3 2" xfId="9" xr:uid="{00000000-0005-0000-0000-000052000000}"/>
    <cellStyle name="40% - Accent3 3" xfId="253" xr:uid="{00000000-0005-0000-0000-000053000000}"/>
    <cellStyle name="40% - Accent3 4" xfId="254" xr:uid="{00000000-0005-0000-0000-000054000000}"/>
    <cellStyle name="40% - Accent3 5" xfId="255" xr:uid="{00000000-0005-0000-0000-000055000000}"/>
    <cellStyle name="40% - Accent3 6" xfId="256" xr:uid="{00000000-0005-0000-0000-000056000000}"/>
    <cellStyle name="40% - Accent3 7" xfId="257" xr:uid="{00000000-0005-0000-0000-000057000000}"/>
    <cellStyle name="40% - Accent3 8" xfId="258" xr:uid="{00000000-0005-0000-0000-000058000000}"/>
    <cellStyle name="40% - Accent3 9" xfId="259" xr:uid="{00000000-0005-0000-0000-000059000000}"/>
    <cellStyle name="40% - Accent4 10" xfId="260" xr:uid="{00000000-0005-0000-0000-00005A000000}"/>
    <cellStyle name="40% - Accent4 11" xfId="261" xr:uid="{00000000-0005-0000-0000-00005B000000}"/>
    <cellStyle name="40% - Accent4 2" xfId="10" xr:uid="{00000000-0005-0000-0000-00005C000000}"/>
    <cellStyle name="40% - Accent4 3" xfId="262" xr:uid="{00000000-0005-0000-0000-00005D000000}"/>
    <cellStyle name="40% - Accent4 4" xfId="263" xr:uid="{00000000-0005-0000-0000-00005E000000}"/>
    <cellStyle name="40% - Accent4 5" xfId="264" xr:uid="{00000000-0005-0000-0000-00005F000000}"/>
    <cellStyle name="40% - Accent4 6" xfId="265" xr:uid="{00000000-0005-0000-0000-000060000000}"/>
    <cellStyle name="40% - Accent4 7" xfId="266" xr:uid="{00000000-0005-0000-0000-000061000000}"/>
    <cellStyle name="40% - Accent4 8" xfId="267" xr:uid="{00000000-0005-0000-0000-000062000000}"/>
    <cellStyle name="40% - Accent4 9" xfId="268" xr:uid="{00000000-0005-0000-0000-000063000000}"/>
    <cellStyle name="40% - Accent5 10" xfId="269" xr:uid="{00000000-0005-0000-0000-000064000000}"/>
    <cellStyle name="40% - Accent5 11" xfId="270" xr:uid="{00000000-0005-0000-0000-000065000000}"/>
    <cellStyle name="40% - Accent5 2" xfId="11" xr:uid="{00000000-0005-0000-0000-000066000000}"/>
    <cellStyle name="40% - Accent5 3" xfId="271" xr:uid="{00000000-0005-0000-0000-000067000000}"/>
    <cellStyle name="40% - Accent5 4" xfId="272" xr:uid="{00000000-0005-0000-0000-000068000000}"/>
    <cellStyle name="40% - Accent5 5" xfId="273" xr:uid="{00000000-0005-0000-0000-000069000000}"/>
    <cellStyle name="40% - Accent5 6" xfId="274" xr:uid="{00000000-0005-0000-0000-00006A000000}"/>
    <cellStyle name="40% - Accent5 7" xfId="275" xr:uid="{00000000-0005-0000-0000-00006B000000}"/>
    <cellStyle name="40% - Accent5 8" xfId="276" xr:uid="{00000000-0005-0000-0000-00006C000000}"/>
    <cellStyle name="40% - Accent5 9" xfId="277" xr:uid="{00000000-0005-0000-0000-00006D000000}"/>
    <cellStyle name="40% - Accent6 10" xfId="278" xr:uid="{00000000-0005-0000-0000-00006E000000}"/>
    <cellStyle name="40% - Accent6 11" xfId="279" xr:uid="{00000000-0005-0000-0000-00006F000000}"/>
    <cellStyle name="40% - Accent6 2" xfId="12" xr:uid="{00000000-0005-0000-0000-000070000000}"/>
    <cellStyle name="40% - Accent6 3" xfId="280" xr:uid="{00000000-0005-0000-0000-000071000000}"/>
    <cellStyle name="40% - Accent6 4" xfId="281" xr:uid="{00000000-0005-0000-0000-000072000000}"/>
    <cellStyle name="40% - Accent6 5" xfId="282" xr:uid="{00000000-0005-0000-0000-000073000000}"/>
    <cellStyle name="40% - Accent6 6" xfId="283" xr:uid="{00000000-0005-0000-0000-000074000000}"/>
    <cellStyle name="40% - Accent6 7" xfId="284" xr:uid="{00000000-0005-0000-0000-000075000000}"/>
    <cellStyle name="40% - Accent6 8" xfId="285" xr:uid="{00000000-0005-0000-0000-000076000000}"/>
    <cellStyle name="40% - Accent6 9" xfId="286" xr:uid="{00000000-0005-0000-0000-000077000000}"/>
    <cellStyle name="60% - Accent1 10" xfId="287" xr:uid="{00000000-0005-0000-0000-000078000000}"/>
    <cellStyle name="60% - Accent1 11" xfId="288" xr:uid="{00000000-0005-0000-0000-000079000000}"/>
    <cellStyle name="60% - Accent1 2" xfId="13" xr:uid="{00000000-0005-0000-0000-00007A000000}"/>
    <cellStyle name="60% - Accent1 3" xfId="289" xr:uid="{00000000-0005-0000-0000-00007B000000}"/>
    <cellStyle name="60% - Accent1 4" xfId="290" xr:uid="{00000000-0005-0000-0000-00007C000000}"/>
    <cellStyle name="60% - Accent1 5" xfId="291" xr:uid="{00000000-0005-0000-0000-00007D000000}"/>
    <cellStyle name="60% - Accent1 6" xfId="292" xr:uid="{00000000-0005-0000-0000-00007E000000}"/>
    <cellStyle name="60% - Accent1 7" xfId="293" xr:uid="{00000000-0005-0000-0000-00007F000000}"/>
    <cellStyle name="60% - Accent1 8" xfId="294" xr:uid="{00000000-0005-0000-0000-000080000000}"/>
    <cellStyle name="60% - Accent1 9" xfId="295" xr:uid="{00000000-0005-0000-0000-000081000000}"/>
    <cellStyle name="60% - Accent2 10" xfId="296" xr:uid="{00000000-0005-0000-0000-000082000000}"/>
    <cellStyle name="60% - Accent2 11" xfId="297" xr:uid="{00000000-0005-0000-0000-000083000000}"/>
    <cellStyle name="60% - Accent2 2" xfId="14" xr:uid="{00000000-0005-0000-0000-000084000000}"/>
    <cellStyle name="60% - Accent2 3" xfId="298" xr:uid="{00000000-0005-0000-0000-000085000000}"/>
    <cellStyle name="60% - Accent2 4" xfId="299" xr:uid="{00000000-0005-0000-0000-000086000000}"/>
    <cellStyle name="60% - Accent2 5" xfId="300" xr:uid="{00000000-0005-0000-0000-000087000000}"/>
    <cellStyle name="60% - Accent2 6" xfId="301" xr:uid="{00000000-0005-0000-0000-000088000000}"/>
    <cellStyle name="60% - Accent2 7" xfId="302" xr:uid="{00000000-0005-0000-0000-000089000000}"/>
    <cellStyle name="60% - Accent2 8" xfId="303" xr:uid="{00000000-0005-0000-0000-00008A000000}"/>
    <cellStyle name="60% - Accent2 9" xfId="304" xr:uid="{00000000-0005-0000-0000-00008B000000}"/>
    <cellStyle name="60% - Accent3 10" xfId="305" xr:uid="{00000000-0005-0000-0000-00008C000000}"/>
    <cellStyle name="60% - Accent3 11" xfId="306" xr:uid="{00000000-0005-0000-0000-00008D000000}"/>
    <cellStyle name="60% - Accent3 2" xfId="15" xr:uid="{00000000-0005-0000-0000-00008E000000}"/>
    <cellStyle name="60% - Accent3 3" xfId="307" xr:uid="{00000000-0005-0000-0000-00008F000000}"/>
    <cellStyle name="60% - Accent3 4" xfId="308" xr:uid="{00000000-0005-0000-0000-000090000000}"/>
    <cellStyle name="60% - Accent3 5" xfId="309" xr:uid="{00000000-0005-0000-0000-000091000000}"/>
    <cellStyle name="60% - Accent3 6" xfId="310" xr:uid="{00000000-0005-0000-0000-000092000000}"/>
    <cellStyle name="60% - Accent3 7" xfId="311" xr:uid="{00000000-0005-0000-0000-000093000000}"/>
    <cellStyle name="60% - Accent3 8" xfId="312" xr:uid="{00000000-0005-0000-0000-000094000000}"/>
    <cellStyle name="60% - Accent3 9" xfId="313" xr:uid="{00000000-0005-0000-0000-000095000000}"/>
    <cellStyle name="60% - Accent4 10" xfId="314" xr:uid="{00000000-0005-0000-0000-000096000000}"/>
    <cellStyle name="60% - Accent4 11" xfId="315" xr:uid="{00000000-0005-0000-0000-000097000000}"/>
    <cellStyle name="60% - Accent4 2" xfId="16" xr:uid="{00000000-0005-0000-0000-000098000000}"/>
    <cellStyle name="60% - Accent4 3" xfId="316" xr:uid="{00000000-0005-0000-0000-000099000000}"/>
    <cellStyle name="60% - Accent4 4" xfId="317" xr:uid="{00000000-0005-0000-0000-00009A000000}"/>
    <cellStyle name="60% - Accent4 5" xfId="318" xr:uid="{00000000-0005-0000-0000-00009B000000}"/>
    <cellStyle name="60% - Accent4 6" xfId="319" xr:uid="{00000000-0005-0000-0000-00009C000000}"/>
    <cellStyle name="60% - Accent4 7" xfId="320" xr:uid="{00000000-0005-0000-0000-00009D000000}"/>
    <cellStyle name="60% - Accent4 8" xfId="321" xr:uid="{00000000-0005-0000-0000-00009E000000}"/>
    <cellStyle name="60% - Accent4 9" xfId="322" xr:uid="{00000000-0005-0000-0000-00009F000000}"/>
    <cellStyle name="60% - Accent5 10" xfId="323" xr:uid="{00000000-0005-0000-0000-0000A0000000}"/>
    <cellStyle name="60% - Accent5 11" xfId="324" xr:uid="{00000000-0005-0000-0000-0000A1000000}"/>
    <cellStyle name="60% - Accent5 2" xfId="17" xr:uid="{00000000-0005-0000-0000-0000A2000000}"/>
    <cellStyle name="60% - Accent5 3" xfId="325" xr:uid="{00000000-0005-0000-0000-0000A3000000}"/>
    <cellStyle name="60% - Accent5 4" xfId="326" xr:uid="{00000000-0005-0000-0000-0000A4000000}"/>
    <cellStyle name="60% - Accent5 5" xfId="327" xr:uid="{00000000-0005-0000-0000-0000A5000000}"/>
    <cellStyle name="60% - Accent5 6" xfId="328" xr:uid="{00000000-0005-0000-0000-0000A6000000}"/>
    <cellStyle name="60% - Accent5 7" xfId="329" xr:uid="{00000000-0005-0000-0000-0000A7000000}"/>
    <cellStyle name="60% - Accent5 8" xfId="330" xr:uid="{00000000-0005-0000-0000-0000A8000000}"/>
    <cellStyle name="60% - Accent5 9" xfId="331" xr:uid="{00000000-0005-0000-0000-0000A9000000}"/>
    <cellStyle name="60% - Accent6 10" xfId="332" xr:uid="{00000000-0005-0000-0000-0000AA000000}"/>
    <cellStyle name="60% - Accent6 11" xfId="333" xr:uid="{00000000-0005-0000-0000-0000AB000000}"/>
    <cellStyle name="60% - Accent6 2" xfId="18" xr:uid="{00000000-0005-0000-0000-0000AC000000}"/>
    <cellStyle name="60% - Accent6 3" xfId="334" xr:uid="{00000000-0005-0000-0000-0000AD000000}"/>
    <cellStyle name="60% - Accent6 4" xfId="335" xr:uid="{00000000-0005-0000-0000-0000AE000000}"/>
    <cellStyle name="60% - Accent6 5" xfId="336" xr:uid="{00000000-0005-0000-0000-0000AF000000}"/>
    <cellStyle name="60% - Accent6 6" xfId="337" xr:uid="{00000000-0005-0000-0000-0000B0000000}"/>
    <cellStyle name="60% - Accent6 7" xfId="338" xr:uid="{00000000-0005-0000-0000-0000B1000000}"/>
    <cellStyle name="60% - Accent6 8" xfId="339" xr:uid="{00000000-0005-0000-0000-0000B2000000}"/>
    <cellStyle name="60% - Accent6 9" xfId="340" xr:uid="{00000000-0005-0000-0000-0000B3000000}"/>
    <cellStyle name="Accent1 - 20%" xfId="19" xr:uid="{00000000-0005-0000-0000-0000B4000000}"/>
    <cellStyle name="Accent1 - 20% 2" xfId="341" xr:uid="{00000000-0005-0000-0000-0000B5000000}"/>
    <cellStyle name="Accent1 - 20% 3" xfId="342" xr:uid="{00000000-0005-0000-0000-0000B6000000}"/>
    <cellStyle name="Accent1 - 20% 4" xfId="343" xr:uid="{00000000-0005-0000-0000-0000B7000000}"/>
    <cellStyle name="Accent1 - 40%" xfId="20" xr:uid="{00000000-0005-0000-0000-0000B8000000}"/>
    <cellStyle name="Accent1 - 40% 2" xfId="344" xr:uid="{00000000-0005-0000-0000-0000B9000000}"/>
    <cellStyle name="Accent1 - 40% 3" xfId="345" xr:uid="{00000000-0005-0000-0000-0000BA000000}"/>
    <cellStyle name="Accent1 - 40% 4" xfId="346" xr:uid="{00000000-0005-0000-0000-0000BB000000}"/>
    <cellStyle name="Accent1 - 60%" xfId="21" xr:uid="{00000000-0005-0000-0000-0000BC000000}"/>
    <cellStyle name="Accent1 10" xfId="347" xr:uid="{00000000-0005-0000-0000-0000BD000000}"/>
    <cellStyle name="Accent1 11" xfId="348" xr:uid="{00000000-0005-0000-0000-0000BE000000}"/>
    <cellStyle name="Accent1 12" xfId="349" xr:uid="{00000000-0005-0000-0000-0000BF000000}"/>
    <cellStyle name="Accent1 13" xfId="350" xr:uid="{00000000-0005-0000-0000-0000C0000000}"/>
    <cellStyle name="Accent1 14" xfId="351" xr:uid="{00000000-0005-0000-0000-0000C1000000}"/>
    <cellStyle name="Accent1 15" xfId="352" xr:uid="{00000000-0005-0000-0000-0000C2000000}"/>
    <cellStyle name="Accent1 16" xfId="353" xr:uid="{00000000-0005-0000-0000-0000C3000000}"/>
    <cellStyle name="Accent1 2" xfId="22" xr:uid="{00000000-0005-0000-0000-0000C4000000}"/>
    <cellStyle name="Accent1 2 2" xfId="354" xr:uid="{00000000-0005-0000-0000-0000C5000000}"/>
    <cellStyle name="Accent1 2 3" xfId="355" xr:uid="{00000000-0005-0000-0000-0000C6000000}"/>
    <cellStyle name="Accent1 3" xfId="356" xr:uid="{00000000-0005-0000-0000-0000C7000000}"/>
    <cellStyle name="Accent1 3 2" xfId="357" xr:uid="{00000000-0005-0000-0000-0000C8000000}"/>
    <cellStyle name="Accent1 4" xfId="358" xr:uid="{00000000-0005-0000-0000-0000C9000000}"/>
    <cellStyle name="Accent1 5" xfId="359" xr:uid="{00000000-0005-0000-0000-0000CA000000}"/>
    <cellStyle name="Accent1 6" xfId="360" xr:uid="{00000000-0005-0000-0000-0000CB000000}"/>
    <cellStyle name="Accent1 7" xfId="361" xr:uid="{00000000-0005-0000-0000-0000CC000000}"/>
    <cellStyle name="Accent1 8" xfId="362" xr:uid="{00000000-0005-0000-0000-0000CD000000}"/>
    <cellStyle name="Accent1 9" xfId="363" xr:uid="{00000000-0005-0000-0000-0000CE000000}"/>
    <cellStyle name="Accent2 - 20%" xfId="23" xr:uid="{00000000-0005-0000-0000-0000CF000000}"/>
    <cellStyle name="Accent2 - 20% 2" xfId="364" xr:uid="{00000000-0005-0000-0000-0000D0000000}"/>
    <cellStyle name="Accent2 - 20% 3" xfId="365" xr:uid="{00000000-0005-0000-0000-0000D1000000}"/>
    <cellStyle name="Accent2 - 20% 4" xfId="366" xr:uid="{00000000-0005-0000-0000-0000D2000000}"/>
    <cellStyle name="Accent2 - 40%" xfId="24" xr:uid="{00000000-0005-0000-0000-0000D3000000}"/>
    <cellStyle name="Accent2 - 40% 2" xfId="367" xr:uid="{00000000-0005-0000-0000-0000D4000000}"/>
    <cellStyle name="Accent2 - 40% 3" xfId="368" xr:uid="{00000000-0005-0000-0000-0000D5000000}"/>
    <cellStyle name="Accent2 - 40% 4" xfId="369" xr:uid="{00000000-0005-0000-0000-0000D6000000}"/>
    <cellStyle name="Accent2 - 60%" xfId="25" xr:uid="{00000000-0005-0000-0000-0000D7000000}"/>
    <cellStyle name="Accent2 10" xfId="370" xr:uid="{00000000-0005-0000-0000-0000D8000000}"/>
    <cellStyle name="Accent2 11" xfId="371" xr:uid="{00000000-0005-0000-0000-0000D9000000}"/>
    <cellStyle name="Accent2 12" xfId="372" xr:uid="{00000000-0005-0000-0000-0000DA000000}"/>
    <cellStyle name="Accent2 13" xfId="373" xr:uid="{00000000-0005-0000-0000-0000DB000000}"/>
    <cellStyle name="Accent2 14" xfId="374" xr:uid="{00000000-0005-0000-0000-0000DC000000}"/>
    <cellStyle name="Accent2 15" xfId="375" xr:uid="{00000000-0005-0000-0000-0000DD000000}"/>
    <cellStyle name="Accent2 16" xfId="376" xr:uid="{00000000-0005-0000-0000-0000DE000000}"/>
    <cellStyle name="Accent2 2" xfId="26" xr:uid="{00000000-0005-0000-0000-0000DF000000}"/>
    <cellStyle name="Accent2 2 2" xfId="377" xr:uid="{00000000-0005-0000-0000-0000E0000000}"/>
    <cellStyle name="Accent2 2 3" xfId="378" xr:uid="{00000000-0005-0000-0000-0000E1000000}"/>
    <cellStyle name="Accent2 3" xfId="379" xr:uid="{00000000-0005-0000-0000-0000E2000000}"/>
    <cellStyle name="Accent2 3 2" xfId="380" xr:uid="{00000000-0005-0000-0000-0000E3000000}"/>
    <cellStyle name="Accent2 4" xfId="381" xr:uid="{00000000-0005-0000-0000-0000E4000000}"/>
    <cellStyle name="Accent2 5" xfId="382" xr:uid="{00000000-0005-0000-0000-0000E5000000}"/>
    <cellStyle name="Accent2 6" xfId="383" xr:uid="{00000000-0005-0000-0000-0000E6000000}"/>
    <cellStyle name="Accent2 7" xfId="384" xr:uid="{00000000-0005-0000-0000-0000E7000000}"/>
    <cellStyle name="Accent2 8" xfId="385" xr:uid="{00000000-0005-0000-0000-0000E8000000}"/>
    <cellStyle name="Accent2 9" xfId="386" xr:uid="{00000000-0005-0000-0000-0000E9000000}"/>
    <cellStyle name="Accent3 - 20%" xfId="27" xr:uid="{00000000-0005-0000-0000-0000EA000000}"/>
    <cellStyle name="Accent3 - 20% 2" xfId="387" xr:uid="{00000000-0005-0000-0000-0000EB000000}"/>
    <cellStyle name="Accent3 - 20% 3" xfId="388" xr:uid="{00000000-0005-0000-0000-0000EC000000}"/>
    <cellStyle name="Accent3 - 20% 4" xfId="389" xr:uid="{00000000-0005-0000-0000-0000ED000000}"/>
    <cellStyle name="Accent3 - 40%" xfId="28" xr:uid="{00000000-0005-0000-0000-0000EE000000}"/>
    <cellStyle name="Accent3 - 40% 2" xfId="390" xr:uid="{00000000-0005-0000-0000-0000EF000000}"/>
    <cellStyle name="Accent3 - 40% 3" xfId="391" xr:uid="{00000000-0005-0000-0000-0000F0000000}"/>
    <cellStyle name="Accent3 - 40% 4" xfId="392" xr:uid="{00000000-0005-0000-0000-0000F1000000}"/>
    <cellStyle name="Accent3 - 60%" xfId="29" xr:uid="{00000000-0005-0000-0000-0000F2000000}"/>
    <cellStyle name="Accent3 10" xfId="393" xr:uid="{00000000-0005-0000-0000-0000F3000000}"/>
    <cellStyle name="Accent3 11" xfId="394" xr:uid="{00000000-0005-0000-0000-0000F4000000}"/>
    <cellStyle name="Accent3 12" xfId="395" xr:uid="{00000000-0005-0000-0000-0000F5000000}"/>
    <cellStyle name="Accent3 13" xfId="396" xr:uid="{00000000-0005-0000-0000-0000F6000000}"/>
    <cellStyle name="Accent3 14" xfId="397" xr:uid="{00000000-0005-0000-0000-0000F7000000}"/>
    <cellStyle name="Accent3 15" xfId="398" xr:uid="{00000000-0005-0000-0000-0000F8000000}"/>
    <cellStyle name="Accent3 16" xfId="399" xr:uid="{00000000-0005-0000-0000-0000F9000000}"/>
    <cellStyle name="Accent3 2" xfId="30" xr:uid="{00000000-0005-0000-0000-0000FA000000}"/>
    <cellStyle name="Accent3 2 2" xfId="400" xr:uid="{00000000-0005-0000-0000-0000FB000000}"/>
    <cellStyle name="Accent3 2 3" xfId="401" xr:uid="{00000000-0005-0000-0000-0000FC000000}"/>
    <cellStyle name="Accent3 3" xfId="402" xr:uid="{00000000-0005-0000-0000-0000FD000000}"/>
    <cellStyle name="Accent3 3 2" xfId="403" xr:uid="{00000000-0005-0000-0000-0000FE000000}"/>
    <cellStyle name="Accent3 4" xfId="404" xr:uid="{00000000-0005-0000-0000-0000FF000000}"/>
    <cellStyle name="Accent3 5" xfId="405" xr:uid="{00000000-0005-0000-0000-000000010000}"/>
    <cellStyle name="Accent3 6" xfId="406" xr:uid="{00000000-0005-0000-0000-000001010000}"/>
    <cellStyle name="Accent3 7" xfId="407" xr:uid="{00000000-0005-0000-0000-000002010000}"/>
    <cellStyle name="Accent3 8" xfId="408" xr:uid="{00000000-0005-0000-0000-000003010000}"/>
    <cellStyle name="Accent3 9" xfId="409" xr:uid="{00000000-0005-0000-0000-000004010000}"/>
    <cellStyle name="Accent4 - 20%" xfId="31" xr:uid="{00000000-0005-0000-0000-000005010000}"/>
    <cellStyle name="Accent4 - 20% 2" xfId="410" xr:uid="{00000000-0005-0000-0000-000006010000}"/>
    <cellStyle name="Accent4 - 20% 3" xfId="411" xr:uid="{00000000-0005-0000-0000-000007010000}"/>
    <cellStyle name="Accent4 - 20% 4" xfId="412" xr:uid="{00000000-0005-0000-0000-000008010000}"/>
    <cellStyle name="Accent4 - 40%" xfId="32" xr:uid="{00000000-0005-0000-0000-000009010000}"/>
    <cellStyle name="Accent4 - 40% 2" xfId="413" xr:uid="{00000000-0005-0000-0000-00000A010000}"/>
    <cellStyle name="Accent4 - 40% 3" xfId="414" xr:uid="{00000000-0005-0000-0000-00000B010000}"/>
    <cellStyle name="Accent4 - 40% 4" xfId="415" xr:uid="{00000000-0005-0000-0000-00000C010000}"/>
    <cellStyle name="Accent4 - 60%" xfId="33" xr:uid="{00000000-0005-0000-0000-00000D010000}"/>
    <cellStyle name="Accent4 10" xfId="416" xr:uid="{00000000-0005-0000-0000-00000E010000}"/>
    <cellStyle name="Accent4 11" xfId="417" xr:uid="{00000000-0005-0000-0000-00000F010000}"/>
    <cellStyle name="Accent4 12" xfId="418" xr:uid="{00000000-0005-0000-0000-000010010000}"/>
    <cellStyle name="Accent4 13" xfId="419" xr:uid="{00000000-0005-0000-0000-000011010000}"/>
    <cellStyle name="Accent4 14" xfId="420" xr:uid="{00000000-0005-0000-0000-000012010000}"/>
    <cellStyle name="Accent4 15" xfId="421" xr:uid="{00000000-0005-0000-0000-000013010000}"/>
    <cellStyle name="Accent4 16" xfId="422" xr:uid="{00000000-0005-0000-0000-000014010000}"/>
    <cellStyle name="Accent4 2" xfId="34" xr:uid="{00000000-0005-0000-0000-000015010000}"/>
    <cellStyle name="Accent4 2 2" xfId="423" xr:uid="{00000000-0005-0000-0000-000016010000}"/>
    <cellStyle name="Accent4 2 3" xfId="424" xr:uid="{00000000-0005-0000-0000-000017010000}"/>
    <cellStyle name="Accent4 3" xfId="425" xr:uid="{00000000-0005-0000-0000-000018010000}"/>
    <cellStyle name="Accent4 3 2" xfId="426" xr:uid="{00000000-0005-0000-0000-000019010000}"/>
    <cellStyle name="Accent4 4" xfId="427" xr:uid="{00000000-0005-0000-0000-00001A010000}"/>
    <cellStyle name="Accent4 5" xfId="428" xr:uid="{00000000-0005-0000-0000-00001B010000}"/>
    <cellStyle name="Accent4 6" xfId="429" xr:uid="{00000000-0005-0000-0000-00001C010000}"/>
    <cellStyle name="Accent4 7" xfId="430" xr:uid="{00000000-0005-0000-0000-00001D010000}"/>
    <cellStyle name="Accent4 8" xfId="431" xr:uid="{00000000-0005-0000-0000-00001E010000}"/>
    <cellStyle name="Accent4 9" xfId="432" xr:uid="{00000000-0005-0000-0000-00001F010000}"/>
    <cellStyle name="Accent5 - 20%" xfId="35" xr:uid="{00000000-0005-0000-0000-000020010000}"/>
    <cellStyle name="Accent5 - 20% 2" xfId="433" xr:uid="{00000000-0005-0000-0000-000021010000}"/>
    <cellStyle name="Accent5 - 20% 3" xfId="434" xr:uid="{00000000-0005-0000-0000-000022010000}"/>
    <cellStyle name="Accent5 - 20% 4" xfId="435" xr:uid="{00000000-0005-0000-0000-000023010000}"/>
    <cellStyle name="Accent5 - 40%" xfId="36" xr:uid="{00000000-0005-0000-0000-000024010000}"/>
    <cellStyle name="Accent5 - 40% 2" xfId="436" xr:uid="{00000000-0005-0000-0000-000025010000}"/>
    <cellStyle name="Accent5 - 40% 3" xfId="437" xr:uid="{00000000-0005-0000-0000-000026010000}"/>
    <cellStyle name="Accent5 - 40% 4" xfId="438" xr:uid="{00000000-0005-0000-0000-000027010000}"/>
    <cellStyle name="Accent5 - 60%" xfId="37" xr:uid="{00000000-0005-0000-0000-000028010000}"/>
    <cellStyle name="Accent5 10" xfId="439" xr:uid="{00000000-0005-0000-0000-000029010000}"/>
    <cellStyle name="Accent5 11" xfId="440" xr:uid="{00000000-0005-0000-0000-00002A010000}"/>
    <cellStyle name="Accent5 12" xfId="441" xr:uid="{00000000-0005-0000-0000-00002B010000}"/>
    <cellStyle name="Accent5 13" xfId="442" xr:uid="{00000000-0005-0000-0000-00002C010000}"/>
    <cellStyle name="Accent5 14" xfId="443" xr:uid="{00000000-0005-0000-0000-00002D010000}"/>
    <cellStyle name="Accent5 15" xfId="444" xr:uid="{00000000-0005-0000-0000-00002E010000}"/>
    <cellStyle name="Accent5 16" xfId="445" xr:uid="{00000000-0005-0000-0000-00002F010000}"/>
    <cellStyle name="Accent5 2" xfId="38" xr:uid="{00000000-0005-0000-0000-000030010000}"/>
    <cellStyle name="Accent5 2 2" xfId="446" xr:uid="{00000000-0005-0000-0000-000031010000}"/>
    <cellStyle name="Accent5 2 3" xfId="447" xr:uid="{00000000-0005-0000-0000-000032010000}"/>
    <cellStyle name="Accent5 3" xfId="448" xr:uid="{00000000-0005-0000-0000-000033010000}"/>
    <cellStyle name="Accent5 3 2" xfId="449" xr:uid="{00000000-0005-0000-0000-000034010000}"/>
    <cellStyle name="Accent5 4" xfId="450" xr:uid="{00000000-0005-0000-0000-000035010000}"/>
    <cellStyle name="Accent5 5" xfId="451" xr:uid="{00000000-0005-0000-0000-000036010000}"/>
    <cellStyle name="Accent5 6" xfId="452" xr:uid="{00000000-0005-0000-0000-000037010000}"/>
    <cellStyle name="Accent5 7" xfId="453" xr:uid="{00000000-0005-0000-0000-000038010000}"/>
    <cellStyle name="Accent5 8" xfId="454" xr:uid="{00000000-0005-0000-0000-000039010000}"/>
    <cellStyle name="Accent5 9" xfId="455" xr:uid="{00000000-0005-0000-0000-00003A010000}"/>
    <cellStyle name="Accent6 - 20%" xfId="39" xr:uid="{00000000-0005-0000-0000-00003B010000}"/>
    <cellStyle name="Accent6 - 20% 2" xfId="456" xr:uid="{00000000-0005-0000-0000-00003C010000}"/>
    <cellStyle name="Accent6 - 20% 3" xfId="457" xr:uid="{00000000-0005-0000-0000-00003D010000}"/>
    <cellStyle name="Accent6 - 20% 4" xfId="458" xr:uid="{00000000-0005-0000-0000-00003E010000}"/>
    <cellStyle name="Accent6 - 40%" xfId="40" xr:uid="{00000000-0005-0000-0000-00003F010000}"/>
    <cellStyle name="Accent6 - 40% 2" xfId="459" xr:uid="{00000000-0005-0000-0000-000040010000}"/>
    <cellStyle name="Accent6 - 40% 3" xfId="460" xr:uid="{00000000-0005-0000-0000-000041010000}"/>
    <cellStyle name="Accent6 - 40% 4" xfId="461" xr:uid="{00000000-0005-0000-0000-000042010000}"/>
    <cellStyle name="Accent6 - 60%" xfId="41" xr:uid="{00000000-0005-0000-0000-000043010000}"/>
    <cellStyle name="Accent6 10" xfId="462" xr:uid="{00000000-0005-0000-0000-000044010000}"/>
    <cellStyle name="Accent6 11" xfId="463" xr:uid="{00000000-0005-0000-0000-000045010000}"/>
    <cellStyle name="Accent6 12" xfId="464" xr:uid="{00000000-0005-0000-0000-000046010000}"/>
    <cellStyle name="Accent6 13" xfId="465" xr:uid="{00000000-0005-0000-0000-000047010000}"/>
    <cellStyle name="Accent6 14" xfId="466" xr:uid="{00000000-0005-0000-0000-000048010000}"/>
    <cellStyle name="Accent6 15" xfId="467" xr:uid="{00000000-0005-0000-0000-000049010000}"/>
    <cellStyle name="Accent6 16" xfId="468" xr:uid="{00000000-0005-0000-0000-00004A010000}"/>
    <cellStyle name="Accent6 2" xfId="42" xr:uid="{00000000-0005-0000-0000-00004B010000}"/>
    <cellStyle name="Accent6 2 2" xfId="469" xr:uid="{00000000-0005-0000-0000-00004C010000}"/>
    <cellStyle name="Accent6 2 3" xfId="470" xr:uid="{00000000-0005-0000-0000-00004D010000}"/>
    <cellStyle name="Accent6 3" xfId="471" xr:uid="{00000000-0005-0000-0000-00004E010000}"/>
    <cellStyle name="Accent6 3 2" xfId="472" xr:uid="{00000000-0005-0000-0000-00004F010000}"/>
    <cellStyle name="Accent6 4" xfId="473" xr:uid="{00000000-0005-0000-0000-000050010000}"/>
    <cellStyle name="Accent6 5" xfId="474" xr:uid="{00000000-0005-0000-0000-000051010000}"/>
    <cellStyle name="Accent6 6" xfId="475" xr:uid="{00000000-0005-0000-0000-000052010000}"/>
    <cellStyle name="Accent6 7" xfId="476" xr:uid="{00000000-0005-0000-0000-000053010000}"/>
    <cellStyle name="Accent6 8" xfId="477" xr:uid="{00000000-0005-0000-0000-000054010000}"/>
    <cellStyle name="Accent6 9" xfId="478" xr:uid="{00000000-0005-0000-0000-000055010000}"/>
    <cellStyle name="Bad 10" xfId="479" xr:uid="{00000000-0005-0000-0000-000056010000}"/>
    <cellStyle name="Bad 11" xfId="480" xr:uid="{00000000-0005-0000-0000-000057010000}"/>
    <cellStyle name="Bad 12" xfId="481" xr:uid="{00000000-0005-0000-0000-000058010000}"/>
    <cellStyle name="Bad 13" xfId="482" xr:uid="{00000000-0005-0000-0000-000059010000}"/>
    <cellStyle name="Bad 14" xfId="483" xr:uid="{00000000-0005-0000-0000-00005A010000}"/>
    <cellStyle name="Bad 15" xfId="484" xr:uid="{00000000-0005-0000-0000-00005B010000}"/>
    <cellStyle name="Bad 16" xfId="485" xr:uid="{00000000-0005-0000-0000-00005C010000}"/>
    <cellStyle name="Bad 2" xfId="43" xr:uid="{00000000-0005-0000-0000-00005D010000}"/>
    <cellStyle name="Bad 2 2" xfId="486" xr:uid="{00000000-0005-0000-0000-00005E010000}"/>
    <cellStyle name="Bad 2 3" xfId="487" xr:uid="{00000000-0005-0000-0000-00005F010000}"/>
    <cellStyle name="Bad 3" xfId="488" xr:uid="{00000000-0005-0000-0000-000060010000}"/>
    <cellStyle name="Bad 3 2" xfId="489" xr:uid="{00000000-0005-0000-0000-000061010000}"/>
    <cellStyle name="Bad 4" xfId="490" xr:uid="{00000000-0005-0000-0000-000062010000}"/>
    <cellStyle name="Bad 5" xfId="491" xr:uid="{00000000-0005-0000-0000-000063010000}"/>
    <cellStyle name="Bad 6" xfId="492" xr:uid="{00000000-0005-0000-0000-000064010000}"/>
    <cellStyle name="Bad 7" xfId="493" xr:uid="{00000000-0005-0000-0000-000065010000}"/>
    <cellStyle name="Bad 8" xfId="494" xr:uid="{00000000-0005-0000-0000-000066010000}"/>
    <cellStyle name="Bad 9" xfId="495" xr:uid="{00000000-0005-0000-0000-000067010000}"/>
    <cellStyle name="BOOKMAN" xfId="496" xr:uid="{00000000-0005-0000-0000-000068010000}"/>
    <cellStyle name="Calc Currency (0)" xfId="44" xr:uid="{00000000-0005-0000-0000-000069010000}"/>
    <cellStyle name="Calculation 10" xfId="497" xr:uid="{00000000-0005-0000-0000-00006A010000}"/>
    <cellStyle name="Calculation 11" xfId="498" xr:uid="{00000000-0005-0000-0000-00006B010000}"/>
    <cellStyle name="Calculation 12" xfId="499" xr:uid="{00000000-0005-0000-0000-00006C010000}"/>
    <cellStyle name="Calculation 13" xfId="500" xr:uid="{00000000-0005-0000-0000-00006D010000}"/>
    <cellStyle name="Calculation 14" xfId="501" xr:uid="{00000000-0005-0000-0000-00006E010000}"/>
    <cellStyle name="Calculation 15" xfId="502" xr:uid="{00000000-0005-0000-0000-00006F010000}"/>
    <cellStyle name="Calculation 16" xfId="503" xr:uid="{00000000-0005-0000-0000-000070010000}"/>
    <cellStyle name="Calculation 2" xfId="45" xr:uid="{00000000-0005-0000-0000-000071010000}"/>
    <cellStyle name="Calculation 2 2" xfId="504" xr:uid="{00000000-0005-0000-0000-000072010000}"/>
    <cellStyle name="Calculation 2 3" xfId="505" xr:uid="{00000000-0005-0000-0000-000073010000}"/>
    <cellStyle name="Calculation 2 4" xfId="506" xr:uid="{00000000-0005-0000-0000-000074010000}"/>
    <cellStyle name="Calculation 3" xfId="507" xr:uid="{00000000-0005-0000-0000-000075010000}"/>
    <cellStyle name="Calculation 3 2" xfId="508" xr:uid="{00000000-0005-0000-0000-000076010000}"/>
    <cellStyle name="Calculation 4" xfId="509" xr:uid="{00000000-0005-0000-0000-000077010000}"/>
    <cellStyle name="Calculation 5" xfId="510" xr:uid="{00000000-0005-0000-0000-000078010000}"/>
    <cellStyle name="Calculation 6" xfId="511" xr:uid="{00000000-0005-0000-0000-000079010000}"/>
    <cellStyle name="Calculation 7" xfId="512" xr:uid="{00000000-0005-0000-0000-00007A010000}"/>
    <cellStyle name="Calculation 8" xfId="513" xr:uid="{00000000-0005-0000-0000-00007B010000}"/>
    <cellStyle name="Calculation 9" xfId="514" xr:uid="{00000000-0005-0000-0000-00007C010000}"/>
    <cellStyle name="Check Cell 10" xfId="515" xr:uid="{00000000-0005-0000-0000-00007D010000}"/>
    <cellStyle name="Check Cell 11" xfId="516" xr:uid="{00000000-0005-0000-0000-00007E010000}"/>
    <cellStyle name="Check Cell 12" xfId="517" xr:uid="{00000000-0005-0000-0000-00007F010000}"/>
    <cellStyle name="Check Cell 13" xfId="518" xr:uid="{00000000-0005-0000-0000-000080010000}"/>
    <cellStyle name="Check Cell 14" xfId="519" xr:uid="{00000000-0005-0000-0000-000081010000}"/>
    <cellStyle name="Check Cell 15" xfId="520" xr:uid="{00000000-0005-0000-0000-000082010000}"/>
    <cellStyle name="Check Cell 16" xfId="521" xr:uid="{00000000-0005-0000-0000-000083010000}"/>
    <cellStyle name="Check Cell 2" xfId="46" xr:uid="{00000000-0005-0000-0000-000084010000}"/>
    <cellStyle name="Check Cell 2 2" xfId="522" xr:uid="{00000000-0005-0000-0000-000085010000}"/>
    <cellStyle name="Check Cell 2 3" xfId="523" xr:uid="{00000000-0005-0000-0000-000086010000}"/>
    <cellStyle name="Check Cell 3" xfId="524" xr:uid="{00000000-0005-0000-0000-000087010000}"/>
    <cellStyle name="Check Cell 3 2" xfId="525" xr:uid="{00000000-0005-0000-0000-000088010000}"/>
    <cellStyle name="Check Cell 4" xfId="526" xr:uid="{00000000-0005-0000-0000-000089010000}"/>
    <cellStyle name="Check Cell 5" xfId="527" xr:uid="{00000000-0005-0000-0000-00008A010000}"/>
    <cellStyle name="Check Cell 6" xfId="528" xr:uid="{00000000-0005-0000-0000-00008B010000}"/>
    <cellStyle name="Check Cell 7" xfId="529" xr:uid="{00000000-0005-0000-0000-00008C010000}"/>
    <cellStyle name="Check Cell 8" xfId="530" xr:uid="{00000000-0005-0000-0000-00008D010000}"/>
    <cellStyle name="Check Cell 9" xfId="531" xr:uid="{00000000-0005-0000-0000-00008E010000}"/>
    <cellStyle name="Comma  - Style1" xfId="47" xr:uid="{00000000-0005-0000-0000-00008F010000}"/>
    <cellStyle name="Comma  - Style1 2" xfId="532" xr:uid="{00000000-0005-0000-0000-000090010000}"/>
    <cellStyle name="Comma  - Style1 3" xfId="533" xr:uid="{00000000-0005-0000-0000-000091010000}"/>
    <cellStyle name="Comma  - Style1 4" xfId="534" xr:uid="{00000000-0005-0000-0000-000092010000}"/>
    <cellStyle name="Comma  - Style1 5" xfId="535" xr:uid="{00000000-0005-0000-0000-000093010000}"/>
    <cellStyle name="Comma  - Style1 6" xfId="536" xr:uid="{00000000-0005-0000-0000-000094010000}"/>
    <cellStyle name="Comma  - Style1_PMGSY_-NEW_-Seebai1" xfId="537" xr:uid="{00000000-0005-0000-0000-000095010000}"/>
    <cellStyle name="Comma  - Style2" xfId="48" xr:uid="{00000000-0005-0000-0000-000096010000}"/>
    <cellStyle name="Comma  - Style2 2" xfId="538" xr:uid="{00000000-0005-0000-0000-000097010000}"/>
    <cellStyle name="Comma  - Style2 3" xfId="539" xr:uid="{00000000-0005-0000-0000-000098010000}"/>
    <cellStyle name="Comma  - Style2 4" xfId="540" xr:uid="{00000000-0005-0000-0000-000099010000}"/>
    <cellStyle name="Comma  - Style2 5" xfId="541" xr:uid="{00000000-0005-0000-0000-00009A010000}"/>
    <cellStyle name="Comma  - Style2 6" xfId="542" xr:uid="{00000000-0005-0000-0000-00009B010000}"/>
    <cellStyle name="Comma  - Style2_PMGSY_-NEW_-Seebai1" xfId="543" xr:uid="{00000000-0005-0000-0000-00009C010000}"/>
    <cellStyle name="Comma  - Style3" xfId="49" xr:uid="{00000000-0005-0000-0000-00009D010000}"/>
    <cellStyle name="Comma  - Style3 2" xfId="544" xr:uid="{00000000-0005-0000-0000-00009E010000}"/>
    <cellStyle name="Comma  - Style3 3" xfId="545" xr:uid="{00000000-0005-0000-0000-00009F010000}"/>
    <cellStyle name="Comma  - Style3 4" xfId="546" xr:uid="{00000000-0005-0000-0000-0000A0010000}"/>
    <cellStyle name="Comma  - Style3 5" xfId="547" xr:uid="{00000000-0005-0000-0000-0000A1010000}"/>
    <cellStyle name="Comma  - Style3 6" xfId="548" xr:uid="{00000000-0005-0000-0000-0000A2010000}"/>
    <cellStyle name="Comma  - Style3_PMGSY_-NEW_-Seebai1" xfId="549" xr:uid="{00000000-0005-0000-0000-0000A3010000}"/>
    <cellStyle name="Comma  - Style4" xfId="50" xr:uid="{00000000-0005-0000-0000-0000A4010000}"/>
    <cellStyle name="Comma  - Style4 2" xfId="550" xr:uid="{00000000-0005-0000-0000-0000A5010000}"/>
    <cellStyle name="Comma  - Style4 3" xfId="551" xr:uid="{00000000-0005-0000-0000-0000A6010000}"/>
    <cellStyle name="Comma  - Style4 4" xfId="552" xr:uid="{00000000-0005-0000-0000-0000A7010000}"/>
    <cellStyle name="Comma  - Style4 5" xfId="553" xr:uid="{00000000-0005-0000-0000-0000A8010000}"/>
    <cellStyle name="Comma  - Style4 6" xfId="554" xr:uid="{00000000-0005-0000-0000-0000A9010000}"/>
    <cellStyle name="Comma  - Style4_PMGSY_-NEW_-Seebai1" xfId="555" xr:uid="{00000000-0005-0000-0000-0000AA010000}"/>
    <cellStyle name="Comma  - Style5" xfId="51" xr:uid="{00000000-0005-0000-0000-0000AB010000}"/>
    <cellStyle name="Comma  - Style5 2" xfId="556" xr:uid="{00000000-0005-0000-0000-0000AC010000}"/>
    <cellStyle name="Comma  - Style5 3" xfId="557" xr:uid="{00000000-0005-0000-0000-0000AD010000}"/>
    <cellStyle name="Comma  - Style5 4" xfId="558" xr:uid="{00000000-0005-0000-0000-0000AE010000}"/>
    <cellStyle name="Comma  - Style5 5" xfId="559" xr:uid="{00000000-0005-0000-0000-0000AF010000}"/>
    <cellStyle name="Comma  - Style5 6" xfId="560" xr:uid="{00000000-0005-0000-0000-0000B0010000}"/>
    <cellStyle name="Comma  - Style5_PMGSY_-NEW_-Seebai1" xfId="561" xr:uid="{00000000-0005-0000-0000-0000B1010000}"/>
    <cellStyle name="Comma  - Style6" xfId="52" xr:uid="{00000000-0005-0000-0000-0000B2010000}"/>
    <cellStyle name="Comma  - Style6 2" xfId="562" xr:uid="{00000000-0005-0000-0000-0000B3010000}"/>
    <cellStyle name="Comma  - Style6 3" xfId="563" xr:uid="{00000000-0005-0000-0000-0000B4010000}"/>
    <cellStyle name="Comma  - Style6 4" xfId="564" xr:uid="{00000000-0005-0000-0000-0000B5010000}"/>
    <cellStyle name="Comma  - Style6 5" xfId="565" xr:uid="{00000000-0005-0000-0000-0000B6010000}"/>
    <cellStyle name="Comma  - Style6 6" xfId="566" xr:uid="{00000000-0005-0000-0000-0000B7010000}"/>
    <cellStyle name="Comma  - Style6_PMGSY_-NEW_-Seebai1" xfId="567" xr:uid="{00000000-0005-0000-0000-0000B8010000}"/>
    <cellStyle name="Comma  - Style7" xfId="53" xr:uid="{00000000-0005-0000-0000-0000B9010000}"/>
    <cellStyle name="Comma  - Style7 2" xfId="568" xr:uid="{00000000-0005-0000-0000-0000BA010000}"/>
    <cellStyle name="Comma  - Style7 3" xfId="569" xr:uid="{00000000-0005-0000-0000-0000BB010000}"/>
    <cellStyle name="Comma  - Style7 4" xfId="570" xr:uid="{00000000-0005-0000-0000-0000BC010000}"/>
    <cellStyle name="Comma  - Style7 5" xfId="571" xr:uid="{00000000-0005-0000-0000-0000BD010000}"/>
    <cellStyle name="Comma  - Style7 6" xfId="572" xr:uid="{00000000-0005-0000-0000-0000BE010000}"/>
    <cellStyle name="Comma  - Style7_PMGSY_-NEW_-Seebai1" xfId="573" xr:uid="{00000000-0005-0000-0000-0000BF010000}"/>
    <cellStyle name="Comma  - Style8" xfId="54" xr:uid="{00000000-0005-0000-0000-0000C0010000}"/>
    <cellStyle name="Comma  - Style8 2" xfId="574" xr:uid="{00000000-0005-0000-0000-0000C1010000}"/>
    <cellStyle name="Comma  - Style8 3" xfId="575" xr:uid="{00000000-0005-0000-0000-0000C2010000}"/>
    <cellStyle name="Comma  - Style8 4" xfId="576" xr:uid="{00000000-0005-0000-0000-0000C3010000}"/>
    <cellStyle name="Comma  - Style8 5" xfId="577" xr:uid="{00000000-0005-0000-0000-0000C4010000}"/>
    <cellStyle name="Comma  - Style8 6" xfId="578" xr:uid="{00000000-0005-0000-0000-0000C5010000}"/>
    <cellStyle name="Comma  - Style8_PMGSY_-NEW_-Seebai1" xfId="579" xr:uid="{00000000-0005-0000-0000-0000C6010000}"/>
    <cellStyle name="Comma 2" xfId="55" xr:uid="{00000000-0005-0000-0000-0000C7010000}"/>
    <cellStyle name="Comma 2 10" xfId="580" xr:uid="{00000000-0005-0000-0000-0000C8010000}"/>
    <cellStyle name="Comma 2 11" xfId="581" xr:uid="{00000000-0005-0000-0000-0000C9010000}"/>
    <cellStyle name="Comma 2 12" xfId="582" xr:uid="{00000000-0005-0000-0000-0000CA010000}"/>
    <cellStyle name="Comma 2 13" xfId="583" xr:uid="{00000000-0005-0000-0000-0000CB010000}"/>
    <cellStyle name="Comma 2 2" xfId="56" xr:uid="{00000000-0005-0000-0000-0000CC010000}"/>
    <cellStyle name="Comma 2 2 10" xfId="584" xr:uid="{00000000-0005-0000-0000-0000CD010000}"/>
    <cellStyle name="Comma 2 2 11" xfId="585" xr:uid="{00000000-0005-0000-0000-0000CE010000}"/>
    <cellStyle name="Comma 2 2 2" xfId="586" xr:uid="{00000000-0005-0000-0000-0000CF010000}"/>
    <cellStyle name="Comma 2 2 3" xfId="587" xr:uid="{00000000-0005-0000-0000-0000D0010000}"/>
    <cellStyle name="Comma 2 2 4" xfId="588" xr:uid="{00000000-0005-0000-0000-0000D1010000}"/>
    <cellStyle name="Comma 2 2 5" xfId="589" xr:uid="{00000000-0005-0000-0000-0000D2010000}"/>
    <cellStyle name="Comma 2 2 6" xfId="590" xr:uid="{00000000-0005-0000-0000-0000D3010000}"/>
    <cellStyle name="Comma 2 2 7" xfId="591" xr:uid="{00000000-0005-0000-0000-0000D4010000}"/>
    <cellStyle name="Comma 2 2 8" xfId="592" xr:uid="{00000000-0005-0000-0000-0000D5010000}"/>
    <cellStyle name="Comma 2 2 9" xfId="593" xr:uid="{00000000-0005-0000-0000-0000D6010000}"/>
    <cellStyle name="Comma 2 3" xfId="594" xr:uid="{00000000-0005-0000-0000-0000D7010000}"/>
    <cellStyle name="Comma 2 3 2" xfId="595" xr:uid="{00000000-0005-0000-0000-0000D8010000}"/>
    <cellStyle name="Comma 2 3 3" xfId="596" xr:uid="{00000000-0005-0000-0000-0000D9010000}"/>
    <cellStyle name="Comma 2 3 4" xfId="597" xr:uid="{00000000-0005-0000-0000-0000DA010000}"/>
    <cellStyle name="Comma 2 4" xfId="598" xr:uid="{00000000-0005-0000-0000-0000DB010000}"/>
    <cellStyle name="Comma 2 4 2" xfId="599" xr:uid="{00000000-0005-0000-0000-0000DC010000}"/>
    <cellStyle name="Comma 2 5" xfId="600" xr:uid="{00000000-0005-0000-0000-0000DD010000}"/>
    <cellStyle name="Comma 2 6" xfId="601" xr:uid="{00000000-0005-0000-0000-0000DE010000}"/>
    <cellStyle name="Comma 2 7" xfId="602" xr:uid="{00000000-0005-0000-0000-0000DF010000}"/>
    <cellStyle name="Comma 2 8" xfId="603" xr:uid="{00000000-0005-0000-0000-0000E0010000}"/>
    <cellStyle name="Comma 2 9" xfId="604" xr:uid="{00000000-0005-0000-0000-0000E1010000}"/>
    <cellStyle name="Comma 2_CC Bill" xfId="605" xr:uid="{00000000-0005-0000-0000-0000E2010000}"/>
    <cellStyle name="Comma 3" xfId="57" xr:uid="{00000000-0005-0000-0000-0000E3010000}"/>
    <cellStyle name="Comma 3 10" xfId="606" xr:uid="{00000000-0005-0000-0000-0000E4010000}"/>
    <cellStyle name="Comma 3 11" xfId="607" xr:uid="{00000000-0005-0000-0000-0000E5010000}"/>
    <cellStyle name="Comma 3 2" xfId="608" xr:uid="{00000000-0005-0000-0000-0000E6010000}"/>
    <cellStyle name="Comma 3 2 2" xfId="609" xr:uid="{00000000-0005-0000-0000-0000E7010000}"/>
    <cellStyle name="Comma 3 2 2 2" xfId="610" xr:uid="{00000000-0005-0000-0000-0000E8010000}"/>
    <cellStyle name="Comma 3 2 2 2 2" xfId="611" xr:uid="{00000000-0005-0000-0000-0000E9010000}"/>
    <cellStyle name="Comma 3 2 2 2 3" xfId="612" xr:uid="{00000000-0005-0000-0000-0000EA010000}"/>
    <cellStyle name="Comma 3 2 2 2 4" xfId="613" xr:uid="{00000000-0005-0000-0000-0000EB010000}"/>
    <cellStyle name="Comma 3 2 2 2_RA-2 CC" xfId="614" xr:uid="{00000000-0005-0000-0000-0000EC010000}"/>
    <cellStyle name="Comma 3 3" xfId="615" xr:uid="{00000000-0005-0000-0000-0000ED010000}"/>
    <cellStyle name="Comma 3 3 2" xfId="616" xr:uid="{00000000-0005-0000-0000-0000EE010000}"/>
    <cellStyle name="Comma 3 4" xfId="617" xr:uid="{00000000-0005-0000-0000-0000EF010000}"/>
    <cellStyle name="Comma 3 5" xfId="618" xr:uid="{00000000-0005-0000-0000-0000F0010000}"/>
    <cellStyle name="Comma 3 6" xfId="619" xr:uid="{00000000-0005-0000-0000-0000F1010000}"/>
    <cellStyle name="Comma 3 7" xfId="620" xr:uid="{00000000-0005-0000-0000-0000F2010000}"/>
    <cellStyle name="Comma 3 8" xfId="621" xr:uid="{00000000-0005-0000-0000-0000F3010000}"/>
    <cellStyle name="Comma 3 9" xfId="622" xr:uid="{00000000-0005-0000-0000-0000F4010000}"/>
    <cellStyle name="Comma 3_CC Bill" xfId="623" xr:uid="{00000000-0005-0000-0000-0000F5010000}"/>
    <cellStyle name="Comma 4" xfId="58" xr:uid="{00000000-0005-0000-0000-0000F6010000}"/>
    <cellStyle name="Comma 4 2" xfId="59" xr:uid="{00000000-0005-0000-0000-0000F7010000}"/>
    <cellStyle name="Comma 4 2 2" xfId="624" xr:uid="{00000000-0005-0000-0000-0000F8010000}"/>
    <cellStyle name="Comma 4 3" xfId="625" xr:uid="{00000000-0005-0000-0000-0000F9010000}"/>
    <cellStyle name="Comma 4 4" xfId="626" xr:uid="{00000000-0005-0000-0000-0000FA010000}"/>
    <cellStyle name="Comma 4 5" xfId="1425" xr:uid="{00000000-0005-0000-0000-0000FB010000}"/>
    <cellStyle name="Comma 4 6" xfId="1426" xr:uid="{00000000-0005-0000-0000-0000FC010000}"/>
    <cellStyle name="Comma 4_CC Bill" xfId="627" xr:uid="{00000000-0005-0000-0000-0000FD010000}"/>
    <cellStyle name="Comma 5" xfId="60" xr:uid="{00000000-0005-0000-0000-0000FE010000}"/>
    <cellStyle name="Comma 5 2" xfId="628" xr:uid="{00000000-0005-0000-0000-0000FF010000}"/>
    <cellStyle name="Comma 5 3" xfId="629" xr:uid="{00000000-0005-0000-0000-000000020000}"/>
    <cellStyle name="Comma 5 4" xfId="1427" xr:uid="{00000000-0005-0000-0000-000001020000}"/>
    <cellStyle name="Comma 5 5" xfId="1428" xr:uid="{00000000-0005-0000-0000-000002020000}"/>
    <cellStyle name="Comma 5 6" xfId="1429" xr:uid="{00000000-0005-0000-0000-000003020000}"/>
    <cellStyle name="Comma 6" xfId="61" xr:uid="{00000000-0005-0000-0000-000004020000}"/>
    <cellStyle name="Comma 6 2" xfId="630" xr:uid="{00000000-0005-0000-0000-000005020000}"/>
    <cellStyle name="Comma 6 3" xfId="631" xr:uid="{00000000-0005-0000-0000-000006020000}"/>
    <cellStyle name="Comma 6 4" xfId="1430" xr:uid="{00000000-0005-0000-0000-000007020000}"/>
    <cellStyle name="Comma 6 5" xfId="1431" xr:uid="{00000000-0005-0000-0000-000008020000}"/>
    <cellStyle name="Comma 6 6" xfId="1432" xr:uid="{00000000-0005-0000-0000-000009020000}"/>
    <cellStyle name="Comma 7" xfId="62" xr:uid="{00000000-0005-0000-0000-00000A020000}"/>
    <cellStyle name="Comma 7 2" xfId="632" xr:uid="{00000000-0005-0000-0000-00000B020000}"/>
    <cellStyle name="Comma 7 3" xfId="633" xr:uid="{00000000-0005-0000-0000-00000C020000}"/>
    <cellStyle name="Comma 7 4" xfId="1433" xr:uid="{00000000-0005-0000-0000-00000D020000}"/>
    <cellStyle name="Comma 7 5" xfId="1434" xr:uid="{00000000-0005-0000-0000-00000E020000}"/>
    <cellStyle name="Comma 7 6" xfId="1435" xr:uid="{00000000-0005-0000-0000-00000F020000}"/>
    <cellStyle name="Comma 8" xfId="63" xr:uid="{00000000-0005-0000-0000-000010020000}"/>
    <cellStyle name="Comma 9" xfId="1345" xr:uid="{00000000-0005-0000-0000-000011020000}"/>
    <cellStyle name="Copied" xfId="64" xr:uid="{00000000-0005-0000-0000-000012020000}"/>
    <cellStyle name="Copied 2" xfId="634" xr:uid="{00000000-0005-0000-0000-000013020000}"/>
    <cellStyle name="Copied 3" xfId="635" xr:uid="{00000000-0005-0000-0000-000014020000}"/>
    <cellStyle name="Copied 4" xfId="636" xr:uid="{00000000-0005-0000-0000-000015020000}"/>
    <cellStyle name="Copied 5" xfId="637" xr:uid="{00000000-0005-0000-0000-000016020000}"/>
    <cellStyle name="Copied 6" xfId="638" xr:uid="{00000000-0005-0000-0000-000017020000}"/>
    <cellStyle name="Copied_AKKAMPALLI - RACHANAPALLI RD TO N R R COLONY" xfId="639" xr:uid="{00000000-0005-0000-0000-000018020000}"/>
    <cellStyle name="Currency 2" xfId="640" xr:uid="{00000000-0005-0000-0000-000019020000}"/>
    <cellStyle name="Currency 2 2" xfId="641" xr:uid="{00000000-0005-0000-0000-00001A020000}"/>
    <cellStyle name="Currency 2 3" xfId="1436" xr:uid="{00000000-0005-0000-0000-00001B020000}"/>
    <cellStyle name="Currency 2 4" xfId="1437" xr:uid="{00000000-0005-0000-0000-00001C020000}"/>
    <cellStyle name="Currency 2 5" xfId="1438" xr:uid="{00000000-0005-0000-0000-00001D020000}"/>
    <cellStyle name="Currency 2 6" xfId="1439" xr:uid="{00000000-0005-0000-0000-00001E020000}"/>
    <cellStyle name="Currency 2 7" xfId="1440" xr:uid="{00000000-0005-0000-0000-00001F020000}"/>
    <cellStyle name="Currency 3" xfId="642" xr:uid="{00000000-0005-0000-0000-000020020000}"/>
    <cellStyle name="Currency 4" xfId="643" xr:uid="{00000000-0005-0000-0000-000021020000}"/>
    <cellStyle name="Currency 4 2" xfId="1441" xr:uid="{00000000-0005-0000-0000-000022020000}"/>
    <cellStyle name="Currency 4 3" xfId="1442" xr:uid="{00000000-0005-0000-0000-000023020000}"/>
    <cellStyle name="Currency 4 4" xfId="1443" xr:uid="{00000000-0005-0000-0000-000024020000}"/>
    <cellStyle name="Currency 4 5" xfId="1444" xr:uid="{00000000-0005-0000-0000-000025020000}"/>
    <cellStyle name="Currency 4 6" xfId="1445" xr:uid="{00000000-0005-0000-0000-000026020000}"/>
    <cellStyle name="Currency 5" xfId="644" xr:uid="{00000000-0005-0000-0000-000027020000}"/>
    <cellStyle name="Currency 5 2" xfId="1446" xr:uid="{00000000-0005-0000-0000-000028020000}"/>
    <cellStyle name="Currency 5 3" xfId="1447" xr:uid="{00000000-0005-0000-0000-000029020000}"/>
    <cellStyle name="Currency 5 4" xfId="1448" xr:uid="{00000000-0005-0000-0000-00002A020000}"/>
    <cellStyle name="Currency 5 5" xfId="1449" xr:uid="{00000000-0005-0000-0000-00002B020000}"/>
    <cellStyle name="Currency 5 6" xfId="1450" xr:uid="{00000000-0005-0000-0000-00002C020000}"/>
    <cellStyle name="Currency 6" xfId="645" xr:uid="{00000000-0005-0000-0000-00002D020000}"/>
    <cellStyle name="Emphasis 1" xfId="65" xr:uid="{00000000-0005-0000-0000-00002E020000}"/>
    <cellStyle name="Emphasis 2" xfId="66" xr:uid="{00000000-0005-0000-0000-00002F020000}"/>
    <cellStyle name="Emphasis 3" xfId="67" xr:uid="{00000000-0005-0000-0000-000030020000}"/>
    <cellStyle name="Entered" xfId="68" xr:uid="{00000000-0005-0000-0000-000031020000}"/>
    <cellStyle name="Entered 2" xfId="646" xr:uid="{00000000-0005-0000-0000-000032020000}"/>
    <cellStyle name="Entered 3" xfId="647" xr:uid="{00000000-0005-0000-0000-000033020000}"/>
    <cellStyle name="Entered 4" xfId="648" xr:uid="{00000000-0005-0000-0000-000034020000}"/>
    <cellStyle name="Entered 5" xfId="649" xr:uid="{00000000-0005-0000-0000-000035020000}"/>
    <cellStyle name="Entered 6" xfId="650" xr:uid="{00000000-0005-0000-0000-000036020000}"/>
    <cellStyle name="Entered_AKKAMPALLI - RACHANAPALLI RD TO N R R COLONY" xfId="651" xr:uid="{00000000-0005-0000-0000-000037020000}"/>
    <cellStyle name="Euro" xfId="652" xr:uid="{00000000-0005-0000-0000-000038020000}"/>
    <cellStyle name="Euro 2" xfId="1346" xr:uid="{00000000-0005-0000-0000-000039020000}"/>
    <cellStyle name="Excel Built-in Normal" xfId="653" xr:uid="{00000000-0005-0000-0000-00003A020000}"/>
    <cellStyle name="Excel Built-in Normal 2" xfId="654" xr:uid="{00000000-0005-0000-0000-00003B020000}"/>
    <cellStyle name="Excel_BuiltIn_Total" xfId="655" xr:uid="{00000000-0005-0000-0000-00003C020000}"/>
    <cellStyle name="Explanatory Text 10" xfId="656" xr:uid="{00000000-0005-0000-0000-00003D020000}"/>
    <cellStyle name="Explanatory Text 11" xfId="657" xr:uid="{00000000-0005-0000-0000-00003E020000}"/>
    <cellStyle name="Explanatory Text 2" xfId="69" xr:uid="{00000000-0005-0000-0000-00003F020000}"/>
    <cellStyle name="Explanatory Text 3" xfId="658" xr:uid="{00000000-0005-0000-0000-000040020000}"/>
    <cellStyle name="Explanatory Text 4" xfId="659" xr:uid="{00000000-0005-0000-0000-000041020000}"/>
    <cellStyle name="Explanatory Text 5" xfId="660" xr:uid="{00000000-0005-0000-0000-000042020000}"/>
    <cellStyle name="Explanatory Text 6" xfId="661" xr:uid="{00000000-0005-0000-0000-000043020000}"/>
    <cellStyle name="Explanatory Text 7" xfId="662" xr:uid="{00000000-0005-0000-0000-000044020000}"/>
    <cellStyle name="Explanatory Text 8" xfId="663" xr:uid="{00000000-0005-0000-0000-000045020000}"/>
    <cellStyle name="Explanatory Text 9" xfId="664" xr:uid="{00000000-0005-0000-0000-000046020000}"/>
    <cellStyle name="Fixed" xfId="70" xr:uid="{00000000-0005-0000-0000-000047020000}"/>
    <cellStyle name="Fixed 2" xfId="665" xr:uid="{00000000-0005-0000-0000-000048020000}"/>
    <cellStyle name="Fixed 3" xfId="666" xr:uid="{00000000-0005-0000-0000-000049020000}"/>
    <cellStyle name="Fixed 4" xfId="1347" xr:uid="{00000000-0005-0000-0000-00004A020000}"/>
    <cellStyle name="general" xfId="71" xr:uid="{00000000-0005-0000-0000-00004B020000}"/>
    <cellStyle name="general 2" xfId="72" xr:uid="{00000000-0005-0000-0000-00004C020000}"/>
    <cellStyle name="general 2 2" xfId="1451" xr:uid="{00000000-0005-0000-0000-00004D020000}"/>
    <cellStyle name="general 2 3" xfId="1452" xr:uid="{00000000-0005-0000-0000-00004E020000}"/>
    <cellStyle name="general 2 4" xfId="1453" xr:uid="{00000000-0005-0000-0000-00004F020000}"/>
    <cellStyle name="general 2 5" xfId="1454" xr:uid="{00000000-0005-0000-0000-000050020000}"/>
    <cellStyle name="general 2 6" xfId="1455" xr:uid="{00000000-0005-0000-0000-000051020000}"/>
    <cellStyle name="general 3" xfId="73" xr:uid="{00000000-0005-0000-0000-000052020000}"/>
    <cellStyle name="general 3 2" xfId="1456" xr:uid="{00000000-0005-0000-0000-000053020000}"/>
    <cellStyle name="general 3 3" xfId="1457" xr:uid="{00000000-0005-0000-0000-000054020000}"/>
    <cellStyle name="general 3 4" xfId="1458" xr:uid="{00000000-0005-0000-0000-000055020000}"/>
    <cellStyle name="general 3 5" xfId="1459" xr:uid="{00000000-0005-0000-0000-000056020000}"/>
    <cellStyle name="general 3 6" xfId="1460" xr:uid="{00000000-0005-0000-0000-000057020000}"/>
    <cellStyle name="general 4" xfId="74" xr:uid="{00000000-0005-0000-0000-000058020000}"/>
    <cellStyle name="general 4 2" xfId="1461" xr:uid="{00000000-0005-0000-0000-000059020000}"/>
    <cellStyle name="general 4 3" xfId="1462" xr:uid="{00000000-0005-0000-0000-00005A020000}"/>
    <cellStyle name="general 4 4" xfId="1463" xr:uid="{00000000-0005-0000-0000-00005B020000}"/>
    <cellStyle name="general 4 5" xfId="1464" xr:uid="{00000000-0005-0000-0000-00005C020000}"/>
    <cellStyle name="general 4 6" xfId="1465" xr:uid="{00000000-0005-0000-0000-00005D020000}"/>
    <cellStyle name="general 5" xfId="667" xr:uid="{00000000-0005-0000-0000-00005E020000}"/>
    <cellStyle name="general 6" xfId="668" xr:uid="{00000000-0005-0000-0000-00005F020000}"/>
    <cellStyle name="general_Nakkabokkalapdu Grn Anganwadi     6-11-2016 for Bill," xfId="669" xr:uid="{00000000-0005-0000-0000-000060020000}"/>
    <cellStyle name="Good 10" xfId="670" xr:uid="{00000000-0005-0000-0000-000061020000}"/>
    <cellStyle name="Good 11" xfId="671" xr:uid="{00000000-0005-0000-0000-000062020000}"/>
    <cellStyle name="Good 12" xfId="672" xr:uid="{00000000-0005-0000-0000-000063020000}"/>
    <cellStyle name="Good 13" xfId="673" xr:uid="{00000000-0005-0000-0000-000064020000}"/>
    <cellStyle name="Good 14" xfId="674" xr:uid="{00000000-0005-0000-0000-000065020000}"/>
    <cellStyle name="Good 15" xfId="675" xr:uid="{00000000-0005-0000-0000-000066020000}"/>
    <cellStyle name="Good 16" xfId="676" xr:uid="{00000000-0005-0000-0000-000067020000}"/>
    <cellStyle name="Good 2" xfId="75" xr:uid="{00000000-0005-0000-0000-000068020000}"/>
    <cellStyle name="Good 2 2" xfId="677" xr:uid="{00000000-0005-0000-0000-000069020000}"/>
    <cellStyle name="Good 2 3" xfId="678" xr:uid="{00000000-0005-0000-0000-00006A020000}"/>
    <cellStyle name="Good 3" xfId="679" xr:uid="{00000000-0005-0000-0000-00006B020000}"/>
    <cellStyle name="Good 3 2" xfId="680" xr:uid="{00000000-0005-0000-0000-00006C020000}"/>
    <cellStyle name="Good 4" xfId="681" xr:uid="{00000000-0005-0000-0000-00006D020000}"/>
    <cellStyle name="Good 5" xfId="682" xr:uid="{00000000-0005-0000-0000-00006E020000}"/>
    <cellStyle name="Good 6" xfId="683" xr:uid="{00000000-0005-0000-0000-00006F020000}"/>
    <cellStyle name="Good 7" xfId="684" xr:uid="{00000000-0005-0000-0000-000070020000}"/>
    <cellStyle name="Good 8" xfId="685" xr:uid="{00000000-0005-0000-0000-000071020000}"/>
    <cellStyle name="Good 9" xfId="686" xr:uid="{00000000-0005-0000-0000-000072020000}"/>
    <cellStyle name="Grey" xfId="76" xr:uid="{00000000-0005-0000-0000-000073020000}"/>
    <cellStyle name="Grey 2" xfId="687" xr:uid="{00000000-0005-0000-0000-000074020000}"/>
    <cellStyle name="Grey 3" xfId="1466" xr:uid="{00000000-0005-0000-0000-000075020000}"/>
    <cellStyle name="Grey 4" xfId="1467" xr:uid="{00000000-0005-0000-0000-000076020000}"/>
    <cellStyle name="Grey 5" xfId="1468" xr:uid="{00000000-0005-0000-0000-000077020000}"/>
    <cellStyle name="Grey 6" xfId="1469" xr:uid="{00000000-0005-0000-0000-000078020000}"/>
    <cellStyle name="Header1" xfId="77" xr:uid="{00000000-0005-0000-0000-000079020000}"/>
    <cellStyle name="Header2" xfId="78" xr:uid="{00000000-0005-0000-0000-00007A020000}"/>
    <cellStyle name="Heading 1 10" xfId="688" xr:uid="{00000000-0005-0000-0000-00007B020000}"/>
    <cellStyle name="Heading 1 11" xfId="689" xr:uid="{00000000-0005-0000-0000-00007C020000}"/>
    <cellStyle name="Heading 1 12" xfId="690" xr:uid="{00000000-0005-0000-0000-00007D020000}"/>
    <cellStyle name="Heading 1 13" xfId="691" xr:uid="{00000000-0005-0000-0000-00007E020000}"/>
    <cellStyle name="Heading 1 14" xfId="692" xr:uid="{00000000-0005-0000-0000-00007F020000}"/>
    <cellStyle name="Heading 1 15" xfId="693" xr:uid="{00000000-0005-0000-0000-000080020000}"/>
    <cellStyle name="Heading 1 16" xfId="694" xr:uid="{00000000-0005-0000-0000-000081020000}"/>
    <cellStyle name="Heading 1 2" xfId="79" xr:uid="{00000000-0005-0000-0000-000082020000}"/>
    <cellStyle name="Heading 1 2 2" xfId="695" xr:uid="{00000000-0005-0000-0000-000083020000}"/>
    <cellStyle name="Heading 1 2 3" xfId="696" xr:uid="{00000000-0005-0000-0000-000084020000}"/>
    <cellStyle name="Heading 1 3" xfId="697" xr:uid="{00000000-0005-0000-0000-000085020000}"/>
    <cellStyle name="Heading 1 3 2" xfId="698" xr:uid="{00000000-0005-0000-0000-000086020000}"/>
    <cellStyle name="Heading 1 4" xfId="699" xr:uid="{00000000-0005-0000-0000-000087020000}"/>
    <cellStyle name="Heading 1 5" xfId="700" xr:uid="{00000000-0005-0000-0000-000088020000}"/>
    <cellStyle name="Heading 1 6" xfId="701" xr:uid="{00000000-0005-0000-0000-000089020000}"/>
    <cellStyle name="Heading 1 7" xfId="702" xr:uid="{00000000-0005-0000-0000-00008A020000}"/>
    <cellStyle name="Heading 1 8" xfId="703" xr:uid="{00000000-0005-0000-0000-00008B020000}"/>
    <cellStyle name="Heading 1 9" xfId="704" xr:uid="{00000000-0005-0000-0000-00008C020000}"/>
    <cellStyle name="Heading 2 10" xfId="705" xr:uid="{00000000-0005-0000-0000-00008D020000}"/>
    <cellStyle name="Heading 2 11" xfId="706" xr:uid="{00000000-0005-0000-0000-00008E020000}"/>
    <cellStyle name="Heading 2 12" xfId="707" xr:uid="{00000000-0005-0000-0000-00008F020000}"/>
    <cellStyle name="Heading 2 13" xfId="708" xr:uid="{00000000-0005-0000-0000-000090020000}"/>
    <cellStyle name="Heading 2 14" xfId="709" xr:uid="{00000000-0005-0000-0000-000091020000}"/>
    <cellStyle name="Heading 2 15" xfId="710" xr:uid="{00000000-0005-0000-0000-000092020000}"/>
    <cellStyle name="Heading 2 16" xfId="711" xr:uid="{00000000-0005-0000-0000-000093020000}"/>
    <cellStyle name="Heading 2 2" xfId="80" xr:uid="{00000000-0005-0000-0000-000094020000}"/>
    <cellStyle name="Heading 2 2 2" xfId="712" xr:uid="{00000000-0005-0000-0000-000095020000}"/>
    <cellStyle name="Heading 2 2 3" xfId="713" xr:uid="{00000000-0005-0000-0000-000096020000}"/>
    <cellStyle name="Heading 2 3" xfId="714" xr:uid="{00000000-0005-0000-0000-000097020000}"/>
    <cellStyle name="Heading 2 3 2" xfId="715" xr:uid="{00000000-0005-0000-0000-000098020000}"/>
    <cellStyle name="Heading 2 4" xfId="716" xr:uid="{00000000-0005-0000-0000-000099020000}"/>
    <cellStyle name="Heading 2 5" xfId="717" xr:uid="{00000000-0005-0000-0000-00009A020000}"/>
    <cellStyle name="Heading 2 6" xfId="718" xr:uid="{00000000-0005-0000-0000-00009B020000}"/>
    <cellStyle name="Heading 2 7" xfId="719" xr:uid="{00000000-0005-0000-0000-00009C020000}"/>
    <cellStyle name="Heading 2 8" xfId="720" xr:uid="{00000000-0005-0000-0000-00009D020000}"/>
    <cellStyle name="Heading 2 9" xfId="721" xr:uid="{00000000-0005-0000-0000-00009E020000}"/>
    <cellStyle name="Heading 3 10" xfId="722" xr:uid="{00000000-0005-0000-0000-00009F020000}"/>
    <cellStyle name="Heading 3 11" xfId="723" xr:uid="{00000000-0005-0000-0000-0000A0020000}"/>
    <cellStyle name="Heading 3 12" xfId="724" xr:uid="{00000000-0005-0000-0000-0000A1020000}"/>
    <cellStyle name="Heading 3 13" xfId="725" xr:uid="{00000000-0005-0000-0000-0000A2020000}"/>
    <cellStyle name="Heading 3 14" xfId="726" xr:uid="{00000000-0005-0000-0000-0000A3020000}"/>
    <cellStyle name="Heading 3 15" xfId="727" xr:uid="{00000000-0005-0000-0000-0000A4020000}"/>
    <cellStyle name="Heading 3 16" xfId="728" xr:uid="{00000000-0005-0000-0000-0000A5020000}"/>
    <cellStyle name="Heading 3 2" xfId="81" xr:uid="{00000000-0005-0000-0000-0000A6020000}"/>
    <cellStyle name="Heading 3 2 2" xfId="729" xr:uid="{00000000-0005-0000-0000-0000A7020000}"/>
    <cellStyle name="Heading 3 2 3" xfId="730" xr:uid="{00000000-0005-0000-0000-0000A8020000}"/>
    <cellStyle name="Heading 3 3" xfId="731" xr:uid="{00000000-0005-0000-0000-0000A9020000}"/>
    <cellStyle name="Heading 3 3 2" xfId="732" xr:uid="{00000000-0005-0000-0000-0000AA020000}"/>
    <cellStyle name="Heading 3 4" xfId="733" xr:uid="{00000000-0005-0000-0000-0000AB020000}"/>
    <cellStyle name="Heading 3 5" xfId="734" xr:uid="{00000000-0005-0000-0000-0000AC020000}"/>
    <cellStyle name="Heading 3 6" xfId="735" xr:uid="{00000000-0005-0000-0000-0000AD020000}"/>
    <cellStyle name="Heading 3 7" xfId="736" xr:uid="{00000000-0005-0000-0000-0000AE020000}"/>
    <cellStyle name="Heading 3 8" xfId="737" xr:uid="{00000000-0005-0000-0000-0000AF020000}"/>
    <cellStyle name="Heading 3 9" xfId="738" xr:uid="{00000000-0005-0000-0000-0000B0020000}"/>
    <cellStyle name="Heading 4 10" xfId="739" xr:uid="{00000000-0005-0000-0000-0000B1020000}"/>
    <cellStyle name="Heading 4 11" xfId="740" xr:uid="{00000000-0005-0000-0000-0000B2020000}"/>
    <cellStyle name="Heading 4 12" xfId="741" xr:uid="{00000000-0005-0000-0000-0000B3020000}"/>
    <cellStyle name="Heading 4 13" xfId="742" xr:uid="{00000000-0005-0000-0000-0000B4020000}"/>
    <cellStyle name="Heading 4 14" xfId="743" xr:uid="{00000000-0005-0000-0000-0000B5020000}"/>
    <cellStyle name="Heading 4 15" xfId="744" xr:uid="{00000000-0005-0000-0000-0000B6020000}"/>
    <cellStyle name="Heading 4 16" xfId="745" xr:uid="{00000000-0005-0000-0000-0000B7020000}"/>
    <cellStyle name="Heading 4 2" xfId="82" xr:uid="{00000000-0005-0000-0000-0000B8020000}"/>
    <cellStyle name="Heading 4 2 2" xfId="746" xr:uid="{00000000-0005-0000-0000-0000B9020000}"/>
    <cellStyle name="Heading 4 2 3" xfId="747" xr:uid="{00000000-0005-0000-0000-0000BA020000}"/>
    <cellStyle name="Heading 4 3" xfId="748" xr:uid="{00000000-0005-0000-0000-0000BB020000}"/>
    <cellStyle name="Heading 4 3 2" xfId="749" xr:uid="{00000000-0005-0000-0000-0000BC020000}"/>
    <cellStyle name="Heading 4 4" xfId="750" xr:uid="{00000000-0005-0000-0000-0000BD020000}"/>
    <cellStyle name="Heading 4 5" xfId="751" xr:uid="{00000000-0005-0000-0000-0000BE020000}"/>
    <cellStyle name="Heading 4 6" xfId="752" xr:uid="{00000000-0005-0000-0000-0000BF020000}"/>
    <cellStyle name="Heading 4 7" xfId="753" xr:uid="{00000000-0005-0000-0000-0000C0020000}"/>
    <cellStyle name="Heading 4 8" xfId="754" xr:uid="{00000000-0005-0000-0000-0000C1020000}"/>
    <cellStyle name="Heading 4 9" xfId="755" xr:uid="{00000000-0005-0000-0000-0000C2020000}"/>
    <cellStyle name="Hyperlink 2" xfId="83" xr:uid="{00000000-0005-0000-0000-0000C3020000}"/>
    <cellStyle name="Hyperlink 2 2" xfId="756" xr:uid="{00000000-0005-0000-0000-0000C4020000}"/>
    <cellStyle name="Hyperlink 2 3" xfId="757" xr:uid="{00000000-0005-0000-0000-0000C5020000}"/>
    <cellStyle name="Hyperlink 2_500 KL OHSR 21.60m Staging" xfId="758" xr:uid="{00000000-0005-0000-0000-0000C6020000}"/>
    <cellStyle name="Hyperlink 3" xfId="759" xr:uid="{00000000-0005-0000-0000-0000C7020000}"/>
    <cellStyle name="Input [yellow]" xfId="84" xr:uid="{00000000-0005-0000-0000-0000C8020000}"/>
    <cellStyle name="Input [yellow] 2" xfId="760" xr:uid="{00000000-0005-0000-0000-0000C9020000}"/>
    <cellStyle name="Input [yellow] 3" xfId="1470" xr:uid="{00000000-0005-0000-0000-0000CA020000}"/>
    <cellStyle name="Input [yellow] 4" xfId="1471" xr:uid="{00000000-0005-0000-0000-0000CB020000}"/>
    <cellStyle name="Input [yellow] 5" xfId="1472" xr:uid="{00000000-0005-0000-0000-0000CC020000}"/>
    <cellStyle name="Input [yellow] 6" xfId="1473" xr:uid="{00000000-0005-0000-0000-0000CD020000}"/>
    <cellStyle name="Input 10" xfId="761" xr:uid="{00000000-0005-0000-0000-0000CE020000}"/>
    <cellStyle name="Input 11" xfId="762" xr:uid="{00000000-0005-0000-0000-0000CF020000}"/>
    <cellStyle name="Input 12" xfId="763" xr:uid="{00000000-0005-0000-0000-0000D0020000}"/>
    <cellStyle name="Input 13" xfId="764" xr:uid="{00000000-0005-0000-0000-0000D1020000}"/>
    <cellStyle name="Input 14" xfId="765" xr:uid="{00000000-0005-0000-0000-0000D2020000}"/>
    <cellStyle name="Input 15" xfId="766" xr:uid="{00000000-0005-0000-0000-0000D3020000}"/>
    <cellStyle name="Input 16" xfId="767" xr:uid="{00000000-0005-0000-0000-0000D4020000}"/>
    <cellStyle name="Input 2" xfId="85" xr:uid="{00000000-0005-0000-0000-0000D5020000}"/>
    <cellStyle name="Input 2 2" xfId="768" xr:uid="{00000000-0005-0000-0000-0000D6020000}"/>
    <cellStyle name="Input 2 3" xfId="769" xr:uid="{00000000-0005-0000-0000-0000D7020000}"/>
    <cellStyle name="Input 3" xfId="770" xr:uid="{00000000-0005-0000-0000-0000D8020000}"/>
    <cellStyle name="Input 3 2" xfId="771" xr:uid="{00000000-0005-0000-0000-0000D9020000}"/>
    <cellStyle name="Input 4" xfId="772" xr:uid="{00000000-0005-0000-0000-0000DA020000}"/>
    <cellStyle name="Input 5" xfId="773" xr:uid="{00000000-0005-0000-0000-0000DB020000}"/>
    <cellStyle name="Input 6" xfId="774" xr:uid="{00000000-0005-0000-0000-0000DC020000}"/>
    <cellStyle name="Input 7" xfId="775" xr:uid="{00000000-0005-0000-0000-0000DD020000}"/>
    <cellStyle name="Input 8" xfId="776" xr:uid="{00000000-0005-0000-0000-0000DE020000}"/>
    <cellStyle name="Input 9" xfId="777" xr:uid="{00000000-0005-0000-0000-0000DF020000}"/>
    <cellStyle name="Linked Cell 10" xfId="778" xr:uid="{00000000-0005-0000-0000-0000E0020000}"/>
    <cellStyle name="Linked Cell 11" xfId="779" xr:uid="{00000000-0005-0000-0000-0000E1020000}"/>
    <cellStyle name="Linked Cell 12" xfId="780" xr:uid="{00000000-0005-0000-0000-0000E2020000}"/>
    <cellStyle name="Linked Cell 13" xfId="781" xr:uid="{00000000-0005-0000-0000-0000E3020000}"/>
    <cellStyle name="Linked Cell 14" xfId="782" xr:uid="{00000000-0005-0000-0000-0000E4020000}"/>
    <cellStyle name="Linked Cell 15" xfId="783" xr:uid="{00000000-0005-0000-0000-0000E5020000}"/>
    <cellStyle name="Linked Cell 16" xfId="784" xr:uid="{00000000-0005-0000-0000-0000E6020000}"/>
    <cellStyle name="Linked Cell 2" xfId="86" xr:uid="{00000000-0005-0000-0000-0000E7020000}"/>
    <cellStyle name="Linked Cell 2 2" xfId="785" xr:uid="{00000000-0005-0000-0000-0000E8020000}"/>
    <cellStyle name="Linked Cell 2 3" xfId="786" xr:uid="{00000000-0005-0000-0000-0000E9020000}"/>
    <cellStyle name="Linked Cell 3" xfId="787" xr:uid="{00000000-0005-0000-0000-0000EA020000}"/>
    <cellStyle name="Linked Cell 3 2" xfId="788" xr:uid="{00000000-0005-0000-0000-0000EB020000}"/>
    <cellStyle name="Linked Cell 4" xfId="789" xr:uid="{00000000-0005-0000-0000-0000EC020000}"/>
    <cellStyle name="Linked Cell 5" xfId="790" xr:uid="{00000000-0005-0000-0000-0000ED020000}"/>
    <cellStyle name="Linked Cell 6" xfId="791" xr:uid="{00000000-0005-0000-0000-0000EE020000}"/>
    <cellStyle name="Linked Cell 7" xfId="792" xr:uid="{00000000-0005-0000-0000-0000EF020000}"/>
    <cellStyle name="Linked Cell 8" xfId="793" xr:uid="{00000000-0005-0000-0000-0000F0020000}"/>
    <cellStyle name="Linked Cell 9" xfId="794" xr:uid="{00000000-0005-0000-0000-0000F1020000}"/>
    <cellStyle name="M head" xfId="87" xr:uid="{00000000-0005-0000-0000-0000F2020000}"/>
    <cellStyle name="M head 2" xfId="795" xr:uid="{00000000-0005-0000-0000-0000F3020000}"/>
    <cellStyle name="M head 3" xfId="796" xr:uid="{00000000-0005-0000-0000-0000F4020000}"/>
    <cellStyle name="M head_con 2012" xfId="797" xr:uid="{00000000-0005-0000-0000-0000F5020000}"/>
    <cellStyle name="Main Heading" xfId="798" xr:uid="{00000000-0005-0000-0000-0000F6020000}"/>
    <cellStyle name="MANKAD" xfId="88" xr:uid="{00000000-0005-0000-0000-0000F7020000}"/>
    <cellStyle name="MANKAD 2" xfId="89" xr:uid="{00000000-0005-0000-0000-0000F8020000}"/>
    <cellStyle name="MANKAD 3" xfId="90" xr:uid="{00000000-0005-0000-0000-0000F9020000}"/>
    <cellStyle name="MANKAD 4" xfId="799" xr:uid="{00000000-0005-0000-0000-0000FA020000}"/>
    <cellStyle name="MANKAD 5" xfId="800" xr:uid="{00000000-0005-0000-0000-0000FB020000}"/>
    <cellStyle name="MANKAD 6" xfId="801" xr:uid="{00000000-0005-0000-0000-0000FC020000}"/>
    <cellStyle name="MANKAD_3 - ZP  BHAIRAVANAGAR 45.00L." xfId="802" xr:uid="{00000000-0005-0000-0000-0000FD020000}"/>
    <cellStyle name="Minor Head" xfId="91" xr:uid="{00000000-0005-0000-0000-0000FE020000}"/>
    <cellStyle name="Neutral 10" xfId="803" xr:uid="{00000000-0005-0000-0000-0000FF020000}"/>
    <cellStyle name="Neutral 11" xfId="804" xr:uid="{00000000-0005-0000-0000-000000030000}"/>
    <cellStyle name="Neutral 12" xfId="805" xr:uid="{00000000-0005-0000-0000-000001030000}"/>
    <cellStyle name="Neutral 13" xfId="806" xr:uid="{00000000-0005-0000-0000-000002030000}"/>
    <cellStyle name="Neutral 14" xfId="807" xr:uid="{00000000-0005-0000-0000-000003030000}"/>
    <cellStyle name="Neutral 15" xfId="808" xr:uid="{00000000-0005-0000-0000-000004030000}"/>
    <cellStyle name="Neutral 16" xfId="809" xr:uid="{00000000-0005-0000-0000-000005030000}"/>
    <cellStyle name="Neutral 2" xfId="92" xr:uid="{00000000-0005-0000-0000-000006030000}"/>
    <cellStyle name="Neutral 2 2" xfId="810" xr:uid="{00000000-0005-0000-0000-000007030000}"/>
    <cellStyle name="Neutral 2 3" xfId="811" xr:uid="{00000000-0005-0000-0000-000008030000}"/>
    <cellStyle name="Neutral 3" xfId="812" xr:uid="{00000000-0005-0000-0000-000009030000}"/>
    <cellStyle name="Neutral 3 2" xfId="813" xr:uid="{00000000-0005-0000-0000-00000A030000}"/>
    <cellStyle name="Neutral 4" xfId="814" xr:uid="{00000000-0005-0000-0000-00000B030000}"/>
    <cellStyle name="Neutral 5" xfId="815" xr:uid="{00000000-0005-0000-0000-00000C030000}"/>
    <cellStyle name="Neutral 6" xfId="816" xr:uid="{00000000-0005-0000-0000-00000D030000}"/>
    <cellStyle name="Neutral 7" xfId="817" xr:uid="{00000000-0005-0000-0000-00000E030000}"/>
    <cellStyle name="Neutral 8" xfId="818" xr:uid="{00000000-0005-0000-0000-00000F030000}"/>
    <cellStyle name="Neutral 9" xfId="819" xr:uid="{00000000-0005-0000-0000-000010030000}"/>
    <cellStyle name="no dec" xfId="93" xr:uid="{00000000-0005-0000-0000-000011030000}"/>
    <cellStyle name="no dec 2" xfId="820" xr:uid="{00000000-0005-0000-0000-000012030000}"/>
    <cellStyle name="no dec 3" xfId="821" xr:uid="{00000000-0005-0000-0000-000013030000}"/>
    <cellStyle name="no dec 4" xfId="822" xr:uid="{00000000-0005-0000-0000-000014030000}"/>
    <cellStyle name="no dec 5" xfId="823" xr:uid="{00000000-0005-0000-0000-000015030000}"/>
    <cellStyle name="no dec 6" xfId="824" xr:uid="{00000000-0005-0000-0000-000016030000}"/>
    <cellStyle name="no dec_3 - ZP  BHAIRAVANAGAR 45.00L." xfId="825" xr:uid="{00000000-0005-0000-0000-000017030000}"/>
    <cellStyle name="Normal" xfId="0" builtinId="0"/>
    <cellStyle name="Normal - Style1" xfId="94" xr:uid="{00000000-0005-0000-0000-000019030000}"/>
    <cellStyle name="Normal - Style1 2" xfId="95" xr:uid="{00000000-0005-0000-0000-00001A030000}"/>
    <cellStyle name="Normal - Style1 2 2" xfId="96" xr:uid="{00000000-0005-0000-0000-00001B030000}"/>
    <cellStyle name="Normal - Style1 2 2 2" xfId="826" xr:uid="{00000000-0005-0000-0000-00001C030000}"/>
    <cellStyle name="Normal - Style1 2 2 2 2" xfId="1419" xr:uid="{00000000-0005-0000-0000-00001D030000}"/>
    <cellStyle name="Normal - Style1 2 2 3" xfId="1385" xr:uid="{00000000-0005-0000-0000-00001E030000}"/>
    <cellStyle name="Normal - Style1 2 2 4" xfId="1474" xr:uid="{00000000-0005-0000-0000-00001F030000}"/>
    <cellStyle name="Normal - Style1 2 2 5" xfId="1475" xr:uid="{00000000-0005-0000-0000-000020030000}"/>
    <cellStyle name="Normal - Style1 2 2 6" xfId="1476" xr:uid="{00000000-0005-0000-0000-000021030000}"/>
    <cellStyle name="Normal - Style1 2 2 7" xfId="1477" xr:uid="{00000000-0005-0000-0000-000022030000}"/>
    <cellStyle name="Normal - Style1 2 3" xfId="827" xr:uid="{00000000-0005-0000-0000-000023030000}"/>
    <cellStyle name="Normal - Style1 2 4" xfId="828" xr:uid="{00000000-0005-0000-0000-000024030000}"/>
    <cellStyle name="Normal - Style1 2 5" xfId="1343" xr:uid="{00000000-0005-0000-0000-000025030000}"/>
    <cellStyle name="Normal - Style1 2 6" xfId="1478" xr:uid="{00000000-0005-0000-0000-000026030000}"/>
    <cellStyle name="Normal - Style1 2 7" xfId="1479" xr:uid="{00000000-0005-0000-0000-000027030000}"/>
    <cellStyle name="Normal - Style1 2 8" xfId="1480" xr:uid="{00000000-0005-0000-0000-000028030000}"/>
    <cellStyle name="Normal - Style1 2_1) NREGS  Report Uppudi" xfId="829" xr:uid="{00000000-0005-0000-0000-000029030000}"/>
    <cellStyle name="Normal - Style1 3" xfId="97" xr:uid="{00000000-0005-0000-0000-00002A030000}"/>
    <cellStyle name="Normal - Style1 3 2" xfId="1348" xr:uid="{00000000-0005-0000-0000-00002B030000}"/>
    <cellStyle name="Normal - Style1 3 3" xfId="1349" xr:uid="{00000000-0005-0000-0000-00002C030000}"/>
    <cellStyle name="Normal - Style1 3 4" xfId="1350" xr:uid="{00000000-0005-0000-0000-00002D030000}"/>
    <cellStyle name="Normal - Style1 3 5" xfId="1481" xr:uid="{00000000-0005-0000-0000-00002E030000}"/>
    <cellStyle name="Normal - Style1 3 6" xfId="1482" xr:uid="{00000000-0005-0000-0000-00002F030000}"/>
    <cellStyle name="Normal - Style1 4" xfId="98" xr:uid="{00000000-0005-0000-0000-000030030000}"/>
    <cellStyle name="Normal - Style1 4 2" xfId="1483" xr:uid="{00000000-0005-0000-0000-000031030000}"/>
    <cellStyle name="Normal - Style1 4 3" xfId="1484" xr:uid="{00000000-0005-0000-0000-000032030000}"/>
    <cellStyle name="Normal - Style1 4 4" xfId="1485" xr:uid="{00000000-0005-0000-0000-000033030000}"/>
    <cellStyle name="Normal - Style1 4 5" xfId="1486" xr:uid="{00000000-0005-0000-0000-000034030000}"/>
    <cellStyle name="Normal - Style1 4 6" xfId="1487" xr:uid="{00000000-0005-0000-0000-000035030000}"/>
    <cellStyle name="Normal - Style1 5" xfId="830" xr:uid="{00000000-0005-0000-0000-000036030000}"/>
    <cellStyle name="Normal - Style1 6" xfId="831" xr:uid="{00000000-0005-0000-0000-000037030000}"/>
    <cellStyle name="Normal - Style1 7" xfId="832" xr:uid="{00000000-0005-0000-0000-000038030000}"/>
    <cellStyle name="Normal - Style1 8" xfId="833" xr:uid="{00000000-0005-0000-0000-000039030000}"/>
    <cellStyle name="Normal - Style1 8 2" xfId="1488" xr:uid="{00000000-0005-0000-0000-00003A030000}"/>
    <cellStyle name="Normal - Style1_1_Pattapupalem_road estt-NCRMP" xfId="99" xr:uid="{00000000-0005-0000-0000-00003B030000}"/>
    <cellStyle name="Normal 10" xfId="100" xr:uid="{00000000-0005-0000-0000-00003C030000}"/>
    <cellStyle name="Normal 10 2" xfId="101" xr:uid="{00000000-0005-0000-0000-00003D030000}"/>
    <cellStyle name="Normal 10 2 2" xfId="834" xr:uid="{00000000-0005-0000-0000-00003E030000}"/>
    <cellStyle name="Normal 10 2 3" xfId="1489" xr:uid="{00000000-0005-0000-0000-00003F030000}"/>
    <cellStyle name="Normal 10 2 4" xfId="1490" xr:uid="{00000000-0005-0000-0000-000040030000}"/>
    <cellStyle name="Normal 10 3" xfId="835" xr:uid="{00000000-0005-0000-0000-000041030000}"/>
    <cellStyle name="Normal 10 3 2" xfId="1278" xr:uid="{00000000-0005-0000-0000-000042030000}"/>
    <cellStyle name="Normal 10 4" xfId="1279" xr:uid="{00000000-0005-0000-0000-000043030000}"/>
    <cellStyle name="Normal 10 5" xfId="1491" xr:uid="{00000000-0005-0000-0000-000044030000}"/>
    <cellStyle name="Normal 10 6" xfId="1492" xr:uid="{00000000-0005-0000-0000-000045030000}"/>
    <cellStyle name="Normal 10 7" xfId="1493" xr:uid="{00000000-0005-0000-0000-000046030000}"/>
    <cellStyle name="Normal 10_Girls Hostel attached to Model School at Munipally WDE (Final) Modified (05.09.2014)" xfId="836" xr:uid="{00000000-0005-0000-0000-000047030000}"/>
    <cellStyle name="Normal 11" xfId="102" xr:uid="{00000000-0005-0000-0000-000048030000}"/>
    <cellStyle name="Normal 11 2" xfId="837" xr:uid="{00000000-0005-0000-0000-000049030000}"/>
    <cellStyle name="Normal 11 2 2" xfId="1280" xr:uid="{00000000-0005-0000-0000-00004A030000}"/>
    <cellStyle name="Normal 11 2 2 2" xfId="1281" xr:uid="{00000000-0005-0000-0000-00004B030000}"/>
    <cellStyle name="Normal 11 2 3" xfId="1282" xr:uid="{00000000-0005-0000-0000-00004C030000}"/>
    <cellStyle name="Normal 11 2 3 2" xfId="1283" xr:uid="{00000000-0005-0000-0000-00004D030000}"/>
    <cellStyle name="Normal 11 2 4" xfId="1284" xr:uid="{00000000-0005-0000-0000-00004E030000}"/>
    <cellStyle name="Normal 11 2 5" xfId="1494" xr:uid="{00000000-0005-0000-0000-00004F030000}"/>
    <cellStyle name="Normal 11 2 6" xfId="1495" xr:uid="{00000000-0005-0000-0000-000050030000}"/>
    <cellStyle name="Normal 11 3" xfId="1285" xr:uid="{00000000-0005-0000-0000-000051030000}"/>
    <cellStyle name="Normal 11 3 2" xfId="1286" xr:uid="{00000000-0005-0000-0000-000052030000}"/>
    <cellStyle name="Normal 11 4" xfId="1287" xr:uid="{00000000-0005-0000-0000-000053030000}"/>
    <cellStyle name="Normal 11 4 2" xfId="1288" xr:uid="{00000000-0005-0000-0000-000054030000}"/>
    <cellStyle name="Normal 11 5" xfId="1289" xr:uid="{00000000-0005-0000-0000-000055030000}"/>
    <cellStyle name="Normal 11 6" xfId="1496" xr:uid="{00000000-0005-0000-0000-000056030000}"/>
    <cellStyle name="Normal 11 7" xfId="1497" xr:uid="{00000000-0005-0000-0000-000057030000}"/>
    <cellStyle name="Normal 11_TIRUPATI  ELEC" xfId="838" xr:uid="{00000000-0005-0000-0000-000058030000}"/>
    <cellStyle name="Normal 12" xfId="103" xr:uid="{00000000-0005-0000-0000-000059030000}"/>
    <cellStyle name="Normal 12 2" xfId="839" xr:uid="{00000000-0005-0000-0000-00005A030000}"/>
    <cellStyle name="Normal 12 2 2" xfId="840" xr:uid="{00000000-0005-0000-0000-00005B030000}"/>
    <cellStyle name="Normal 12 2 2 2" xfId="1290" xr:uid="{00000000-0005-0000-0000-00005C030000}"/>
    <cellStyle name="Normal 12 2 2 2 2" xfId="1291" xr:uid="{00000000-0005-0000-0000-00005D030000}"/>
    <cellStyle name="Normal 12 2 2 3" xfId="1292" xr:uid="{00000000-0005-0000-0000-00005E030000}"/>
    <cellStyle name="Normal 12 2 2 3 2" xfId="1293" xr:uid="{00000000-0005-0000-0000-00005F030000}"/>
    <cellStyle name="Normal 12 2 2 4" xfId="1294" xr:uid="{00000000-0005-0000-0000-000060030000}"/>
    <cellStyle name="Normal 12 2 2 5" xfId="1498" xr:uid="{00000000-0005-0000-0000-000061030000}"/>
    <cellStyle name="Normal 12 2 2 6" xfId="1499" xr:uid="{00000000-0005-0000-0000-000062030000}"/>
    <cellStyle name="Normal 12 2 3" xfId="1295" xr:uid="{00000000-0005-0000-0000-000063030000}"/>
    <cellStyle name="Normal 12 2 3 2" xfId="1296" xr:uid="{00000000-0005-0000-0000-000064030000}"/>
    <cellStyle name="Normal 12 2 4" xfId="1297" xr:uid="{00000000-0005-0000-0000-000065030000}"/>
    <cellStyle name="Normal 12 2 4 2" xfId="1298" xr:uid="{00000000-0005-0000-0000-000066030000}"/>
    <cellStyle name="Normal 12 2 5" xfId="1299" xr:uid="{00000000-0005-0000-0000-000067030000}"/>
    <cellStyle name="Normal 12 2 6" xfId="1500" xr:uid="{00000000-0005-0000-0000-000068030000}"/>
    <cellStyle name="Normal 12 2 7" xfId="1501" xr:uid="{00000000-0005-0000-0000-000069030000}"/>
    <cellStyle name="Normal 12 3" xfId="841" xr:uid="{00000000-0005-0000-0000-00006A030000}"/>
    <cellStyle name="Normal 12 3 2" xfId="1300" xr:uid="{00000000-0005-0000-0000-00006B030000}"/>
    <cellStyle name="Normal 12 4" xfId="1276" xr:uid="{00000000-0005-0000-0000-00006C030000}"/>
    <cellStyle name="Normal 12 4 2" xfId="1301" xr:uid="{00000000-0005-0000-0000-00006D030000}"/>
    <cellStyle name="Normal 12 4 3" xfId="1302" xr:uid="{00000000-0005-0000-0000-00006E030000}"/>
    <cellStyle name="Normal 12 4 3 2" xfId="1344" xr:uid="{00000000-0005-0000-0000-00006F030000}"/>
    <cellStyle name="Normal 12 4 4" xfId="1387" xr:uid="{00000000-0005-0000-0000-000070030000}"/>
    <cellStyle name="Normal 12 4 5" xfId="1392" xr:uid="{00000000-0005-0000-0000-000071030000}"/>
    <cellStyle name="Normal 12 5" xfId="1303" xr:uid="{00000000-0005-0000-0000-000072030000}"/>
    <cellStyle name="Normal 12 6" xfId="1502" xr:uid="{00000000-0005-0000-0000-000073030000}"/>
    <cellStyle name="Normal 12 7" xfId="1503" xr:uid="{00000000-0005-0000-0000-000074030000}"/>
    <cellStyle name="Normal 13" xfId="104" xr:uid="{00000000-0005-0000-0000-000075030000}"/>
    <cellStyle name="Normal 13 2" xfId="842" xr:uid="{00000000-0005-0000-0000-000076030000}"/>
    <cellStyle name="Normal 13 2 2" xfId="843" xr:uid="{00000000-0005-0000-0000-000077030000}"/>
    <cellStyle name="Normal 13 3" xfId="1504" xr:uid="{00000000-0005-0000-0000-000078030000}"/>
    <cellStyle name="Normal 13 4" xfId="1505" xr:uid="{00000000-0005-0000-0000-000079030000}"/>
    <cellStyle name="Normal 13_Girls Hostel attached to Model School at Munipally WDE (Final) Modified (05.09.2014)" xfId="844" xr:uid="{00000000-0005-0000-0000-00007A030000}"/>
    <cellStyle name="Normal 14" xfId="105" xr:uid="{00000000-0005-0000-0000-00007B030000}"/>
    <cellStyle name="Normal 14 2" xfId="845" xr:uid="{00000000-0005-0000-0000-00007C030000}"/>
    <cellStyle name="Normal 14 2 2" xfId="846" xr:uid="{00000000-0005-0000-0000-00007D030000}"/>
    <cellStyle name="Normal 15" xfId="106" xr:uid="{00000000-0005-0000-0000-00007E030000}"/>
    <cellStyle name="Normal 15 2" xfId="847" xr:uid="{00000000-0005-0000-0000-00007F030000}"/>
    <cellStyle name="Normal 15 3" xfId="848" xr:uid="{00000000-0005-0000-0000-000080030000}"/>
    <cellStyle name="Normal 16" xfId="107" xr:uid="{00000000-0005-0000-0000-000081030000}"/>
    <cellStyle name="Normal 16 2" xfId="849" xr:uid="{00000000-0005-0000-0000-000082030000}"/>
    <cellStyle name="Normal 16 3" xfId="850" xr:uid="{00000000-0005-0000-0000-000083030000}"/>
    <cellStyle name="Normal 17" xfId="108" xr:uid="{00000000-0005-0000-0000-000084030000}"/>
    <cellStyle name="Normal 17 2" xfId="109" xr:uid="{00000000-0005-0000-0000-000085030000}"/>
    <cellStyle name="Normal 17 2 2" xfId="851" xr:uid="{00000000-0005-0000-0000-000086030000}"/>
    <cellStyle name="Normal 17 3" xfId="852" xr:uid="{00000000-0005-0000-0000-000087030000}"/>
    <cellStyle name="Normal 17 4" xfId="853" xr:uid="{00000000-0005-0000-0000-000088030000}"/>
    <cellStyle name="Normal 17_Abst for J.P.nagar" xfId="854" xr:uid="{00000000-0005-0000-0000-000089030000}"/>
    <cellStyle name="Normal 18" xfId="110" xr:uid="{00000000-0005-0000-0000-00008A030000}"/>
    <cellStyle name="Normal 18 2" xfId="855" xr:uid="{00000000-0005-0000-0000-00008B030000}"/>
    <cellStyle name="Normal 18 3" xfId="856" xr:uid="{00000000-0005-0000-0000-00008C030000}"/>
    <cellStyle name="Normal 19" xfId="857" xr:uid="{00000000-0005-0000-0000-00008D030000}"/>
    <cellStyle name="Normal 19 2" xfId="858" xr:uid="{00000000-0005-0000-0000-00008E030000}"/>
    <cellStyle name="Normal 19 3" xfId="859" xr:uid="{00000000-0005-0000-0000-00008F030000}"/>
    <cellStyle name="Normal 2" xfId="111" xr:uid="{00000000-0005-0000-0000-000090030000}"/>
    <cellStyle name="Normal 2 10" xfId="860" xr:uid="{00000000-0005-0000-0000-000091030000}"/>
    <cellStyle name="Normal 2 10 2" xfId="861" xr:uid="{00000000-0005-0000-0000-000092030000}"/>
    <cellStyle name="Normal 2 11" xfId="862" xr:uid="{00000000-0005-0000-0000-000093030000}"/>
    <cellStyle name="Normal 2 12" xfId="863" xr:uid="{00000000-0005-0000-0000-000094030000}"/>
    <cellStyle name="Normal 2 13" xfId="864" xr:uid="{00000000-0005-0000-0000-000095030000}"/>
    <cellStyle name="Normal 2 14" xfId="865" xr:uid="{00000000-0005-0000-0000-000096030000}"/>
    <cellStyle name="Normal 2 14 2" xfId="866" xr:uid="{00000000-0005-0000-0000-000097030000}"/>
    <cellStyle name="Normal 2 14 3" xfId="867" xr:uid="{00000000-0005-0000-0000-000098030000}"/>
    <cellStyle name="Normal 2 15" xfId="868" xr:uid="{00000000-0005-0000-0000-000099030000}"/>
    <cellStyle name="Normal 2 15 2" xfId="869" xr:uid="{00000000-0005-0000-0000-00009A030000}"/>
    <cellStyle name="Normal 2 15 3" xfId="870" xr:uid="{00000000-0005-0000-0000-00009B030000}"/>
    <cellStyle name="Normal 2 15 4" xfId="871" xr:uid="{00000000-0005-0000-0000-00009C030000}"/>
    <cellStyle name="Normal 2 16" xfId="1396" xr:uid="{00000000-0005-0000-0000-00009D030000}"/>
    <cellStyle name="Normal 2 17" xfId="1397" xr:uid="{00000000-0005-0000-0000-00009E030000}"/>
    <cellStyle name="Normal 2 18" xfId="1398" xr:uid="{00000000-0005-0000-0000-00009F030000}"/>
    <cellStyle name="Normal 2 19" xfId="1399" xr:uid="{00000000-0005-0000-0000-0000A0030000}"/>
    <cellStyle name="Normal 2 2" xfId="112" xr:uid="{00000000-0005-0000-0000-0000A1030000}"/>
    <cellStyle name="Normal 2 2 10" xfId="1418" xr:uid="{00000000-0005-0000-0000-0000A2030000}"/>
    <cellStyle name="Normal 2 2 2" xfId="113" xr:uid="{00000000-0005-0000-0000-0000A3030000}"/>
    <cellStyle name="Normal 2 2 2 2" xfId="114" xr:uid="{00000000-0005-0000-0000-0000A4030000}"/>
    <cellStyle name="Normal 2 2 2 2 2" xfId="1351" xr:uid="{00000000-0005-0000-0000-0000A5030000}"/>
    <cellStyle name="Normal 2 2 2 3" xfId="872" xr:uid="{00000000-0005-0000-0000-0000A6030000}"/>
    <cellStyle name="Normal 2 2 2 4" xfId="873" xr:uid="{00000000-0005-0000-0000-0000A7030000}"/>
    <cellStyle name="Normal 2 2 3" xfId="115" xr:uid="{00000000-0005-0000-0000-0000A8030000}"/>
    <cellStyle name="Normal 2 2 3 2" xfId="874" xr:uid="{00000000-0005-0000-0000-0000A9030000}"/>
    <cellStyle name="Normal 2 2 3 2 2" xfId="1506" xr:uid="{00000000-0005-0000-0000-0000AA030000}"/>
    <cellStyle name="Normal 2 2 3 3" xfId="1424" xr:uid="{00000000-0005-0000-0000-0000AB030000}"/>
    <cellStyle name="Normal 2 2 3 4" xfId="1507" xr:uid="{00000000-0005-0000-0000-0000AC030000}"/>
    <cellStyle name="Normal 2 2 3 5" xfId="1508" xr:uid="{00000000-0005-0000-0000-0000AD030000}"/>
    <cellStyle name="Normal 2 2 3 6" xfId="1509" xr:uid="{00000000-0005-0000-0000-0000AE030000}"/>
    <cellStyle name="Normal 2 2 3 7" xfId="1510" xr:uid="{00000000-0005-0000-0000-0000AF030000}"/>
    <cellStyle name="Normal 2 2 4" xfId="116" xr:uid="{00000000-0005-0000-0000-0000B0030000}"/>
    <cellStyle name="Normal 2 2 4 2" xfId="875" xr:uid="{00000000-0005-0000-0000-0000B1030000}"/>
    <cellStyle name="Normal 2 2 4 3" xfId="1511" xr:uid="{00000000-0005-0000-0000-0000B2030000}"/>
    <cellStyle name="Normal 2 2 4 4" xfId="1512" xr:uid="{00000000-0005-0000-0000-0000B3030000}"/>
    <cellStyle name="Normal 2 2 4 5" xfId="1513" xr:uid="{00000000-0005-0000-0000-0000B4030000}"/>
    <cellStyle name="Normal 2 2 4 6" xfId="1514" xr:uid="{00000000-0005-0000-0000-0000B5030000}"/>
    <cellStyle name="Normal 2 2 5" xfId="876" xr:uid="{00000000-0005-0000-0000-0000B6030000}"/>
    <cellStyle name="Normal 2 2 6" xfId="1515" xr:uid="{00000000-0005-0000-0000-0000B7030000}"/>
    <cellStyle name="Normal 2 2 7" xfId="1516" xr:uid="{00000000-0005-0000-0000-0000B8030000}"/>
    <cellStyle name="Normal 2 2 8" xfId="1517" xr:uid="{00000000-0005-0000-0000-0000B9030000}"/>
    <cellStyle name="Normal 2 2 9" xfId="1518" xr:uid="{00000000-0005-0000-0000-0000BA030000}"/>
    <cellStyle name="Normal 2 2_1" xfId="877" xr:uid="{00000000-0005-0000-0000-0000BB030000}"/>
    <cellStyle name="Normal 2 20" xfId="1400" xr:uid="{00000000-0005-0000-0000-0000BC030000}"/>
    <cellStyle name="Normal 2 3" xfId="117" xr:uid="{00000000-0005-0000-0000-0000BD030000}"/>
    <cellStyle name="Normal 2 3 2" xfId="878" xr:uid="{00000000-0005-0000-0000-0000BE030000}"/>
    <cellStyle name="Normal 2 3 2 2" xfId="177" xr:uid="{00000000-0005-0000-0000-0000BF030000}"/>
    <cellStyle name="Normal 2 3 2 3" xfId="879" xr:uid="{00000000-0005-0000-0000-0000C0030000}"/>
    <cellStyle name="Normal 2 3 2 4" xfId="880" xr:uid="{00000000-0005-0000-0000-0000C1030000}"/>
    <cellStyle name="Normal 2 3 2_Copy of Uploaded Estimate ( Nellore)" xfId="881" xr:uid="{00000000-0005-0000-0000-0000C2030000}"/>
    <cellStyle name="Normal 2 3 3" xfId="882" xr:uid="{00000000-0005-0000-0000-0000C3030000}"/>
    <cellStyle name="Normal 2 3 3 2" xfId="883" xr:uid="{00000000-0005-0000-0000-0000C4030000}"/>
    <cellStyle name="Normal 2 3 3 2 2" xfId="884" xr:uid="{00000000-0005-0000-0000-0000C5030000}"/>
    <cellStyle name="Normal 2 3 3 2 2 2" xfId="1304" xr:uid="{00000000-0005-0000-0000-0000C6030000}"/>
    <cellStyle name="Normal 2 3 3 2 2 3" xfId="1519" xr:uid="{00000000-0005-0000-0000-0000C7030000}"/>
    <cellStyle name="Normal 2 3 3 2 2 4" xfId="1520" xr:uid="{00000000-0005-0000-0000-0000C8030000}"/>
    <cellStyle name="Normal 2 3 3 2 3" xfId="1305" xr:uid="{00000000-0005-0000-0000-0000C9030000}"/>
    <cellStyle name="Normal 2 3 3 2 3 2" xfId="1306" xr:uid="{00000000-0005-0000-0000-0000CA030000}"/>
    <cellStyle name="Normal 2 3 3 2 4" xfId="1307" xr:uid="{00000000-0005-0000-0000-0000CB030000}"/>
    <cellStyle name="Normal 2 3 3 2 5" xfId="1521" xr:uid="{00000000-0005-0000-0000-0000CC030000}"/>
    <cellStyle name="Normal 2 3 3 2 6" xfId="1522" xr:uid="{00000000-0005-0000-0000-0000CD030000}"/>
    <cellStyle name="Normal 2 3 3 2 7" xfId="1523" xr:uid="{00000000-0005-0000-0000-0000CE030000}"/>
    <cellStyle name="Normal 2 3 3 3" xfId="1308" xr:uid="{00000000-0005-0000-0000-0000CF030000}"/>
    <cellStyle name="Normal 2 3 3 3 2" xfId="1309" xr:uid="{00000000-0005-0000-0000-0000D0030000}"/>
    <cellStyle name="Normal 2 3 3 4" xfId="1310" xr:uid="{00000000-0005-0000-0000-0000D1030000}"/>
    <cellStyle name="Normal 2 3 3 4 2" xfId="1311" xr:uid="{00000000-0005-0000-0000-0000D2030000}"/>
    <cellStyle name="Normal 2 3 3 5" xfId="1312" xr:uid="{00000000-0005-0000-0000-0000D3030000}"/>
    <cellStyle name="Normal 2 3 3 6" xfId="1524" xr:uid="{00000000-0005-0000-0000-0000D4030000}"/>
    <cellStyle name="Normal 2 3 3 7" xfId="1525" xr:uid="{00000000-0005-0000-0000-0000D5030000}"/>
    <cellStyle name="Normal 2 3 4" xfId="885" xr:uid="{00000000-0005-0000-0000-0000D6030000}"/>
    <cellStyle name="Normal 2 3 4 2" xfId="886" xr:uid="{00000000-0005-0000-0000-0000D7030000}"/>
    <cellStyle name="Normal 2 3 4 2 2" xfId="887" xr:uid="{00000000-0005-0000-0000-0000D8030000}"/>
    <cellStyle name="Normal 2 3 4 2 2 2" xfId="888" xr:uid="{00000000-0005-0000-0000-0000D9030000}"/>
    <cellStyle name="Normal 2 3 4 2 2 2 2" xfId="1313" xr:uid="{00000000-0005-0000-0000-0000DA030000}"/>
    <cellStyle name="Normal 2 3 4 2 2 3" xfId="1314" xr:uid="{00000000-0005-0000-0000-0000DB030000}"/>
    <cellStyle name="Normal 2 3 4 2 2 3 2" xfId="1315" xr:uid="{00000000-0005-0000-0000-0000DC030000}"/>
    <cellStyle name="Normal 2 3 4 2 2 4" xfId="1316" xr:uid="{00000000-0005-0000-0000-0000DD030000}"/>
    <cellStyle name="Normal 2 3 4 2 2 5" xfId="1526" xr:uid="{00000000-0005-0000-0000-0000DE030000}"/>
    <cellStyle name="Normal 2 3 4 2 2 6" xfId="1527" xr:uid="{00000000-0005-0000-0000-0000DF030000}"/>
    <cellStyle name="Normal 2 3 4 2 2 7" xfId="1528" xr:uid="{00000000-0005-0000-0000-0000E0030000}"/>
    <cellStyle name="Normal 2 3 4 2 3" xfId="1317" xr:uid="{00000000-0005-0000-0000-0000E1030000}"/>
    <cellStyle name="Normal 2 3 4 2 3 2" xfId="1318" xr:uid="{00000000-0005-0000-0000-0000E2030000}"/>
    <cellStyle name="Normal 2 3 4 2 4" xfId="1319" xr:uid="{00000000-0005-0000-0000-0000E3030000}"/>
    <cellStyle name="Normal 2 3 4 2 4 2" xfId="1320" xr:uid="{00000000-0005-0000-0000-0000E4030000}"/>
    <cellStyle name="Normal 2 3 4 2 5" xfId="1321" xr:uid="{00000000-0005-0000-0000-0000E5030000}"/>
    <cellStyle name="Normal 2 3 4 2 6" xfId="1529" xr:uid="{00000000-0005-0000-0000-0000E6030000}"/>
    <cellStyle name="Normal 2 3 4 2 7" xfId="1530" xr:uid="{00000000-0005-0000-0000-0000E7030000}"/>
    <cellStyle name="Normal 2 3 4 3" xfId="1274" xr:uid="{00000000-0005-0000-0000-0000E8030000}"/>
    <cellStyle name="Normal 2 3 4 3 2" xfId="1322" xr:uid="{00000000-0005-0000-0000-0000E9030000}"/>
    <cellStyle name="Normal 2 3 4 3 3" xfId="1531" xr:uid="{00000000-0005-0000-0000-0000EA030000}"/>
    <cellStyle name="Normal 2 3 4 4" xfId="1323" xr:uid="{00000000-0005-0000-0000-0000EB030000}"/>
    <cellStyle name="Normal 2 3 4 4 2" xfId="1324" xr:uid="{00000000-0005-0000-0000-0000EC030000}"/>
    <cellStyle name="Normal 2 3 4 5" xfId="1325" xr:uid="{00000000-0005-0000-0000-0000ED030000}"/>
    <cellStyle name="Normal 2 3 4 6" xfId="1532" xr:uid="{00000000-0005-0000-0000-0000EE030000}"/>
    <cellStyle name="Normal 2 3 4 7" xfId="1533" xr:uid="{00000000-0005-0000-0000-0000EF030000}"/>
    <cellStyle name="Normal 2 3 5" xfId="889" xr:uid="{00000000-0005-0000-0000-0000F0030000}"/>
    <cellStyle name="Normal 2 3 5 2" xfId="1326" xr:uid="{00000000-0005-0000-0000-0000F1030000}"/>
    <cellStyle name="Normal 2 3 6" xfId="890" xr:uid="{00000000-0005-0000-0000-0000F2030000}"/>
    <cellStyle name="Normal 2 3 6 2" xfId="1327" xr:uid="{00000000-0005-0000-0000-0000F3030000}"/>
    <cellStyle name="Normal 2 3 7" xfId="891" xr:uid="{00000000-0005-0000-0000-0000F4030000}"/>
    <cellStyle name="Normal 2 3 8" xfId="892" xr:uid="{00000000-0005-0000-0000-0000F5030000}"/>
    <cellStyle name="Normal 2 3 9" xfId="1534" xr:uid="{00000000-0005-0000-0000-0000F6030000}"/>
    <cellStyle name="Normal 2 3_BANGALORE 13-02-2012" xfId="893" xr:uid="{00000000-0005-0000-0000-0000F7030000}"/>
    <cellStyle name="Normal 2 4" xfId="118" xr:uid="{00000000-0005-0000-0000-0000F8030000}"/>
    <cellStyle name="Normal 2 4 2" xfId="894" xr:uid="{00000000-0005-0000-0000-0000F9030000}"/>
    <cellStyle name="Normal 2 4 2 2" xfId="895" xr:uid="{00000000-0005-0000-0000-0000FA030000}"/>
    <cellStyle name="Normal 2 4 2 3" xfId="1352" xr:uid="{00000000-0005-0000-0000-0000FB030000}"/>
    <cellStyle name="Normal 2 4 2 4" xfId="1353" xr:uid="{00000000-0005-0000-0000-0000FC030000}"/>
    <cellStyle name="Normal 2 4 2 5" xfId="1354" xr:uid="{00000000-0005-0000-0000-0000FD030000}"/>
    <cellStyle name="Normal 2 4 2 6" xfId="1423" xr:uid="{00000000-0005-0000-0000-0000FE030000}"/>
    <cellStyle name="Normal 2 4 3" xfId="896" xr:uid="{00000000-0005-0000-0000-0000FF030000}"/>
    <cellStyle name="Normal 2 4 4" xfId="897" xr:uid="{00000000-0005-0000-0000-000000040000}"/>
    <cellStyle name="Normal 2 4 5" xfId="1328" xr:uid="{00000000-0005-0000-0000-000001040000}"/>
    <cellStyle name="Normal 2 4 6" xfId="1355" xr:uid="{00000000-0005-0000-0000-000002040000}"/>
    <cellStyle name="Normal 2 4 7" xfId="1535" xr:uid="{00000000-0005-0000-0000-000003040000}"/>
    <cellStyle name="Normal 2 5" xfId="119" xr:uid="{00000000-0005-0000-0000-000004040000}"/>
    <cellStyle name="Normal 2 5 2" xfId="898" xr:uid="{00000000-0005-0000-0000-000005040000}"/>
    <cellStyle name="Normal 2 5 3" xfId="1356" xr:uid="{00000000-0005-0000-0000-000006040000}"/>
    <cellStyle name="Normal 2 5 4" xfId="1357" xr:uid="{00000000-0005-0000-0000-000007040000}"/>
    <cellStyle name="Normal 2 5 5" xfId="1389" xr:uid="{00000000-0005-0000-0000-000008040000}"/>
    <cellStyle name="Normal 2 5 6" xfId="1536" xr:uid="{00000000-0005-0000-0000-000009040000}"/>
    <cellStyle name="Normal 2 5 7" xfId="1537" xr:uid="{00000000-0005-0000-0000-00000A040000}"/>
    <cellStyle name="Normal 2 6" xfId="120" xr:uid="{00000000-0005-0000-0000-00000B040000}"/>
    <cellStyle name="Normal 2 6 2" xfId="1358" xr:uid="{00000000-0005-0000-0000-00000C040000}"/>
    <cellStyle name="Normal 2 6 3" xfId="1359" xr:uid="{00000000-0005-0000-0000-00000D040000}"/>
    <cellStyle name="Normal 2 6 4" xfId="1360" xr:uid="{00000000-0005-0000-0000-00000E040000}"/>
    <cellStyle name="Normal 2 6 5" xfId="1538" xr:uid="{00000000-0005-0000-0000-00000F040000}"/>
    <cellStyle name="Normal 2 6 6" xfId="1539" xr:uid="{00000000-0005-0000-0000-000010040000}"/>
    <cellStyle name="Normal 2 7" xfId="899" xr:uid="{00000000-0005-0000-0000-000011040000}"/>
    <cellStyle name="Normal 2 7 2" xfId="1420" xr:uid="{00000000-0005-0000-0000-000012040000}"/>
    <cellStyle name="Normal 2 8" xfId="900" xr:uid="{00000000-0005-0000-0000-000013040000}"/>
    <cellStyle name="Normal 2 9" xfId="901" xr:uid="{00000000-0005-0000-0000-000014040000}"/>
    <cellStyle name="Normal 2_ ZPHS (G) at Enkoor (V&amp;M) 22.08 L" xfId="902" xr:uid="{00000000-0005-0000-0000-000015040000}"/>
    <cellStyle name="Normal 20" xfId="903" xr:uid="{00000000-0005-0000-0000-000016040000}"/>
    <cellStyle name="Normal 20 2" xfId="904" xr:uid="{00000000-0005-0000-0000-000017040000}"/>
    <cellStyle name="Normal 20 3" xfId="1361" xr:uid="{00000000-0005-0000-0000-000018040000}"/>
    <cellStyle name="Normal 21" xfId="905" xr:uid="{00000000-0005-0000-0000-000019040000}"/>
    <cellStyle name="Normal 21 2" xfId="906" xr:uid="{00000000-0005-0000-0000-00001A040000}"/>
    <cellStyle name="Normal 21 3" xfId="907" xr:uid="{00000000-0005-0000-0000-00001B040000}"/>
    <cellStyle name="Normal 21 4" xfId="908" xr:uid="{00000000-0005-0000-0000-00001C040000}"/>
    <cellStyle name="Normal 21 4 2" xfId="909" xr:uid="{00000000-0005-0000-0000-00001D040000}"/>
    <cellStyle name="Normal 21 4 2 2" xfId="910" xr:uid="{00000000-0005-0000-0000-00001E040000}"/>
    <cellStyle name="Normal 21 4 3" xfId="911" xr:uid="{00000000-0005-0000-0000-00001F040000}"/>
    <cellStyle name="Normal 21 5" xfId="912" xr:uid="{00000000-0005-0000-0000-000020040000}"/>
    <cellStyle name="Normal 21 6" xfId="913" xr:uid="{00000000-0005-0000-0000-000021040000}"/>
    <cellStyle name="Normal 21 6 2" xfId="914" xr:uid="{00000000-0005-0000-0000-000022040000}"/>
    <cellStyle name="Normal 22" xfId="915" xr:uid="{00000000-0005-0000-0000-000023040000}"/>
    <cellStyle name="Normal 22 2" xfId="1362" xr:uid="{00000000-0005-0000-0000-000024040000}"/>
    <cellStyle name="Normal 23" xfId="916" xr:uid="{00000000-0005-0000-0000-000025040000}"/>
    <cellStyle name="Normal 23 2" xfId="917" xr:uid="{00000000-0005-0000-0000-000026040000}"/>
    <cellStyle name="Normal 23 3" xfId="1363" xr:uid="{00000000-0005-0000-0000-000027040000}"/>
    <cellStyle name="Normal 24" xfId="918" xr:uid="{00000000-0005-0000-0000-000028040000}"/>
    <cellStyle name="Normal 25" xfId="919" xr:uid="{00000000-0005-0000-0000-000029040000}"/>
    <cellStyle name="Normal 25 2" xfId="920" xr:uid="{00000000-0005-0000-0000-00002A040000}"/>
    <cellStyle name="Normal 25 2 2" xfId="921" xr:uid="{00000000-0005-0000-0000-00002B040000}"/>
    <cellStyle name="Normal 25 2 2 2" xfId="922" xr:uid="{00000000-0005-0000-0000-00002C040000}"/>
    <cellStyle name="Normal 25 2 3" xfId="923" xr:uid="{00000000-0005-0000-0000-00002D040000}"/>
    <cellStyle name="Normal 25 3" xfId="924" xr:uid="{00000000-0005-0000-0000-00002E040000}"/>
    <cellStyle name="Normal 25 3 2" xfId="925" xr:uid="{00000000-0005-0000-0000-00002F040000}"/>
    <cellStyle name="Normal 26" xfId="926" xr:uid="{00000000-0005-0000-0000-000030040000}"/>
    <cellStyle name="Normal 26 2" xfId="927" xr:uid="{00000000-0005-0000-0000-000031040000}"/>
    <cellStyle name="Normal 26 2 2" xfId="928" xr:uid="{00000000-0005-0000-0000-000032040000}"/>
    <cellStyle name="Normal 26 2 2 2" xfId="929" xr:uid="{00000000-0005-0000-0000-000033040000}"/>
    <cellStyle name="Normal 26 2 3" xfId="930" xr:uid="{00000000-0005-0000-0000-000034040000}"/>
    <cellStyle name="Normal 26 3" xfId="931" xr:uid="{00000000-0005-0000-0000-000035040000}"/>
    <cellStyle name="Normal 26 3 2" xfId="932" xr:uid="{00000000-0005-0000-0000-000036040000}"/>
    <cellStyle name="Normal 27" xfId="933" xr:uid="{00000000-0005-0000-0000-000037040000}"/>
    <cellStyle name="Normal 27 2" xfId="934" xr:uid="{00000000-0005-0000-0000-000038040000}"/>
    <cellStyle name="Normal 27 2 2" xfId="935" xr:uid="{00000000-0005-0000-0000-000039040000}"/>
    <cellStyle name="Normal 27 2 2 2" xfId="936" xr:uid="{00000000-0005-0000-0000-00003A040000}"/>
    <cellStyle name="Normal 27 2 3" xfId="937" xr:uid="{00000000-0005-0000-0000-00003B040000}"/>
    <cellStyle name="Normal 27 3" xfId="938" xr:uid="{00000000-0005-0000-0000-00003C040000}"/>
    <cellStyle name="Normal 27 3 2" xfId="939" xr:uid="{00000000-0005-0000-0000-00003D040000}"/>
    <cellStyle name="Normal 28" xfId="940" xr:uid="{00000000-0005-0000-0000-00003E040000}"/>
    <cellStyle name="Normal 28 2" xfId="941" xr:uid="{00000000-0005-0000-0000-00003F040000}"/>
    <cellStyle name="Normal 28 2 2" xfId="942" xr:uid="{00000000-0005-0000-0000-000040040000}"/>
    <cellStyle name="Normal 28 2 2 2" xfId="943" xr:uid="{00000000-0005-0000-0000-000041040000}"/>
    <cellStyle name="Normal 28 2 3" xfId="944" xr:uid="{00000000-0005-0000-0000-000042040000}"/>
    <cellStyle name="Normal 28 3" xfId="945" xr:uid="{00000000-0005-0000-0000-000043040000}"/>
    <cellStyle name="Normal 28 3 2" xfId="946" xr:uid="{00000000-0005-0000-0000-000044040000}"/>
    <cellStyle name="Normal 29" xfId="947" xr:uid="{00000000-0005-0000-0000-000045040000}"/>
    <cellStyle name="Normal 29 2" xfId="948" xr:uid="{00000000-0005-0000-0000-000046040000}"/>
    <cellStyle name="Normal 29 2 2" xfId="949" xr:uid="{00000000-0005-0000-0000-000047040000}"/>
    <cellStyle name="Normal 29 2 2 2" xfId="950" xr:uid="{00000000-0005-0000-0000-000048040000}"/>
    <cellStyle name="Normal 29 2 3" xfId="951" xr:uid="{00000000-0005-0000-0000-000049040000}"/>
    <cellStyle name="Normal 29 3" xfId="952" xr:uid="{00000000-0005-0000-0000-00004A040000}"/>
    <cellStyle name="Normal 29 3 2" xfId="953" xr:uid="{00000000-0005-0000-0000-00004B040000}"/>
    <cellStyle name="Normal 29 4" xfId="954" xr:uid="{00000000-0005-0000-0000-00004C040000}"/>
    <cellStyle name="Normal 29 5" xfId="955" xr:uid="{00000000-0005-0000-0000-00004D040000}"/>
    <cellStyle name="Normal 29 6" xfId="956" xr:uid="{00000000-0005-0000-0000-00004E040000}"/>
    <cellStyle name="Normal 3" xfId="121" xr:uid="{00000000-0005-0000-0000-00004F040000}"/>
    <cellStyle name="Normal 3 10" xfId="957" xr:uid="{00000000-0005-0000-0000-000050040000}"/>
    <cellStyle name="Normal 3 10 2" xfId="958" xr:uid="{00000000-0005-0000-0000-000051040000}"/>
    <cellStyle name="Normal 3 10 3" xfId="959" xr:uid="{00000000-0005-0000-0000-000052040000}"/>
    <cellStyle name="Normal 3 11" xfId="960" xr:uid="{00000000-0005-0000-0000-000053040000}"/>
    <cellStyle name="Normal 3 12" xfId="961" xr:uid="{00000000-0005-0000-0000-000054040000}"/>
    <cellStyle name="Normal 3 13" xfId="962" xr:uid="{00000000-0005-0000-0000-000055040000}"/>
    <cellStyle name="Normal 3 14" xfId="963" xr:uid="{00000000-0005-0000-0000-000056040000}"/>
    <cellStyle name="Normal 3 15" xfId="964" xr:uid="{00000000-0005-0000-0000-000057040000}"/>
    <cellStyle name="Normal 3 16" xfId="965" xr:uid="{00000000-0005-0000-0000-000058040000}"/>
    <cellStyle name="Normal 3 2" xfId="122" xr:uid="{00000000-0005-0000-0000-000059040000}"/>
    <cellStyle name="Normal 3 2 2" xfId="966" xr:uid="{00000000-0005-0000-0000-00005A040000}"/>
    <cellStyle name="Normal 3 2 2 2" xfId="967" xr:uid="{00000000-0005-0000-0000-00005B040000}"/>
    <cellStyle name="Normal 3 2 2 2 2" xfId="968" xr:uid="{00000000-0005-0000-0000-00005C040000}"/>
    <cellStyle name="Normal 3 2 2 3" xfId="969" xr:uid="{00000000-0005-0000-0000-00005D040000}"/>
    <cellStyle name="Normal 3 2 2 4" xfId="1422" xr:uid="{00000000-0005-0000-0000-00005E040000}"/>
    <cellStyle name="Normal 3 2 2 5" xfId="1540" xr:uid="{00000000-0005-0000-0000-00005F040000}"/>
    <cellStyle name="Normal 3 2 2 6" xfId="1541" xr:uid="{00000000-0005-0000-0000-000060040000}"/>
    <cellStyle name="Normal 3 2 2 7" xfId="1542" xr:uid="{00000000-0005-0000-0000-000061040000}"/>
    <cellStyle name="Normal 3 2 3" xfId="970" xr:uid="{00000000-0005-0000-0000-000062040000}"/>
    <cellStyle name="Normal 3 2 3 2" xfId="971" xr:uid="{00000000-0005-0000-0000-000063040000}"/>
    <cellStyle name="Normal 3 2 3 2 2" xfId="1421" xr:uid="{00000000-0005-0000-0000-000064040000}"/>
    <cellStyle name="Normal 3 2 3 3" xfId="1390" xr:uid="{00000000-0005-0000-0000-000065040000}"/>
    <cellStyle name="Normal 3 2 3 4" xfId="1543" xr:uid="{00000000-0005-0000-0000-000066040000}"/>
    <cellStyle name="Normal 3 2 3 5" xfId="1544" xr:uid="{00000000-0005-0000-0000-000067040000}"/>
    <cellStyle name="Normal 3 2 3 6" xfId="1545" xr:uid="{00000000-0005-0000-0000-000068040000}"/>
    <cellStyle name="Normal 3 2 3 7" xfId="1546" xr:uid="{00000000-0005-0000-0000-000069040000}"/>
    <cellStyle name="Normal 3 2 4" xfId="972" xr:uid="{00000000-0005-0000-0000-00006A040000}"/>
    <cellStyle name="Normal 3 2 5" xfId="1547" xr:uid="{00000000-0005-0000-0000-00006B040000}"/>
    <cellStyle name="Normal 3 2 6" xfId="1548" xr:uid="{00000000-0005-0000-0000-00006C040000}"/>
    <cellStyle name="Normal 3 2 7" xfId="1549" xr:uid="{00000000-0005-0000-0000-00006D040000}"/>
    <cellStyle name="Normal 3 2 8" xfId="1550" xr:uid="{00000000-0005-0000-0000-00006E040000}"/>
    <cellStyle name="Normal 3 2 9" xfId="1551" xr:uid="{00000000-0005-0000-0000-00006F040000}"/>
    <cellStyle name="Normal 3 2_(GF) Reading Room Over Existing Building at Govt Jr. College  05.11.2013" xfId="973" xr:uid="{00000000-0005-0000-0000-000070040000}"/>
    <cellStyle name="Normal 3 3" xfId="123" xr:uid="{00000000-0005-0000-0000-000071040000}"/>
    <cellStyle name="Normal 3 3 2" xfId="974" xr:uid="{00000000-0005-0000-0000-000072040000}"/>
    <cellStyle name="Normal 3 3 2 2" xfId="975" xr:uid="{00000000-0005-0000-0000-000073040000}"/>
    <cellStyle name="Normal 3 3 2 3" xfId="1364" xr:uid="{00000000-0005-0000-0000-000074040000}"/>
    <cellStyle name="Normal 3 3 2 4" xfId="1365" xr:uid="{00000000-0005-0000-0000-000075040000}"/>
    <cellStyle name="Normal 3 3 2_KGVB-Mulugu-Wgl" xfId="976" xr:uid="{00000000-0005-0000-0000-000076040000}"/>
    <cellStyle name="Normal 3 3 3" xfId="1366" xr:uid="{00000000-0005-0000-0000-000077040000}"/>
    <cellStyle name="Normal 3 3 4" xfId="1367" xr:uid="{00000000-0005-0000-0000-000078040000}"/>
    <cellStyle name="Normal 3 3 5" xfId="1368" xr:uid="{00000000-0005-0000-0000-000079040000}"/>
    <cellStyle name="Normal 3 3 6" xfId="1552" xr:uid="{00000000-0005-0000-0000-00007A040000}"/>
    <cellStyle name="Normal 3 3 7" xfId="1553" xr:uid="{00000000-0005-0000-0000-00007B040000}"/>
    <cellStyle name="Normal 3 3_3 ACRs in GF - G+1 floor-2010-11" xfId="977" xr:uid="{00000000-0005-0000-0000-00007C040000}"/>
    <cellStyle name="Normal 3 33" xfId="978" xr:uid="{00000000-0005-0000-0000-00007D040000}"/>
    <cellStyle name="Normal 3 4" xfId="124" xr:uid="{00000000-0005-0000-0000-00007E040000}"/>
    <cellStyle name="Normal 3 4 2" xfId="979" xr:uid="{00000000-0005-0000-0000-00007F040000}"/>
    <cellStyle name="Normal 3 4 3" xfId="1369" xr:uid="{00000000-0005-0000-0000-000080040000}"/>
    <cellStyle name="Normal 3 4 4" xfId="1370" xr:uid="{00000000-0005-0000-0000-000081040000}"/>
    <cellStyle name="Normal 3 5" xfId="980" xr:uid="{00000000-0005-0000-0000-000082040000}"/>
    <cellStyle name="Normal 3 5 2" xfId="981" xr:uid="{00000000-0005-0000-0000-000083040000}"/>
    <cellStyle name="Normal 3 5 3" xfId="982" xr:uid="{00000000-0005-0000-0000-000084040000}"/>
    <cellStyle name="Normal 3 5 4" xfId="983" xr:uid="{00000000-0005-0000-0000-000085040000}"/>
    <cellStyle name="Normal 3 6" xfId="984" xr:uid="{00000000-0005-0000-0000-000086040000}"/>
    <cellStyle name="Normal 3 6 2" xfId="985" xr:uid="{00000000-0005-0000-0000-000087040000}"/>
    <cellStyle name="Normal 3 6 3" xfId="1371" xr:uid="{00000000-0005-0000-0000-000088040000}"/>
    <cellStyle name="Normal 3 6 4" xfId="1372" xr:uid="{00000000-0005-0000-0000-000089040000}"/>
    <cellStyle name="Normal 3 7" xfId="986" xr:uid="{00000000-0005-0000-0000-00008A040000}"/>
    <cellStyle name="Normal 3 7 2" xfId="987" xr:uid="{00000000-0005-0000-0000-00008B040000}"/>
    <cellStyle name="Normal 3 7 3" xfId="988" xr:uid="{00000000-0005-0000-0000-00008C040000}"/>
    <cellStyle name="Normal 3 7_Girls Hostel attached to Model School at Munipally WDE (Final) Modified (05.09.2014)" xfId="989" xr:uid="{00000000-0005-0000-0000-00008D040000}"/>
    <cellStyle name="Normal 3 8" xfId="990" xr:uid="{00000000-0005-0000-0000-00008E040000}"/>
    <cellStyle name="Normal 3 8 2" xfId="991" xr:uid="{00000000-0005-0000-0000-00008F040000}"/>
    <cellStyle name="Normal 3 9" xfId="992" xr:uid="{00000000-0005-0000-0000-000090040000}"/>
    <cellStyle name="Normal 3 9 2" xfId="993" xr:uid="{00000000-0005-0000-0000-000091040000}"/>
    <cellStyle name="Normal 3 9 3" xfId="994" xr:uid="{00000000-0005-0000-0000-000092040000}"/>
    <cellStyle name="Normal 3 9 4" xfId="995" xr:uid="{00000000-0005-0000-0000-000093040000}"/>
    <cellStyle name="Normal 3_1_Pattapupalem_road estt-NCRMP" xfId="125" xr:uid="{00000000-0005-0000-0000-000094040000}"/>
    <cellStyle name="Normal 30" xfId="996" xr:uid="{00000000-0005-0000-0000-000095040000}"/>
    <cellStyle name="Normal 30 2" xfId="997" xr:uid="{00000000-0005-0000-0000-000096040000}"/>
    <cellStyle name="Normal 30 2 2" xfId="998" xr:uid="{00000000-0005-0000-0000-000097040000}"/>
    <cellStyle name="Normal 30 2 2 2" xfId="999" xr:uid="{00000000-0005-0000-0000-000098040000}"/>
    <cellStyle name="Normal 30 2 3" xfId="1000" xr:uid="{00000000-0005-0000-0000-000099040000}"/>
    <cellStyle name="Normal 30 3" xfId="1001" xr:uid="{00000000-0005-0000-0000-00009A040000}"/>
    <cellStyle name="Normal 30 3 2" xfId="1002" xr:uid="{00000000-0005-0000-0000-00009B040000}"/>
    <cellStyle name="Normal 31" xfId="1003" xr:uid="{00000000-0005-0000-0000-00009C040000}"/>
    <cellStyle name="Normal 31 2" xfId="1004" xr:uid="{00000000-0005-0000-0000-00009D040000}"/>
    <cellStyle name="Normal 31 2 2" xfId="1005" xr:uid="{00000000-0005-0000-0000-00009E040000}"/>
    <cellStyle name="Normal 31 2 2 2" xfId="1006" xr:uid="{00000000-0005-0000-0000-00009F040000}"/>
    <cellStyle name="Normal 31 2 3" xfId="1007" xr:uid="{00000000-0005-0000-0000-0000A0040000}"/>
    <cellStyle name="Normal 31 3" xfId="1008" xr:uid="{00000000-0005-0000-0000-0000A1040000}"/>
    <cellStyle name="Normal 31 3 2" xfId="1009" xr:uid="{00000000-0005-0000-0000-0000A2040000}"/>
    <cellStyle name="Normal 32" xfId="1010" xr:uid="{00000000-0005-0000-0000-0000A3040000}"/>
    <cellStyle name="Normal 32 2" xfId="1011" xr:uid="{00000000-0005-0000-0000-0000A4040000}"/>
    <cellStyle name="Normal 32 2 2" xfId="1012" xr:uid="{00000000-0005-0000-0000-0000A5040000}"/>
    <cellStyle name="Normal 32 2 2 2" xfId="1013" xr:uid="{00000000-0005-0000-0000-0000A6040000}"/>
    <cellStyle name="Normal 32 2 3" xfId="1014" xr:uid="{00000000-0005-0000-0000-0000A7040000}"/>
    <cellStyle name="Normal 32 3" xfId="1015" xr:uid="{00000000-0005-0000-0000-0000A8040000}"/>
    <cellStyle name="Normal 32 3 2" xfId="1016" xr:uid="{00000000-0005-0000-0000-0000A9040000}"/>
    <cellStyle name="Normal 33" xfId="1017" xr:uid="{00000000-0005-0000-0000-0000AA040000}"/>
    <cellStyle name="Normal 33 2" xfId="1018" xr:uid="{00000000-0005-0000-0000-0000AB040000}"/>
    <cellStyle name="Normal 33 2 2" xfId="1019" xr:uid="{00000000-0005-0000-0000-0000AC040000}"/>
    <cellStyle name="Normal 33 2 2 2" xfId="1020" xr:uid="{00000000-0005-0000-0000-0000AD040000}"/>
    <cellStyle name="Normal 33 2 3" xfId="1021" xr:uid="{00000000-0005-0000-0000-0000AE040000}"/>
    <cellStyle name="Normal 33 3" xfId="1022" xr:uid="{00000000-0005-0000-0000-0000AF040000}"/>
    <cellStyle name="Normal 33 3 2" xfId="1023" xr:uid="{00000000-0005-0000-0000-0000B0040000}"/>
    <cellStyle name="Normal 34" xfId="1024" xr:uid="{00000000-0005-0000-0000-0000B1040000}"/>
    <cellStyle name="Normal 34 2" xfId="1025" xr:uid="{00000000-0005-0000-0000-0000B2040000}"/>
    <cellStyle name="Normal 34 3" xfId="1026" xr:uid="{00000000-0005-0000-0000-0000B3040000}"/>
    <cellStyle name="Normal 35" xfId="1027" xr:uid="{00000000-0005-0000-0000-0000B4040000}"/>
    <cellStyle name="Normal 36" xfId="1028" xr:uid="{00000000-0005-0000-0000-0000B5040000}"/>
    <cellStyle name="Normal 37" xfId="1029" xr:uid="{00000000-0005-0000-0000-0000B6040000}"/>
    <cellStyle name="Normal 38" xfId="1030" xr:uid="{00000000-0005-0000-0000-0000B7040000}"/>
    <cellStyle name="Normal 39" xfId="1031" xr:uid="{00000000-0005-0000-0000-0000B8040000}"/>
    <cellStyle name="Normal 4" xfId="126" xr:uid="{00000000-0005-0000-0000-0000B9040000}"/>
    <cellStyle name="Normal 4 10" xfId="1032" xr:uid="{00000000-0005-0000-0000-0000BA040000}"/>
    <cellStyle name="Normal 4 11" xfId="1033" xr:uid="{00000000-0005-0000-0000-0000BB040000}"/>
    <cellStyle name="Normal 4 12" xfId="1554" xr:uid="{00000000-0005-0000-0000-0000BC040000}"/>
    <cellStyle name="Normal 4 2" xfId="127" xr:uid="{00000000-0005-0000-0000-0000BD040000}"/>
    <cellStyle name="Normal 4 2 2" xfId="128" xr:uid="{00000000-0005-0000-0000-0000BE040000}"/>
    <cellStyle name="Normal 4 2 2 2" xfId="1034" xr:uid="{00000000-0005-0000-0000-0000BF040000}"/>
    <cellStyle name="Normal 4 2 3" xfId="1035" xr:uid="{00000000-0005-0000-0000-0000C0040000}"/>
    <cellStyle name="Normal 4 2 4" xfId="1036" xr:uid="{00000000-0005-0000-0000-0000C1040000}"/>
    <cellStyle name="Normal 4 2 5" xfId="1373" xr:uid="{00000000-0005-0000-0000-0000C2040000}"/>
    <cellStyle name="Normal 4 2 6" xfId="1374" xr:uid="{00000000-0005-0000-0000-0000C3040000}"/>
    <cellStyle name="Normal 4 2 7" xfId="1388" xr:uid="{00000000-0005-0000-0000-0000C4040000}"/>
    <cellStyle name="Normal 4 2_Estimate" xfId="1375" xr:uid="{00000000-0005-0000-0000-0000C5040000}"/>
    <cellStyle name="Normal 4 3" xfId="129" xr:uid="{00000000-0005-0000-0000-0000C6040000}"/>
    <cellStyle name="Normal 4 3 2" xfId="130" xr:uid="{00000000-0005-0000-0000-0000C7040000}"/>
    <cellStyle name="Normal 4 3 3" xfId="1555" xr:uid="{00000000-0005-0000-0000-0000C8040000}"/>
    <cellStyle name="Normal 4 3 4" xfId="1556" xr:uid="{00000000-0005-0000-0000-0000C9040000}"/>
    <cellStyle name="Normal 4 4" xfId="131" xr:uid="{00000000-0005-0000-0000-0000CA040000}"/>
    <cellStyle name="Normal 4 4 2" xfId="1037" xr:uid="{00000000-0005-0000-0000-0000CB040000}"/>
    <cellStyle name="Normal 4 5" xfId="132" xr:uid="{00000000-0005-0000-0000-0000CC040000}"/>
    <cellStyle name="Normal 4 5 2" xfId="133" xr:uid="{00000000-0005-0000-0000-0000CD040000}"/>
    <cellStyle name="Normal 4 6" xfId="1038" xr:uid="{00000000-0005-0000-0000-0000CE040000}"/>
    <cellStyle name="Normal 4 7" xfId="1039" xr:uid="{00000000-0005-0000-0000-0000CF040000}"/>
    <cellStyle name="Normal 4 8" xfId="1040" xr:uid="{00000000-0005-0000-0000-0000D0040000}"/>
    <cellStyle name="Normal 4 9" xfId="1041" xr:uid="{00000000-0005-0000-0000-0000D1040000}"/>
    <cellStyle name="Normal 4_1. Infilteration Well " xfId="1042" xr:uid="{00000000-0005-0000-0000-0000D2040000}"/>
    <cellStyle name="Normal 40" xfId="1043" xr:uid="{00000000-0005-0000-0000-0000D3040000}"/>
    <cellStyle name="Normal 41" xfId="1044" xr:uid="{00000000-0005-0000-0000-0000D4040000}"/>
    <cellStyle name="Normal 42" xfId="1045" xr:uid="{00000000-0005-0000-0000-0000D5040000}"/>
    <cellStyle name="Normal 42 2" xfId="1046" xr:uid="{00000000-0005-0000-0000-0000D6040000}"/>
    <cellStyle name="Normal 43" xfId="1047" xr:uid="{00000000-0005-0000-0000-0000D7040000}"/>
    <cellStyle name="Normal 44" xfId="1048" xr:uid="{00000000-0005-0000-0000-0000D8040000}"/>
    <cellStyle name="Normal 45" xfId="1049" xr:uid="{00000000-0005-0000-0000-0000D9040000}"/>
    <cellStyle name="Normal 46" xfId="1050" xr:uid="{00000000-0005-0000-0000-0000DA040000}"/>
    <cellStyle name="Normal 47" xfId="1051" xr:uid="{00000000-0005-0000-0000-0000DB040000}"/>
    <cellStyle name="Normal 48" xfId="1052" xr:uid="{00000000-0005-0000-0000-0000DC040000}"/>
    <cellStyle name="Normal 49" xfId="1053" xr:uid="{00000000-0005-0000-0000-0000DD040000}"/>
    <cellStyle name="Normal 5" xfId="134" xr:uid="{00000000-0005-0000-0000-0000DE040000}"/>
    <cellStyle name="Normal 5 10" xfId="1557" xr:uid="{00000000-0005-0000-0000-0000DF040000}"/>
    <cellStyle name="Normal 5 11" xfId="1558" xr:uid="{00000000-0005-0000-0000-0000E0040000}"/>
    <cellStyle name="Normal 5 2" xfId="135" xr:uid="{00000000-0005-0000-0000-0000E1040000}"/>
    <cellStyle name="Normal 5 2 2" xfId="1054" xr:uid="{00000000-0005-0000-0000-0000E2040000}"/>
    <cellStyle name="Normal 5 2 2 2" xfId="1329" xr:uid="{00000000-0005-0000-0000-0000E3040000}"/>
    <cellStyle name="Normal 5 2 2 3" xfId="1559" xr:uid="{00000000-0005-0000-0000-0000E4040000}"/>
    <cellStyle name="Normal 5 2 2 4" xfId="1560" xr:uid="{00000000-0005-0000-0000-0000E5040000}"/>
    <cellStyle name="Normal 5 2 3" xfId="1330" xr:uid="{00000000-0005-0000-0000-0000E6040000}"/>
    <cellStyle name="Normal 5 2 3 2" xfId="1331" xr:uid="{00000000-0005-0000-0000-0000E7040000}"/>
    <cellStyle name="Normal 5 2 4" xfId="1332" xr:uid="{00000000-0005-0000-0000-0000E8040000}"/>
    <cellStyle name="Normal 5 2 5" xfId="1561" xr:uid="{00000000-0005-0000-0000-0000E9040000}"/>
    <cellStyle name="Normal 5 2 6" xfId="1562" xr:uid="{00000000-0005-0000-0000-0000EA040000}"/>
    <cellStyle name="Normal 5 2 7" xfId="1563" xr:uid="{00000000-0005-0000-0000-0000EB040000}"/>
    <cellStyle name="Normal 5 3" xfId="136" xr:uid="{00000000-0005-0000-0000-0000EC040000}"/>
    <cellStyle name="Normal 5 3 2" xfId="1055" xr:uid="{00000000-0005-0000-0000-0000ED040000}"/>
    <cellStyle name="Normal 5 3 3" xfId="1056" xr:uid="{00000000-0005-0000-0000-0000EE040000}"/>
    <cellStyle name="Normal 5 3 3 2" xfId="1057" xr:uid="{00000000-0005-0000-0000-0000EF040000}"/>
    <cellStyle name="Normal 5 3 4" xfId="1058" xr:uid="{00000000-0005-0000-0000-0000F0040000}"/>
    <cellStyle name="Normal 5 3 5" xfId="1564" xr:uid="{00000000-0005-0000-0000-0000F1040000}"/>
    <cellStyle name="Normal 5 3 6" xfId="1565" xr:uid="{00000000-0005-0000-0000-0000F2040000}"/>
    <cellStyle name="Normal 5 3 7" xfId="1566" xr:uid="{00000000-0005-0000-0000-0000F3040000}"/>
    <cellStyle name="Normal 5 3_Girls Hostel at Ibrahimnagar SSR 2014-15 _Full(1)" xfId="1059" xr:uid="{00000000-0005-0000-0000-0000F4040000}"/>
    <cellStyle name="Normal 5 4" xfId="137" xr:uid="{00000000-0005-0000-0000-0000F5040000}"/>
    <cellStyle name="Normal 5 4 2" xfId="1060" xr:uid="{00000000-0005-0000-0000-0000F6040000}"/>
    <cellStyle name="Normal 5 4 2 2" xfId="1061" xr:uid="{00000000-0005-0000-0000-0000F7040000}"/>
    <cellStyle name="Normal 5 4 2 3" xfId="1567" xr:uid="{00000000-0005-0000-0000-0000F8040000}"/>
    <cellStyle name="Normal 5 4 2 4" xfId="1568" xr:uid="{00000000-0005-0000-0000-0000F9040000}"/>
    <cellStyle name="Normal 5 4 2 5" xfId="1569" xr:uid="{00000000-0005-0000-0000-0000FA040000}"/>
    <cellStyle name="Normal 5 4 2 6" xfId="1570" xr:uid="{00000000-0005-0000-0000-0000FB040000}"/>
    <cellStyle name="Normal 5 4 2 7" xfId="1571" xr:uid="{00000000-0005-0000-0000-0000FC040000}"/>
    <cellStyle name="Normal 5 4 3" xfId="1062" xr:uid="{00000000-0005-0000-0000-0000FD040000}"/>
    <cellStyle name="Normal 5 4 4" xfId="1333" xr:uid="{00000000-0005-0000-0000-0000FE040000}"/>
    <cellStyle name="Normal 5 4 5" xfId="1334" xr:uid="{00000000-0005-0000-0000-0000FF040000}"/>
    <cellStyle name="Normal 5 4 6" xfId="1572" xr:uid="{00000000-0005-0000-0000-000000050000}"/>
    <cellStyle name="Normal 5 4 7" xfId="1573" xr:uid="{00000000-0005-0000-0000-000001050000}"/>
    <cellStyle name="Normal 5 4 8" xfId="1574" xr:uid="{00000000-0005-0000-0000-000002050000}"/>
    <cellStyle name="Normal 5 5" xfId="1063" xr:uid="{00000000-0005-0000-0000-000003050000}"/>
    <cellStyle name="Normal 5 5 2" xfId="1064" xr:uid="{00000000-0005-0000-0000-000004050000}"/>
    <cellStyle name="Normal 5 5 3" xfId="1335" xr:uid="{00000000-0005-0000-0000-000005050000}"/>
    <cellStyle name="Normal 5 5 4" xfId="1336" xr:uid="{00000000-0005-0000-0000-000006050000}"/>
    <cellStyle name="Normal 5 5 5" xfId="1575" xr:uid="{00000000-0005-0000-0000-000007050000}"/>
    <cellStyle name="Normal 5 5 6" xfId="1576" xr:uid="{00000000-0005-0000-0000-000008050000}"/>
    <cellStyle name="Normal 5 5 7" xfId="1577" xr:uid="{00000000-0005-0000-0000-000009050000}"/>
    <cellStyle name="Normal 5 6" xfId="1065" xr:uid="{00000000-0005-0000-0000-00000A050000}"/>
    <cellStyle name="Normal 5 6 2" xfId="1337" xr:uid="{00000000-0005-0000-0000-00000B050000}"/>
    <cellStyle name="Normal 5 7" xfId="1066" xr:uid="{00000000-0005-0000-0000-00000C050000}"/>
    <cellStyle name="Normal 5 7 2" xfId="1338" xr:uid="{00000000-0005-0000-0000-00000D050000}"/>
    <cellStyle name="Normal 5 8" xfId="1339" xr:uid="{00000000-0005-0000-0000-00000E050000}"/>
    <cellStyle name="Normal 5 9" xfId="1578" xr:uid="{00000000-0005-0000-0000-00000F050000}"/>
    <cellStyle name="Normal 5_2_AP02X016 - KP Kunta" xfId="1067" xr:uid="{00000000-0005-0000-0000-000010050000}"/>
    <cellStyle name="Normal 50" xfId="1068" xr:uid="{00000000-0005-0000-0000-000011050000}"/>
    <cellStyle name="Normal 50 2" xfId="1069" xr:uid="{00000000-0005-0000-0000-000012050000}"/>
    <cellStyle name="Normal 51" xfId="1070" xr:uid="{00000000-0005-0000-0000-000013050000}"/>
    <cellStyle name="Normal 51 2" xfId="1071" xr:uid="{00000000-0005-0000-0000-000014050000}"/>
    <cellStyle name="Normal 52" xfId="1376" xr:uid="{00000000-0005-0000-0000-000015050000}"/>
    <cellStyle name="Normal 53" xfId="1395" xr:uid="{00000000-0005-0000-0000-000016050000}"/>
    <cellStyle name="Normal 54" xfId="1416" xr:uid="{00000000-0005-0000-0000-000017050000}"/>
    <cellStyle name="Normal 6" xfId="176" xr:uid="{00000000-0005-0000-0000-000018050000}"/>
    <cellStyle name="Normal 6 10" xfId="1072" xr:uid="{00000000-0005-0000-0000-000019050000}"/>
    <cellStyle name="Normal 6 11" xfId="1073" xr:uid="{00000000-0005-0000-0000-00001A050000}"/>
    <cellStyle name="Normal 6 12" xfId="1074" xr:uid="{00000000-0005-0000-0000-00001B050000}"/>
    <cellStyle name="Normal 6 13" xfId="1394" xr:uid="{00000000-0005-0000-0000-00001C050000}"/>
    <cellStyle name="Normal 6 2" xfId="138" xr:uid="{00000000-0005-0000-0000-00001D050000}"/>
    <cellStyle name="Normal 6 2 2" xfId="1075" xr:uid="{00000000-0005-0000-0000-00001E050000}"/>
    <cellStyle name="Normal 6 2 2 2" xfId="1076" xr:uid="{00000000-0005-0000-0000-00001F050000}"/>
    <cellStyle name="Normal 6 2 2 3" xfId="1579" xr:uid="{00000000-0005-0000-0000-000020050000}"/>
    <cellStyle name="Normal 6 2 2 4" xfId="1580" xr:uid="{00000000-0005-0000-0000-000021050000}"/>
    <cellStyle name="Normal 6 2 2 5" xfId="1581" xr:uid="{00000000-0005-0000-0000-000022050000}"/>
    <cellStyle name="Normal 6 2 2 6" xfId="1582" xr:uid="{00000000-0005-0000-0000-000023050000}"/>
    <cellStyle name="Normal 6 2 2 7" xfId="1583" xr:uid="{00000000-0005-0000-0000-000024050000}"/>
    <cellStyle name="Normal 6 2 3" xfId="1077" xr:uid="{00000000-0005-0000-0000-000025050000}"/>
    <cellStyle name="Normal 6 2 3 2" xfId="1078" xr:uid="{00000000-0005-0000-0000-000026050000}"/>
    <cellStyle name="Normal 6 2 3 3" xfId="1391" xr:uid="{00000000-0005-0000-0000-000027050000}"/>
    <cellStyle name="Normal 6 2 3 4" xfId="1584" xr:uid="{00000000-0005-0000-0000-000028050000}"/>
    <cellStyle name="Normal 6 2 3 5" xfId="1585" xr:uid="{00000000-0005-0000-0000-000029050000}"/>
    <cellStyle name="Normal 6 2 3 6" xfId="1586" xr:uid="{00000000-0005-0000-0000-00002A050000}"/>
    <cellStyle name="Normal 6 2 3 7" xfId="1587" xr:uid="{00000000-0005-0000-0000-00002B050000}"/>
    <cellStyle name="Normal 6 2 4" xfId="1079" xr:uid="{00000000-0005-0000-0000-00002C050000}"/>
    <cellStyle name="Normal 6 2 5" xfId="1588" xr:uid="{00000000-0005-0000-0000-00002D050000}"/>
    <cellStyle name="Normal 6 2 6" xfId="1589" xr:uid="{00000000-0005-0000-0000-00002E050000}"/>
    <cellStyle name="Normal 6 2 7" xfId="1590" xr:uid="{00000000-0005-0000-0000-00002F050000}"/>
    <cellStyle name="Normal 6 2 8" xfId="1591" xr:uid="{00000000-0005-0000-0000-000030050000}"/>
    <cellStyle name="Normal 6 2 9" xfId="1592" xr:uid="{00000000-0005-0000-0000-000031050000}"/>
    <cellStyle name="Normal 6 3" xfId="1080" xr:uid="{00000000-0005-0000-0000-000032050000}"/>
    <cellStyle name="Normal 6 3 2" xfId="1081" xr:uid="{00000000-0005-0000-0000-000033050000}"/>
    <cellStyle name="Normal 6 3 3" xfId="1593" xr:uid="{00000000-0005-0000-0000-000034050000}"/>
    <cellStyle name="Normal 6 3 4" xfId="1594" xr:uid="{00000000-0005-0000-0000-000035050000}"/>
    <cellStyle name="Normal 6 3 5" xfId="1595" xr:uid="{00000000-0005-0000-0000-000036050000}"/>
    <cellStyle name="Normal 6 3 6" xfId="1596" xr:uid="{00000000-0005-0000-0000-000037050000}"/>
    <cellStyle name="Normal 6 3 7" xfId="1597" xr:uid="{00000000-0005-0000-0000-000038050000}"/>
    <cellStyle name="Normal 6 3_Bhamanagar 5.2 - Copy" xfId="1082" xr:uid="{00000000-0005-0000-0000-000039050000}"/>
    <cellStyle name="Normal 6 4" xfId="1083" xr:uid="{00000000-0005-0000-0000-00003A050000}"/>
    <cellStyle name="Normal 6 4 2" xfId="1084" xr:uid="{00000000-0005-0000-0000-00003B050000}"/>
    <cellStyle name="Normal 6 4 2 2" xfId="1598" xr:uid="{00000000-0005-0000-0000-00003C050000}"/>
    <cellStyle name="Normal 6 4 2 3" xfId="1599" xr:uid="{00000000-0005-0000-0000-00003D050000}"/>
    <cellStyle name="Normal 6 4 2 4" xfId="1600" xr:uid="{00000000-0005-0000-0000-00003E050000}"/>
    <cellStyle name="Normal 6 4 2 5" xfId="1601" xr:uid="{00000000-0005-0000-0000-00003F050000}"/>
    <cellStyle name="Normal 6 4 2 6" xfId="1602" xr:uid="{00000000-0005-0000-0000-000040050000}"/>
    <cellStyle name="Normal 6 4 3" xfId="1340" xr:uid="{00000000-0005-0000-0000-000041050000}"/>
    <cellStyle name="Normal 6 4 4" xfId="1341" xr:uid="{00000000-0005-0000-0000-000042050000}"/>
    <cellStyle name="Normal 6 4 5" xfId="1342" xr:uid="{00000000-0005-0000-0000-000043050000}"/>
    <cellStyle name="Normal 6 4 6" xfId="1603" xr:uid="{00000000-0005-0000-0000-000044050000}"/>
    <cellStyle name="Normal 6 4 7" xfId="1604" xr:uid="{00000000-0005-0000-0000-000045050000}"/>
    <cellStyle name="Normal 6 5" xfId="1085" xr:uid="{00000000-0005-0000-0000-000046050000}"/>
    <cellStyle name="Normal 6 5 2" xfId="1086" xr:uid="{00000000-0005-0000-0000-000047050000}"/>
    <cellStyle name="Normal 6 6" xfId="1087" xr:uid="{00000000-0005-0000-0000-000048050000}"/>
    <cellStyle name="Normal 6 7" xfId="1088" xr:uid="{00000000-0005-0000-0000-000049050000}"/>
    <cellStyle name="Normal 6 8" xfId="1089" xr:uid="{00000000-0005-0000-0000-00004A050000}"/>
    <cellStyle name="Normal 6 9" xfId="1090" xr:uid="{00000000-0005-0000-0000-00004B050000}"/>
    <cellStyle name="Normal 6_Bhamanagar 5.2" xfId="1091" xr:uid="{00000000-0005-0000-0000-00004C050000}"/>
    <cellStyle name="Normal 7" xfId="1092" xr:uid="{00000000-0005-0000-0000-00004D050000}"/>
    <cellStyle name="Normal 7 10" xfId="1093" xr:uid="{00000000-0005-0000-0000-00004E050000}"/>
    <cellStyle name="Normal 7 11" xfId="1094" xr:uid="{00000000-0005-0000-0000-00004F050000}"/>
    <cellStyle name="Normal 7 12" xfId="1095" xr:uid="{00000000-0005-0000-0000-000050050000}"/>
    <cellStyle name="Normal 7 12 2" xfId="1096" xr:uid="{00000000-0005-0000-0000-000051050000}"/>
    <cellStyle name="Normal 7 2" xfId="139" xr:uid="{00000000-0005-0000-0000-000052050000}"/>
    <cellStyle name="Normal 7 2 2" xfId="1097" xr:uid="{00000000-0005-0000-0000-000053050000}"/>
    <cellStyle name="Normal 7 2 3" xfId="1098" xr:uid="{00000000-0005-0000-0000-000054050000}"/>
    <cellStyle name="Normal 7 2 4" xfId="1377" xr:uid="{00000000-0005-0000-0000-000055050000}"/>
    <cellStyle name="Normal 7 3" xfId="1099" xr:uid="{00000000-0005-0000-0000-000056050000}"/>
    <cellStyle name="Normal 7 3 2" xfId="1100" xr:uid="{00000000-0005-0000-0000-000057050000}"/>
    <cellStyle name="Normal 7 4" xfId="1101" xr:uid="{00000000-0005-0000-0000-000058050000}"/>
    <cellStyle name="Normal 7 5" xfId="1102" xr:uid="{00000000-0005-0000-0000-000059050000}"/>
    <cellStyle name="Normal 7 6" xfId="1103" xr:uid="{00000000-0005-0000-0000-00005A050000}"/>
    <cellStyle name="Normal 7 7" xfId="1104" xr:uid="{00000000-0005-0000-0000-00005B050000}"/>
    <cellStyle name="Normal 7 8" xfId="1105" xr:uid="{00000000-0005-0000-0000-00005C050000}"/>
    <cellStyle name="Normal 7 9" xfId="1106" xr:uid="{00000000-0005-0000-0000-00005D050000}"/>
    <cellStyle name="Normal 7_2_AP02X016 - KP Kunta" xfId="1107" xr:uid="{00000000-0005-0000-0000-00005E050000}"/>
    <cellStyle name="Normal 8" xfId="140" xr:uid="{00000000-0005-0000-0000-00005F050000}"/>
    <cellStyle name="Normal 8 2" xfId="1108" xr:uid="{00000000-0005-0000-0000-000060050000}"/>
    <cellStyle name="Normal 8 2 2" xfId="1109" xr:uid="{00000000-0005-0000-0000-000061050000}"/>
    <cellStyle name="Normal 8 3" xfId="1110" xr:uid="{00000000-0005-0000-0000-000062050000}"/>
    <cellStyle name="Normal 8 4" xfId="1111" xr:uid="{00000000-0005-0000-0000-000063050000}"/>
    <cellStyle name="Normal 8 5" xfId="1605" xr:uid="{00000000-0005-0000-0000-000064050000}"/>
    <cellStyle name="Normal 8 6" xfId="1606" xr:uid="{00000000-0005-0000-0000-000065050000}"/>
    <cellStyle name="Normal 8_13th Fin Ponnugupadu 22.00 Lakhs" xfId="1112" xr:uid="{00000000-0005-0000-0000-000066050000}"/>
    <cellStyle name="Normal 9" xfId="141" xr:uid="{00000000-0005-0000-0000-000067050000}"/>
    <cellStyle name="Normal 9 2" xfId="1113" xr:uid="{00000000-0005-0000-0000-000068050000}"/>
    <cellStyle name="Normal 9 2 2" xfId="1114" xr:uid="{00000000-0005-0000-0000-000069050000}"/>
    <cellStyle name="Normal 9 2 3" xfId="1607" xr:uid="{00000000-0005-0000-0000-00006A050000}"/>
    <cellStyle name="Normal 9 2 4" xfId="1608" xr:uid="{00000000-0005-0000-0000-00006B050000}"/>
    <cellStyle name="Normal 9 2 5" xfId="1609" xr:uid="{00000000-0005-0000-0000-00006C050000}"/>
    <cellStyle name="Normal 9 2 6" xfId="1610" xr:uid="{00000000-0005-0000-0000-00006D050000}"/>
    <cellStyle name="Normal 9 2 7" xfId="1611" xr:uid="{00000000-0005-0000-0000-00006E050000}"/>
    <cellStyle name="Normal 9 3" xfId="1115" xr:uid="{00000000-0005-0000-0000-00006F050000}"/>
    <cellStyle name="Normal 9 4" xfId="1612" xr:uid="{00000000-0005-0000-0000-000070050000}"/>
    <cellStyle name="Normal 9 5" xfId="1613" xr:uid="{00000000-0005-0000-0000-000071050000}"/>
    <cellStyle name="Normal 9 6" xfId="1614" xr:uid="{00000000-0005-0000-0000-000072050000}"/>
    <cellStyle name="Normal 9 7" xfId="1615" xr:uid="{00000000-0005-0000-0000-000073050000}"/>
    <cellStyle name="Normal 9 8" xfId="1616" xr:uid="{00000000-0005-0000-0000-000074050000}"/>
    <cellStyle name="Normal_Data comparision (Old &amp; New)-12.5 2" xfId="1671" xr:uid="{00000000-0005-0000-0000-000075050000}"/>
    <cellStyle name="Normal_Lead chart 2" xfId="1417" xr:uid="{00000000-0005-0000-0000-000076050000}"/>
    <cellStyle name="Normal_LEAD STATEMENT OF JAMMALAMADUGU" xfId="178" xr:uid="{00000000-0005-0000-0000-000077050000}"/>
    <cellStyle name="Normal_LEAD STATEMENT OF JAMMALAMADUGU 2" xfId="1386" xr:uid="{00000000-0005-0000-0000-000078050000}"/>
    <cellStyle name="Normal_Telka-Est-old" xfId="1275" xr:uid="{00000000-0005-0000-0000-000079050000}"/>
    <cellStyle name="Note 10" xfId="1116" xr:uid="{00000000-0005-0000-0000-00007A050000}"/>
    <cellStyle name="Note 11" xfId="1117" xr:uid="{00000000-0005-0000-0000-00007B050000}"/>
    <cellStyle name="Note 12" xfId="1118" xr:uid="{00000000-0005-0000-0000-00007C050000}"/>
    <cellStyle name="Note 13" xfId="1119" xr:uid="{00000000-0005-0000-0000-00007D050000}"/>
    <cellStyle name="Note 14" xfId="1120" xr:uid="{00000000-0005-0000-0000-00007E050000}"/>
    <cellStyle name="Note 15" xfId="1121" xr:uid="{00000000-0005-0000-0000-00007F050000}"/>
    <cellStyle name="Note 16" xfId="1122" xr:uid="{00000000-0005-0000-0000-000080050000}"/>
    <cellStyle name="Note 2" xfId="142" xr:uid="{00000000-0005-0000-0000-000081050000}"/>
    <cellStyle name="Note 2 2" xfId="1123" xr:uid="{00000000-0005-0000-0000-000082050000}"/>
    <cellStyle name="Note 2 3" xfId="1124" xr:uid="{00000000-0005-0000-0000-000083050000}"/>
    <cellStyle name="Note 3" xfId="1125" xr:uid="{00000000-0005-0000-0000-000084050000}"/>
    <cellStyle name="Note 3 2" xfId="1126" xr:uid="{00000000-0005-0000-0000-000085050000}"/>
    <cellStyle name="Note 4" xfId="1127" xr:uid="{00000000-0005-0000-0000-000086050000}"/>
    <cellStyle name="Note 5" xfId="1128" xr:uid="{00000000-0005-0000-0000-000087050000}"/>
    <cellStyle name="Note 6" xfId="1129" xr:uid="{00000000-0005-0000-0000-000088050000}"/>
    <cellStyle name="Note 7" xfId="1130" xr:uid="{00000000-0005-0000-0000-000089050000}"/>
    <cellStyle name="Note 8" xfId="1131" xr:uid="{00000000-0005-0000-0000-00008A050000}"/>
    <cellStyle name="Note 9" xfId="1132" xr:uid="{00000000-0005-0000-0000-00008B050000}"/>
    <cellStyle name="Output 10" xfId="1133" xr:uid="{00000000-0005-0000-0000-00008C050000}"/>
    <cellStyle name="Output 11" xfId="1134" xr:uid="{00000000-0005-0000-0000-00008D050000}"/>
    <cellStyle name="Output 12" xfId="1135" xr:uid="{00000000-0005-0000-0000-00008E050000}"/>
    <cellStyle name="Output 13" xfId="1136" xr:uid="{00000000-0005-0000-0000-00008F050000}"/>
    <cellStyle name="Output 14" xfId="1137" xr:uid="{00000000-0005-0000-0000-000090050000}"/>
    <cellStyle name="Output 15" xfId="1138" xr:uid="{00000000-0005-0000-0000-000091050000}"/>
    <cellStyle name="Output 16" xfId="1139" xr:uid="{00000000-0005-0000-0000-000092050000}"/>
    <cellStyle name="Output 2" xfId="143" xr:uid="{00000000-0005-0000-0000-000093050000}"/>
    <cellStyle name="Output 2 2" xfId="1140" xr:uid="{00000000-0005-0000-0000-000094050000}"/>
    <cellStyle name="Output 2 3" xfId="1141" xr:uid="{00000000-0005-0000-0000-000095050000}"/>
    <cellStyle name="Output 3" xfId="1142" xr:uid="{00000000-0005-0000-0000-000096050000}"/>
    <cellStyle name="Output 3 2" xfId="1143" xr:uid="{00000000-0005-0000-0000-000097050000}"/>
    <cellStyle name="Output 4" xfId="1144" xr:uid="{00000000-0005-0000-0000-000098050000}"/>
    <cellStyle name="Output 5" xfId="1145" xr:uid="{00000000-0005-0000-0000-000099050000}"/>
    <cellStyle name="Output 6" xfId="1146" xr:uid="{00000000-0005-0000-0000-00009A050000}"/>
    <cellStyle name="Output 7" xfId="1147" xr:uid="{00000000-0005-0000-0000-00009B050000}"/>
    <cellStyle name="Output 8" xfId="1148" xr:uid="{00000000-0005-0000-0000-00009C050000}"/>
    <cellStyle name="Output 9" xfId="1149" xr:uid="{00000000-0005-0000-0000-00009D050000}"/>
    <cellStyle name="Percent" xfId="1393" builtinId="5"/>
    <cellStyle name="Percent [2]" xfId="144" xr:uid="{00000000-0005-0000-0000-00009F050000}"/>
    <cellStyle name="Percent [2] 2" xfId="145" xr:uid="{00000000-0005-0000-0000-0000A0050000}"/>
    <cellStyle name="Percent [2] 2 2" xfId="1617" xr:uid="{00000000-0005-0000-0000-0000A1050000}"/>
    <cellStyle name="Percent [2] 2 3" xfId="1618" xr:uid="{00000000-0005-0000-0000-0000A2050000}"/>
    <cellStyle name="Percent [2] 2 4" xfId="1619" xr:uid="{00000000-0005-0000-0000-0000A3050000}"/>
    <cellStyle name="Percent [2] 2 5" xfId="1620" xr:uid="{00000000-0005-0000-0000-0000A4050000}"/>
    <cellStyle name="Percent [2] 2 6" xfId="1621" xr:uid="{00000000-0005-0000-0000-0000A5050000}"/>
    <cellStyle name="Percent [2] 3" xfId="146" xr:uid="{00000000-0005-0000-0000-0000A6050000}"/>
    <cellStyle name="Percent [2] 3 2" xfId="1622" xr:uid="{00000000-0005-0000-0000-0000A7050000}"/>
    <cellStyle name="Percent [2] 3 3" xfId="1623" xr:uid="{00000000-0005-0000-0000-0000A8050000}"/>
    <cellStyle name="Percent [2] 3 4" xfId="1624" xr:uid="{00000000-0005-0000-0000-0000A9050000}"/>
    <cellStyle name="Percent [2] 3 5" xfId="1625" xr:uid="{00000000-0005-0000-0000-0000AA050000}"/>
    <cellStyle name="Percent [2] 3 6" xfId="1626" xr:uid="{00000000-0005-0000-0000-0000AB050000}"/>
    <cellStyle name="Percent [2] 4" xfId="147" xr:uid="{00000000-0005-0000-0000-0000AC050000}"/>
    <cellStyle name="Percent [2] 4 2" xfId="1627" xr:uid="{00000000-0005-0000-0000-0000AD050000}"/>
    <cellStyle name="Percent [2] 4 3" xfId="1628" xr:uid="{00000000-0005-0000-0000-0000AE050000}"/>
    <cellStyle name="Percent [2] 4 4" xfId="1629" xr:uid="{00000000-0005-0000-0000-0000AF050000}"/>
    <cellStyle name="Percent [2] 4 5" xfId="1630" xr:uid="{00000000-0005-0000-0000-0000B0050000}"/>
    <cellStyle name="Percent [2] 4 6" xfId="1631" xr:uid="{00000000-0005-0000-0000-0000B1050000}"/>
    <cellStyle name="Percent [2] 5" xfId="1150" xr:uid="{00000000-0005-0000-0000-0000B2050000}"/>
    <cellStyle name="Percent [2] 6" xfId="1151" xr:uid="{00000000-0005-0000-0000-0000B3050000}"/>
    <cellStyle name="Percent 15" xfId="1152" xr:uid="{00000000-0005-0000-0000-0000B4050000}"/>
    <cellStyle name="Percent 15 2" xfId="1378" xr:uid="{00000000-0005-0000-0000-0000B5050000}"/>
    <cellStyle name="Percent 2" xfId="148" xr:uid="{00000000-0005-0000-0000-0000B6050000}"/>
    <cellStyle name="Percent 2 10" xfId="1153" xr:uid="{00000000-0005-0000-0000-0000B7050000}"/>
    <cellStyle name="Percent 2 11" xfId="1154" xr:uid="{00000000-0005-0000-0000-0000B8050000}"/>
    <cellStyle name="Percent 2 12" xfId="1155" xr:uid="{00000000-0005-0000-0000-0000B9050000}"/>
    <cellStyle name="Percent 2 13" xfId="1156" xr:uid="{00000000-0005-0000-0000-0000BA050000}"/>
    <cellStyle name="Percent 2 14" xfId="1157" xr:uid="{00000000-0005-0000-0000-0000BB050000}"/>
    <cellStyle name="Percent 2 15" xfId="1401" xr:uid="{00000000-0005-0000-0000-0000BC050000}"/>
    <cellStyle name="Percent 2 16" xfId="1402" xr:uid="{00000000-0005-0000-0000-0000BD050000}"/>
    <cellStyle name="Percent 2 17" xfId="1403" xr:uid="{00000000-0005-0000-0000-0000BE050000}"/>
    <cellStyle name="Percent 2 18" xfId="1404" xr:uid="{00000000-0005-0000-0000-0000BF050000}"/>
    <cellStyle name="Percent 2 19" xfId="1405" xr:uid="{00000000-0005-0000-0000-0000C0050000}"/>
    <cellStyle name="Percent 2 2" xfId="149" xr:uid="{00000000-0005-0000-0000-0000C1050000}"/>
    <cellStyle name="Percent 2 2 10" xfId="1406" xr:uid="{00000000-0005-0000-0000-0000C2050000}"/>
    <cellStyle name="Percent 2 2 11" xfId="1407" xr:uid="{00000000-0005-0000-0000-0000C3050000}"/>
    <cellStyle name="Percent 2 2 12" xfId="1408" xr:uid="{00000000-0005-0000-0000-0000C4050000}"/>
    <cellStyle name="Percent 2 2 13" xfId="1409" xr:uid="{00000000-0005-0000-0000-0000C5050000}"/>
    <cellStyle name="Percent 2 2 14" xfId="1410" xr:uid="{00000000-0005-0000-0000-0000C6050000}"/>
    <cellStyle name="Percent 2 2 2" xfId="1158" xr:uid="{00000000-0005-0000-0000-0000C7050000}"/>
    <cellStyle name="Percent 2 2 2 2" xfId="1159" xr:uid="{00000000-0005-0000-0000-0000C8050000}"/>
    <cellStyle name="Percent 2 2 2 3" xfId="1160" xr:uid="{00000000-0005-0000-0000-0000C9050000}"/>
    <cellStyle name="Percent 2 2 2 4" xfId="1161" xr:uid="{00000000-0005-0000-0000-0000CA050000}"/>
    <cellStyle name="Percent 2 2 2 5" xfId="1411" xr:uid="{00000000-0005-0000-0000-0000CB050000}"/>
    <cellStyle name="Percent 2 2 2 6" xfId="1412" xr:uid="{00000000-0005-0000-0000-0000CC050000}"/>
    <cellStyle name="Percent 2 2 2 7" xfId="1413" xr:uid="{00000000-0005-0000-0000-0000CD050000}"/>
    <cellStyle name="Percent 2 2 2 8" xfId="1414" xr:uid="{00000000-0005-0000-0000-0000CE050000}"/>
    <cellStyle name="Percent 2 2 2 9" xfId="1415" xr:uid="{00000000-0005-0000-0000-0000CF050000}"/>
    <cellStyle name="Percent 2 2 3" xfId="1162" xr:uid="{00000000-0005-0000-0000-0000D0050000}"/>
    <cellStyle name="Percent 2 2 3 2" xfId="1163" xr:uid="{00000000-0005-0000-0000-0000D1050000}"/>
    <cellStyle name="Percent 2 2 3 3" xfId="1164" xr:uid="{00000000-0005-0000-0000-0000D2050000}"/>
    <cellStyle name="Percent 2 2 4" xfId="1165" xr:uid="{00000000-0005-0000-0000-0000D3050000}"/>
    <cellStyle name="Percent 2 2 4 2" xfId="1166" xr:uid="{00000000-0005-0000-0000-0000D4050000}"/>
    <cellStyle name="Percent 2 2 5" xfId="1167" xr:uid="{00000000-0005-0000-0000-0000D5050000}"/>
    <cellStyle name="Percent 2 2 6" xfId="1168" xr:uid="{00000000-0005-0000-0000-0000D6050000}"/>
    <cellStyle name="Percent 2 2 7" xfId="1169" xr:uid="{00000000-0005-0000-0000-0000D7050000}"/>
    <cellStyle name="Percent 2 2 8" xfId="1170" xr:uid="{00000000-0005-0000-0000-0000D8050000}"/>
    <cellStyle name="Percent 2 2 9" xfId="1171" xr:uid="{00000000-0005-0000-0000-0000D9050000}"/>
    <cellStyle name="Percent 2 3" xfId="150" xr:uid="{00000000-0005-0000-0000-0000DA050000}"/>
    <cellStyle name="Percent 2 3 2" xfId="1172" xr:uid="{00000000-0005-0000-0000-0000DB050000}"/>
    <cellStyle name="Percent 2 4" xfId="1173" xr:uid="{00000000-0005-0000-0000-0000DC050000}"/>
    <cellStyle name="Percent 2 5" xfId="1174" xr:uid="{00000000-0005-0000-0000-0000DD050000}"/>
    <cellStyle name="Percent 2 6" xfId="1175" xr:uid="{00000000-0005-0000-0000-0000DE050000}"/>
    <cellStyle name="Percent 2 7" xfId="1176" xr:uid="{00000000-0005-0000-0000-0000DF050000}"/>
    <cellStyle name="Percent 2 8" xfId="1177" xr:uid="{00000000-0005-0000-0000-0000E0050000}"/>
    <cellStyle name="Percent 2 9" xfId="1178" xr:uid="{00000000-0005-0000-0000-0000E1050000}"/>
    <cellStyle name="Percent 2_WE" xfId="1379" xr:uid="{00000000-0005-0000-0000-0000E2050000}"/>
    <cellStyle name="Percent 3" xfId="151" xr:uid="{00000000-0005-0000-0000-0000E3050000}"/>
    <cellStyle name="Percent 3 10" xfId="1179" xr:uid="{00000000-0005-0000-0000-0000E4050000}"/>
    <cellStyle name="Percent 3 11" xfId="1180" xr:uid="{00000000-0005-0000-0000-0000E5050000}"/>
    <cellStyle name="Percent 3 2" xfId="1181" xr:uid="{00000000-0005-0000-0000-0000E6050000}"/>
    <cellStyle name="Percent 3 2 2" xfId="1182" xr:uid="{00000000-0005-0000-0000-0000E7050000}"/>
    <cellStyle name="Percent 3 2 3" xfId="1632" xr:uid="{00000000-0005-0000-0000-0000E8050000}"/>
    <cellStyle name="Percent 3 2 4" xfId="1633" xr:uid="{00000000-0005-0000-0000-0000E9050000}"/>
    <cellStyle name="Percent 3 2 5" xfId="1634" xr:uid="{00000000-0005-0000-0000-0000EA050000}"/>
    <cellStyle name="Percent 3 2 6" xfId="1635" xr:uid="{00000000-0005-0000-0000-0000EB050000}"/>
    <cellStyle name="Percent 3 2 7" xfId="1636" xr:uid="{00000000-0005-0000-0000-0000EC050000}"/>
    <cellStyle name="Percent 3 3" xfId="1183" xr:uid="{00000000-0005-0000-0000-0000ED050000}"/>
    <cellStyle name="Percent 3 4" xfId="1184" xr:uid="{00000000-0005-0000-0000-0000EE050000}"/>
    <cellStyle name="Percent 3 5" xfId="1185" xr:uid="{00000000-0005-0000-0000-0000EF050000}"/>
    <cellStyle name="Percent 3 6" xfId="1186" xr:uid="{00000000-0005-0000-0000-0000F0050000}"/>
    <cellStyle name="Percent 3 7" xfId="1187" xr:uid="{00000000-0005-0000-0000-0000F1050000}"/>
    <cellStyle name="Percent 3 8" xfId="1188" xr:uid="{00000000-0005-0000-0000-0000F2050000}"/>
    <cellStyle name="Percent 3 9" xfId="1189" xr:uid="{00000000-0005-0000-0000-0000F3050000}"/>
    <cellStyle name="Percent 4" xfId="152" xr:uid="{00000000-0005-0000-0000-0000F4050000}"/>
    <cellStyle name="Percent 4 2" xfId="1190" xr:uid="{00000000-0005-0000-0000-0000F5050000}"/>
    <cellStyle name="Percent 5" xfId="153" xr:uid="{00000000-0005-0000-0000-0000F6050000}"/>
    <cellStyle name="Percent 5 2" xfId="1191" xr:uid="{00000000-0005-0000-0000-0000F7050000}"/>
    <cellStyle name="Percent 6" xfId="1192" xr:uid="{00000000-0005-0000-0000-0000F8050000}"/>
    <cellStyle name="Percent 7" xfId="1193" xr:uid="{00000000-0005-0000-0000-0000F9050000}"/>
    <cellStyle name="Percent 8" xfId="1194" xr:uid="{00000000-0005-0000-0000-0000FA050000}"/>
    <cellStyle name="prabhakar" xfId="1195" xr:uid="{00000000-0005-0000-0000-0000FB050000}"/>
    <cellStyle name="RevList" xfId="154" xr:uid="{00000000-0005-0000-0000-0000FC050000}"/>
    <cellStyle name="RevList 2" xfId="1196" xr:uid="{00000000-0005-0000-0000-0000FD050000}"/>
    <cellStyle name="Sheet Title" xfId="155" xr:uid="{00000000-0005-0000-0000-0000FE050000}"/>
    <cellStyle name="style" xfId="156" xr:uid="{00000000-0005-0000-0000-0000FF050000}"/>
    <cellStyle name="Style 1" xfId="157" xr:uid="{00000000-0005-0000-0000-000000060000}"/>
    <cellStyle name="Style 1 2" xfId="1197" xr:uid="{00000000-0005-0000-0000-000001060000}"/>
    <cellStyle name="Style 1 2 2" xfId="1198" xr:uid="{00000000-0005-0000-0000-000002060000}"/>
    <cellStyle name="Style 1 3" xfId="1199" xr:uid="{00000000-0005-0000-0000-000003060000}"/>
    <cellStyle name="Style 1 4" xfId="1637" xr:uid="{00000000-0005-0000-0000-000004060000}"/>
    <cellStyle name="Style 1 5" xfId="1638" xr:uid="{00000000-0005-0000-0000-000005060000}"/>
    <cellStyle name="Style 1 6" xfId="1639" xr:uid="{00000000-0005-0000-0000-000006060000}"/>
    <cellStyle name="Style 1 7" xfId="1640" xr:uid="{00000000-0005-0000-0000-000007060000}"/>
    <cellStyle name="Style 1_ALGUNOOR,THIMMAPURTWO CLASS ROOMS 12-13(2+0)" xfId="1200" xr:uid="{00000000-0005-0000-0000-000008060000}"/>
    <cellStyle name="Style 2" xfId="1201" xr:uid="{00000000-0005-0000-0000-000009060000}"/>
    <cellStyle name="style 3" xfId="1202" xr:uid="{00000000-0005-0000-0000-00000A060000}"/>
    <cellStyle name="style 4" xfId="1203" xr:uid="{00000000-0005-0000-0000-00000B060000}"/>
    <cellStyle name="style 5" xfId="1204" xr:uid="{00000000-0005-0000-0000-00000C060000}"/>
    <cellStyle name="style 6" xfId="1205" xr:uid="{00000000-0005-0000-0000-00000D060000}"/>
    <cellStyle name="style_1_Pattapupalem_road estt-NCRMP" xfId="158" xr:uid="{00000000-0005-0000-0000-00000E060000}"/>
    <cellStyle name="style1" xfId="159" xr:uid="{00000000-0005-0000-0000-00000F060000}"/>
    <cellStyle name="style1 2" xfId="1206" xr:uid="{00000000-0005-0000-0000-000010060000}"/>
    <cellStyle name="style1 3" xfId="1207" xr:uid="{00000000-0005-0000-0000-000011060000}"/>
    <cellStyle name="style1 4" xfId="1208" xr:uid="{00000000-0005-0000-0000-000012060000}"/>
    <cellStyle name="style1 5" xfId="1209" xr:uid="{00000000-0005-0000-0000-000013060000}"/>
    <cellStyle name="style1 6" xfId="1210" xr:uid="{00000000-0005-0000-0000-000014060000}"/>
    <cellStyle name="style1_3 - ZP  BHAIRAVANAGAR 45.00L." xfId="1211" xr:uid="{00000000-0005-0000-0000-000015060000}"/>
    <cellStyle name="style2" xfId="160" xr:uid="{00000000-0005-0000-0000-000016060000}"/>
    <cellStyle name="style2 2" xfId="1212" xr:uid="{00000000-0005-0000-0000-000017060000}"/>
    <cellStyle name="style2 3" xfId="1213" xr:uid="{00000000-0005-0000-0000-000018060000}"/>
    <cellStyle name="style2 4" xfId="1214" xr:uid="{00000000-0005-0000-0000-000019060000}"/>
    <cellStyle name="style2 5" xfId="1215" xr:uid="{00000000-0005-0000-0000-00001A060000}"/>
    <cellStyle name="style2 6" xfId="1216" xr:uid="{00000000-0005-0000-0000-00001B060000}"/>
    <cellStyle name="style2_3 - ZP  BHAIRAVANAGAR 45.00L." xfId="1217" xr:uid="{00000000-0005-0000-0000-00001C060000}"/>
    <cellStyle name="Sub Head" xfId="161" xr:uid="{00000000-0005-0000-0000-00001D060000}"/>
    <cellStyle name="Subtotal" xfId="162" xr:uid="{00000000-0005-0000-0000-00001E060000}"/>
    <cellStyle name="text" xfId="1218" xr:uid="{00000000-0005-0000-0000-00001F060000}"/>
    <cellStyle name="þ_x001d_ð &amp;ý&amp;†ýG_x0008_ X_x000a__x0007__x0001__x0001_" xfId="1277" xr:uid="{00000000-0005-0000-0000-000020060000}"/>
    <cellStyle name="þ_x001d_ð &amp;ý&amp;†ýG_x0008_ X_x000a__x0007__x0001__x0001_ 2" xfId="163" xr:uid="{00000000-0005-0000-0000-000021060000}"/>
    <cellStyle name="þ_x001d_ð &amp;ý&amp;†ýG_x0008_ X_x000a__x0007__x0001__x0001_ 2 2" xfId="1641" xr:uid="{00000000-0005-0000-0000-000022060000}"/>
    <cellStyle name="þ_x001d_ð &amp;ý&amp;†ýG_x0008_ X_x000a__x0007__x0001__x0001_ 2 3" xfId="1642" xr:uid="{00000000-0005-0000-0000-000023060000}"/>
    <cellStyle name="þ_x001d_ð &amp;ý&amp;†ýG_x0008_ X_x000a__x0007__x0001__x0001_ 2 4" xfId="1643" xr:uid="{00000000-0005-0000-0000-000024060000}"/>
    <cellStyle name="þ_x001d_ð &amp;ý&amp;†ýG_x0008_ X_x000a__x0007__x0001__x0001_ 2 5" xfId="1644" xr:uid="{00000000-0005-0000-0000-000025060000}"/>
    <cellStyle name="þ_x001d_ð &amp;ý&amp;†ýG_x0008_ X_x000a__x0007__x0001__x0001_ 2 6" xfId="1645" xr:uid="{00000000-0005-0000-0000-000026060000}"/>
    <cellStyle name="þ_x001d_ð &amp;ý&amp;†ýG_x0008_ X_x000a__x0007__x0001__x0001_ 3" xfId="164" xr:uid="{00000000-0005-0000-0000-000027060000}"/>
    <cellStyle name="þ_x001d_ð &amp;ý&amp;†ýG_x0008_ X_x000a__x0007__x0001__x0001_ 3 2" xfId="1646" xr:uid="{00000000-0005-0000-0000-000028060000}"/>
    <cellStyle name="þ_x001d_ð &amp;ý&amp;†ýG_x0008_ X_x000a__x0007__x0001__x0001_ 3 3" xfId="1647" xr:uid="{00000000-0005-0000-0000-000029060000}"/>
    <cellStyle name="þ_x001d_ð &amp;ý&amp;†ýG_x0008_ X_x000a__x0007__x0001__x0001_ 3 4" xfId="1648" xr:uid="{00000000-0005-0000-0000-00002A060000}"/>
    <cellStyle name="þ_x001d_ð &amp;ý&amp;†ýG_x0008_ X_x000a__x0007__x0001__x0001_ 3 5" xfId="1649" xr:uid="{00000000-0005-0000-0000-00002B060000}"/>
    <cellStyle name="þ_x001d_ð &amp;ý&amp;†ýG_x0008_ X_x000a__x0007__x0001__x0001_ 3 6" xfId="1650" xr:uid="{00000000-0005-0000-0000-00002C060000}"/>
    <cellStyle name="þ_x001d_ð &amp;ý&amp;†ýG_x0008_ X_x000a__x0007__x0001__x0001_ 4" xfId="165" xr:uid="{00000000-0005-0000-0000-00002D060000}"/>
    <cellStyle name="þ_x001d_ð &amp;ý&amp;†ýG_x0008_ X_x000a__x0007__x0001__x0001_ 4 2" xfId="1651" xr:uid="{00000000-0005-0000-0000-00002E060000}"/>
    <cellStyle name="þ_x001d_ð &amp;ý&amp;†ýG_x0008_ X_x000a__x0007__x0001__x0001_ 4 3" xfId="1652" xr:uid="{00000000-0005-0000-0000-00002F060000}"/>
    <cellStyle name="þ_x001d_ð &amp;ý&amp;†ýG_x0008_ X_x000a__x0007__x0001__x0001_ 4 4" xfId="1653" xr:uid="{00000000-0005-0000-0000-000030060000}"/>
    <cellStyle name="þ_x001d_ð &amp;ý&amp;†ýG_x0008_ X_x000a__x0007__x0001__x0001_ 4 5" xfId="1654" xr:uid="{00000000-0005-0000-0000-000031060000}"/>
    <cellStyle name="þ_x001d_ð &amp;ý&amp;†ýG_x0008_ X_x000a__x0007__x0001__x0001_ 4 6" xfId="1655" xr:uid="{00000000-0005-0000-0000-000032060000}"/>
    <cellStyle name="þ_x001d_ð &amp;ý&amp;†ýG_x0008_ X_x000a__x0007__x0001__x0001_ 5" xfId="1219" xr:uid="{00000000-0005-0000-0000-000033060000}"/>
    <cellStyle name="þ_x001d_ð &amp;ý&amp;†ýG_x0008_ X_x000a__x0007__x0001__x0001_ 6" xfId="1220" xr:uid="{00000000-0005-0000-0000-000034060000}"/>
    <cellStyle name="þ_x001d_ð&quot;_x000c_Býò_x000c_5ýU_x0001_e_x0005_¹,_x0007__x0001__x0001_" xfId="166" xr:uid="{00000000-0005-0000-0000-000035060000}"/>
    <cellStyle name="þ_x001d_ð&quot;_x000c_Býò_x000c_5ýU_x0001_e_x0005_¹,_x0007__x0001__x0001_ 2" xfId="167" xr:uid="{00000000-0005-0000-0000-000036060000}"/>
    <cellStyle name="þ_x001d_ð&quot;_x000c_Býò_x000c_5ýU_x0001_e_x0005_¹,_x0007__x0001__x0001_ 2 2" xfId="1656" xr:uid="{00000000-0005-0000-0000-000037060000}"/>
    <cellStyle name="þ_x001d_ð&quot;_x000c_Býò_x000c_5ýU_x0001_e_x0005_¹,_x0007__x0001__x0001_ 2 3" xfId="1657" xr:uid="{00000000-0005-0000-0000-000038060000}"/>
    <cellStyle name="þ_x001d_ð&quot;_x000c_Býò_x000c_5ýU_x0001_e_x0005_¹,_x0007__x0001__x0001_ 2 4" xfId="1658" xr:uid="{00000000-0005-0000-0000-000039060000}"/>
    <cellStyle name="þ_x001d_ð&quot;_x000c_Býò_x000c_5ýU_x0001_e_x0005_¹,_x0007__x0001__x0001_ 2 5" xfId="1659" xr:uid="{00000000-0005-0000-0000-00003A060000}"/>
    <cellStyle name="þ_x001d_ð&quot;_x000c_Býò_x000c_5ýU_x0001_e_x0005_¹,_x0007__x0001__x0001_ 2 6" xfId="1660" xr:uid="{00000000-0005-0000-0000-00003B060000}"/>
    <cellStyle name="þ_x001d_ð&quot;_x000c_Býò_x000c_5ýU_x0001_e_x0005_¹,_x0007__x0001__x0001_ 3" xfId="168" xr:uid="{00000000-0005-0000-0000-00003C060000}"/>
    <cellStyle name="þ_x001d_ð&quot;_x000c_Býò_x000c_5ýU_x0001_e_x0005_¹,_x0007__x0001__x0001_ 3 2" xfId="1661" xr:uid="{00000000-0005-0000-0000-00003D060000}"/>
    <cellStyle name="þ_x001d_ð&quot;_x000c_Býò_x000c_5ýU_x0001_e_x0005_¹,_x0007__x0001__x0001_ 3 3" xfId="1662" xr:uid="{00000000-0005-0000-0000-00003E060000}"/>
    <cellStyle name="þ_x001d_ð&quot;_x000c_Býò_x000c_5ýU_x0001_e_x0005_¹,_x0007__x0001__x0001_ 3 4" xfId="1663" xr:uid="{00000000-0005-0000-0000-00003F060000}"/>
    <cellStyle name="þ_x001d_ð&quot;_x000c_Býò_x000c_5ýU_x0001_e_x0005_¹,_x0007__x0001__x0001_ 3 5" xfId="1664" xr:uid="{00000000-0005-0000-0000-000040060000}"/>
    <cellStyle name="þ_x001d_ð&quot;_x000c_Býò_x000c_5ýU_x0001_e_x0005_¹,_x0007__x0001__x0001_ 3 6" xfId="1665" xr:uid="{00000000-0005-0000-0000-000041060000}"/>
    <cellStyle name="þ_x001d_ð&quot;_x000c_Býò_x000c_5ýU_x0001_e_x0005_¹,_x0007__x0001__x0001_ 4" xfId="169" xr:uid="{00000000-0005-0000-0000-000042060000}"/>
    <cellStyle name="þ_x001d_ð&quot;_x000c_Býò_x000c_5ýU_x0001_e_x0005_¹,_x0007__x0001__x0001_ 4 2" xfId="1666" xr:uid="{00000000-0005-0000-0000-000043060000}"/>
    <cellStyle name="þ_x001d_ð&quot;_x000c_Býò_x000c_5ýU_x0001_e_x0005_¹,_x0007__x0001__x0001_ 4 3" xfId="1667" xr:uid="{00000000-0005-0000-0000-000044060000}"/>
    <cellStyle name="þ_x001d_ð&quot;_x000c_Býò_x000c_5ýU_x0001_e_x0005_¹,_x0007__x0001__x0001_ 4 4" xfId="1668" xr:uid="{00000000-0005-0000-0000-000045060000}"/>
    <cellStyle name="þ_x001d_ð&quot;_x000c_Býò_x000c_5ýU_x0001_e_x0005_¹,_x0007__x0001__x0001_ 4 5" xfId="1669" xr:uid="{00000000-0005-0000-0000-000046060000}"/>
    <cellStyle name="þ_x001d_ð&quot;_x000c_Býò_x000c_5ýU_x0001_e_x0005_¹,_x0007__x0001__x0001_ 4 6" xfId="1670" xr:uid="{00000000-0005-0000-0000-000047060000}"/>
    <cellStyle name="þ_x001d_ð&quot;_x000c_Býò_x000c_5ýU_x0001_e_x0005_¹,_x0007__x0001__x0001_ 5" xfId="1221" xr:uid="{00000000-0005-0000-0000-000048060000}"/>
    <cellStyle name="þ_x001d_ð&quot;_x000c_Býò_x000c_5ýU_x0001_e_x0005_¹,_x0007__x0001__x0001_ 6" xfId="1222" xr:uid="{00000000-0005-0000-0000-000049060000}"/>
    <cellStyle name="þ_x001d_ð&quot;_x000c_Býò_x000c_5ýU_x0001_e_x0005_¹,_x0007__x0001__x0001__Estimate" xfId="1380" xr:uid="{00000000-0005-0000-0000-00004A060000}"/>
    <cellStyle name="Times New Roman" xfId="170" xr:uid="{00000000-0005-0000-0000-00004B060000}"/>
    <cellStyle name="Title 10" xfId="1223" xr:uid="{00000000-0005-0000-0000-00004C060000}"/>
    <cellStyle name="Title 11" xfId="1224" xr:uid="{00000000-0005-0000-0000-00004D060000}"/>
    <cellStyle name="Title 2" xfId="171" xr:uid="{00000000-0005-0000-0000-00004E060000}"/>
    <cellStyle name="Title 3" xfId="1225" xr:uid="{00000000-0005-0000-0000-00004F060000}"/>
    <cellStyle name="Title 4" xfId="1226" xr:uid="{00000000-0005-0000-0000-000050060000}"/>
    <cellStyle name="Title 5" xfId="1227" xr:uid="{00000000-0005-0000-0000-000051060000}"/>
    <cellStyle name="Title 6" xfId="1228" xr:uid="{00000000-0005-0000-0000-000052060000}"/>
    <cellStyle name="Title 7" xfId="1229" xr:uid="{00000000-0005-0000-0000-000053060000}"/>
    <cellStyle name="Title 8" xfId="1230" xr:uid="{00000000-0005-0000-0000-000054060000}"/>
    <cellStyle name="Title 9" xfId="1231" xr:uid="{00000000-0005-0000-0000-000055060000}"/>
    <cellStyle name="Total 10" xfId="1232" xr:uid="{00000000-0005-0000-0000-000056060000}"/>
    <cellStyle name="Total 11" xfId="1233" xr:uid="{00000000-0005-0000-0000-000057060000}"/>
    <cellStyle name="Total 12" xfId="1234" xr:uid="{00000000-0005-0000-0000-000058060000}"/>
    <cellStyle name="Total 13" xfId="1235" xr:uid="{00000000-0005-0000-0000-000059060000}"/>
    <cellStyle name="Total 14" xfId="1236" xr:uid="{00000000-0005-0000-0000-00005A060000}"/>
    <cellStyle name="Total 15" xfId="1237" xr:uid="{00000000-0005-0000-0000-00005B060000}"/>
    <cellStyle name="Total 16" xfId="1238" xr:uid="{00000000-0005-0000-0000-00005C060000}"/>
    <cellStyle name="Total 2" xfId="172" xr:uid="{00000000-0005-0000-0000-00005D060000}"/>
    <cellStyle name="Total 2 2" xfId="1239" xr:uid="{00000000-0005-0000-0000-00005E060000}"/>
    <cellStyle name="Total 2 3" xfId="1240" xr:uid="{00000000-0005-0000-0000-00005F060000}"/>
    <cellStyle name="Total 3" xfId="1241" xr:uid="{00000000-0005-0000-0000-000060060000}"/>
    <cellStyle name="Total 3 2" xfId="1242" xr:uid="{00000000-0005-0000-0000-000061060000}"/>
    <cellStyle name="Total 4" xfId="1243" xr:uid="{00000000-0005-0000-0000-000062060000}"/>
    <cellStyle name="Total 5" xfId="1244" xr:uid="{00000000-0005-0000-0000-000063060000}"/>
    <cellStyle name="Total 6" xfId="1245" xr:uid="{00000000-0005-0000-0000-000064060000}"/>
    <cellStyle name="Total 7" xfId="1246" xr:uid="{00000000-0005-0000-0000-000065060000}"/>
    <cellStyle name="Total 8" xfId="1247" xr:uid="{00000000-0005-0000-0000-000066060000}"/>
    <cellStyle name="Total 9" xfId="1248" xr:uid="{00000000-0005-0000-0000-000067060000}"/>
    <cellStyle name="v" xfId="1249" xr:uid="{00000000-0005-0000-0000-000068060000}"/>
    <cellStyle name="v_25-8-2010  ABS &amp; Det" xfId="1250" xr:uid="{00000000-0005-0000-0000-000069060000}"/>
    <cellStyle name="v_25-8-2010  ABS &amp; Det_Est.-DFSD&amp;GTC-Atp 01.09.14" xfId="1251" xr:uid="{00000000-0005-0000-0000-00006A060000}"/>
    <cellStyle name="v_25-8-2010  ABS &amp; Det_revised  Estimation-1" xfId="1252" xr:uid="{00000000-0005-0000-0000-00006B060000}"/>
    <cellStyle name="v_25-8-2010  ABS &amp; Det_TIRUPATI  ELEC" xfId="1253" xr:uid="{00000000-0005-0000-0000-00006C060000}"/>
    <cellStyle name="v_Est.-DFSD&amp;GTC-Atp 01.09.14" xfId="1254" xr:uid="{00000000-0005-0000-0000-00006D060000}"/>
    <cellStyle name="v_revised  Estimation-1" xfId="1255" xr:uid="{00000000-0005-0000-0000-00006E060000}"/>
    <cellStyle name="v_TIRUPATI  ELEC" xfId="1256" xr:uid="{00000000-0005-0000-0000-00006F060000}"/>
    <cellStyle name="Value" xfId="173" xr:uid="{00000000-0005-0000-0000-000070060000}"/>
    <cellStyle name="Value 2" xfId="1257" xr:uid="{00000000-0005-0000-0000-000071060000}"/>
    <cellStyle name="Value 3" xfId="1258" xr:uid="{00000000-0005-0000-0000-000072060000}"/>
    <cellStyle name="Value 4" xfId="1381" xr:uid="{00000000-0005-0000-0000-000073060000}"/>
    <cellStyle name="Value 5" xfId="1382" xr:uid="{00000000-0005-0000-0000-000074060000}"/>
    <cellStyle name="Value 6" xfId="1383" xr:uid="{00000000-0005-0000-0000-000075060000}"/>
    <cellStyle name="Value_Estimate" xfId="1384" xr:uid="{00000000-0005-0000-0000-000076060000}"/>
    <cellStyle name="Warning Text 10" xfId="1259" xr:uid="{00000000-0005-0000-0000-000077060000}"/>
    <cellStyle name="Warning Text 11" xfId="1260" xr:uid="{00000000-0005-0000-0000-000078060000}"/>
    <cellStyle name="Warning Text 12" xfId="1261" xr:uid="{00000000-0005-0000-0000-000079060000}"/>
    <cellStyle name="Warning Text 13" xfId="1262" xr:uid="{00000000-0005-0000-0000-00007A060000}"/>
    <cellStyle name="Warning Text 14" xfId="1263" xr:uid="{00000000-0005-0000-0000-00007B060000}"/>
    <cellStyle name="Warning Text 15" xfId="1264" xr:uid="{00000000-0005-0000-0000-00007C060000}"/>
    <cellStyle name="Warning Text 16" xfId="1265" xr:uid="{00000000-0005-0000-0000-00007D060000}"/>
    <cellStyle name="Warning Text 2" xfId="174" xr:uid="{00000000-0005-0000-0000-00007E060000}"/>
    <cellStyle name="Warning Text 2 2" xfId="1266" xr:uid="{00000000-0005-0000-0000-00007F060000}"/>
    <cellStyle name="Warning Text 3" xfId="1267" xr:uid="{00000000-0005-0000-0000-000080060000}"/>
    <cellStyle name="Warning Text 4" xfId="1268" xr:uid="{00000000-0005-0000-0000-000081060000}"/>
    <cellStyle name="Warning Text 5" xfId="1269" xr:uid="{00000000-0005-0000-0000-000082060000}"/>
    <cellStyle name="Warning Text 6" xfId="1270" xr:uid="{00000000-0005-0000-0000-000083060000}"/>
    <cellStyle name="Warning Text 7" xfId="1271" xr:uid="{00000000-0005-0000-0000-000084060000}"/>
    <cellStyle name="Warning Text 8" xfId="1272" xr:uid="{00000000-0005-0000-0000-000085060000}"/>
    <cellStyle name="Warning Text 9" xfId="1273" xr:uid="{00000000-0005-0000-0000-000086060000}"/>
    <cellStyle name="సాధారణ_Copy of Model estimate-Basnapally--07-05-06-Final" xfId="175" xr:uid="{00000000-0005-0000-0000-000087060000}"/>
  </cellStyles>
  <dxfs count="5">
    <dxf>
      <fill>
        <patternFill patternType="solid">
          <fgColor rgb="FF92D050"/>
          <bgColor rgb="FF000000"/>
        </patternFill>
      </fill>
    </dxf>
    <dxf>
      <fill>
        <patternFill patternType="solid">
          <fgColor rgb="FF92D050"/>
          <bgColor rgb="FF000000"/>
        </patternFill>
      </fill>
    </dxf>
    <dxf>
      <fill>
        <patternFill patternType="solid">
          <fgColor rgb="FFFFFF00"/>
          <bgColor rgb="FF000000"/>
        </patternFill>
      </fill>
    </dxf>
    <dxf>
      <fill>
        <patternFill patternType="solid">
          <fgColor rgb="FF92D050"/>
          <bgColor rgb="FF000000"/>
        </patternFill>
      </fill>
    </dxf>
    <dxf>
      <fill>
        <patternFill patternType="solid">
          <fgColor rgb="FF92D050"/>
          <bgColor rgb="FF000000"/>
        </patternFill>
      </fill>
    </dxf>
  </dxfs>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externalLink" Target="externalLinks/externalLink5.xml"/><Relationship Id="rId39" Type="http://schemas.openxmlformats.org/officeDocument/2006/relationships/externalLink" Target="externalLinks/externalLink18.xml"/><Relationship Id="rId3" Type="http://schemas.openxmlformats.org/officeDocument/2006/relationships/worksheet" Target="worksheets/sheet3.xml"/><Relationship Id="rId21" Type="http://schemas.openxmlformats.org/officeDocument/2006/relationships/worksheet" Target="worksheets/sheet21.xml"/><Relationship Id="rId34" Type="http://schemas.openxmlformats.org/officeDocument/2006/relationships/externalLink" Target="externalLinks/externalLink13.xml"/><Relationship Id="rId42" Type="http://schemas.openxmlformats.org/officeDocument/2006/relationships/externalLink" Target="externalLinks/externalLink21.xml"/><Relationship Id="rId47" Type="http://schemas.openxmlformats.org/officeDocument/2006/relationships/externalLink" Target="externalLinks/externalLink26.xml"/><Relationship Id="rId50" Type="http://schemas.openxmlformats.org/officeDocument/2006/relationships/sharedStrings" Target="sharedStrings.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externalLink" Target="externalLinks/externalLink4.xml"/><Relationship Id="rId33" Type="http://schemas.openxmlformats.org/officeDocument/2006/relationships/externalLink" Target="externalLinks/externalLink12.xml"/><Relationship Id="rId38" Type="http://schemas.openxmlformats.org/officeDocument/2006/relationships/externalLink" Target="externalLinks/externalLink17.xml"/><Relationship Id="rId46" Type="http://schemas.openxmlformats.org/officeDocument/2006/relationships/externalLink" Target="externalLinks/externalLink25.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29" Type="http://schemas.openxmlformats.org/officeDocument/2006/relationships/externalLink" Target="externalLinks/externalLink8.xml"/><Relationship Id="rId41" Type="http://schemas.openxmlformats.org/officeDocument/2006/relationships/externalLink" Target="externalLinks/externalLink20.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externalLink" Target="externalLinks/externalLink3.xml"/><Relationship Id="rId32" Type="http://schemas.openxmlformats.org/officeDocument/2006/relationships/externalLink" Target="externalLinks/externalLink11.xml"/><Relationship Id="rId37" Type="http://schemas.openxmlformats.org/officeDocument/2006/relationships/externalLink" Target="externalLinks/externalLink16.xml"/><Relationship Id="rId40" Type="http://schemas.openxmlformats.org/officeDocument/2006/relationships/externalLink" Target="externalLinks/externalLink19.xml"/><Relationship Id="rId45" Type="http://schemas.openxmlformats.org/officeDocument/2006/relationships/externalLink" Target="externalLinks/externalLink24.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externalLink" Target="externalLinks/externalLink2.xml"/><Relationship Id="rId28" Type="http://schemas.openxmlformats.org/officeDocument/2006/relationships/externalLink" Target="externalLinks/externalLink7.xml"/><Relationship Id="rId36" Type="http://schemas.openxmlformats.org/officeDocument/2006/relationships/externalLink" Target="externalLinks/externalLink15.xml"/><Relationship Id="rId49" Type="http://schemas.openxmlformats.org/officeDocument/2006/relationships/styles" Target="styles.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externalLink" Target="externalLinks/externalLink10.xml"/><Relationship Id="rId44" Type="http://schemas.openxmlformats.org/officeDocument/2006/relationships/externalLink" Target="externalLinks/externalLink23.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externalLink" Target="externalLinks/externalLink1.xml"/><Relationship Id="rId27" Type="http://schemas.openxmlformats.org/officeDocument/2006/relationships/externalLink" Target="externalLinks/externalLink6.xml"/><Relationship Id="rId30" Type="http://schemas.openxmlformats.org/officeDocument/2006/relationships/externalLink" Target="externalLinks/externalLink9.xml"/><Relationship Id="rId35" Type="http://schemas.openxmlformats.org/officeDocument/2006/relationships/externalLink" Target="externalLinks/externalLink14.xml"/><Relationship Id="rId43" Type="http://schemas.openxmlformats.org/officeDocument/2006/relationships/externalLink" Target="externalLinks/externalLink22.xml"/><Relationship Id="rId48" Type="http://schemas.openxmlformats.org/officeDocument/2006/relationships/theme" Target="theme/theme1.xml"/><Relationship Id="rId8" Type="http://schemas.openxmlformats.org/officeDocument/2006/relationships/worksheet" Target="worksheets/sheet8.xml"/><Relationship Id="rId51" Type="http://schemas.openxmlformats.org/officeDocument/2006/relationships/calcChain" Target="calcChain.xml"/></Relationships>
</file>

<file path=xl/drawings/_rels/drawing1.xml.rels><?xml version="1.0" encoding="UTF-8" standalone="yes"?>
<Relationships xmlns="http://schemas.openxmlformats.org/package/2006/relationships"><Relationship Id="rId1" Type="http://schemas.openxmlformats.org/officeDocument/2006/relationships/image" Target="../media/image1.wmf"/></Relationships>
</file>

<file path=xl/drawings/drawing1.xml><?xml version="1.0" encoding="utf-8"?>
<xdr:wsDr xmlns:xdr="http://schemas.openxmlformats.org/drawingml/2006/spreadsheetDrawing" xmlns:a="http://schemas.openxmlformats.org/drawingml/2006/main">
  <xdr:twoCellAnchor>
    <xdr:from>
      <xdr:col>2</xdr:col>
      <xdr:colOff>219075</xdr:colOff>
      <xdr:row>2</xdr:row>
      <xdr:rowOff>133350</xdr:rowOff>
    </xdr:from>
    <xdr:to>
      <xdr:col>9</xdr:col>
      <xdr:colOff>247650</xdr:colOff>
      <xdr:row>23</xdr:row>
      <xdr:rowOff>0</xdr:rowOff>
    </xdr:to>
    <xdr:sp macro="" textlink="">
      <xdr:nvSpPr>
        <xdr:cNvPr id="2" name="WordArt 1">
          <a:extLst>
            <a:ext uri="{FF2B5EF4-FFF2-40B4-BE49-F238E27FC236}">
              <a16:creationId xmlns:a16="http://schemas.microsoft.com/office/drawing/2014/main" id="{00000000-0008-0000-0100-000002000000}"/>
            </a:ext>
          </a:extLst>
        </xdr:cNvPr>
        <xdr:cNvSpPr>
          <a:spLocks noChangeArrowheads="1" noChangeShapeType="1" noTextEdit="1"/>
        </xdr:cNvSpPr>
      </xdr:nvSpPr>
      <xdr:spPr bwMode="auto">
        <a:xfrm>
          <a:off x="752475" y="466725"/>
          <a:ext cx="5038725" cy="4857750"/>
        </a:xfrm>
        <a:prstGeom prst="rect">
          <a:avLst/>
        </a:prstGeom>
      </xdr:spPr>
      <xdr:txBody>
        <a:bodyPr wrap="none" fromWordArt="1">
          <a:prstTxWarp prst="textArchUp">
            <a:avLst>
              <a:gd name="adj" fmla="val 11167051"/>
            </a:avLst>
          </a:prstTxWarp>
        </a:bodyPr>
        <a:lstStyle/>
        <a:p>
          <a:pPr algn="ctr" rtl="0"/>
          <a:r>
            <a:rPr lang="en-US" sz="4400" kern="10" spc="0">
              <a:ln w="9525">
                <a:solidFill>
                  <a:srgbClr val="000000"/>
                </a:solidFill>
                <a:round/>
                <a:headEnd/>
                <a:tailEnd/>
              </a:ln>
              <a:solidFill>
                <a:srgbClr val="000000"/>
              </a:solidFill>
              <a:effectLst/>
              <a:latin typeface="Batang"/>
            </a:rPr>
            <a:t>GOVERNMENT OF ANDHRA PRADESH</a:t>
          </a:r>
        </a:p>
      </xdr:txBody>
    </xdr:sp>
    <xdr:clientData/>
  </xdr:twoCellAnchor>
  <xdr:twoCellAnchor editAs="oneCell">
    <xdr:from>
      <xdr:col>4</xdr:col>
      <xdr:colOff>895350</xdr:colOff>
      <xdr:row>5</xdr:row>
      <xdr:rowOff>123825</xdr:rowOff>
    </xdr:from>
    <xdr:to>
      <xdr:col>6</xdr:col>
      <xdr:colOff>676275</xdr:colOff>
      <xdr:row>14</xdr:row>
      <xdr:rowOff>114300</xdr:rowOff>
    </xdr:to>
    <xdr:pic>
      <xdr:nvPicPr>
        <xdr:cNvPr id="3" name="Picture 2" descr="4_8252">
          <a:extLst>
            <a:ext uri="{FF2B5EF4-FFF2-40B4-BE49-F238E27FC236}">
              <a16:creationId xmlns:a16="http://schemas.microsoft.com/office/drawing/2014/main" id="{00000000-0008-0000-0100-000003000000}"/>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2724150" y="942975"/>
          <a:ext cx="1295400" cy="1447800"/>
        </a:xfrm>
        <a:prstGeom prst="rect">
          <a:avLst/>
        </a:prstGeom>
        <a:noFill/>
        <a:ln w="9525">
          <a:noFill/>
          <a:miter lim="800000"/>
          <a:headEnd/>
          <a:tailEnd/>
        </a:ln>
      </xdr:spPr>
    </xdr:pic>
    <xdr:clientData/>
  </xdr:twoCellAnchor>
  <xdr:twoCellAnchor editAs="oneCell">
    <xdr:from>
      <xdr:col>4</xdr:col>
      <xdr:colOff>895350</xdr:colOff>
      <xdr:row>5</xdr:row>
      <xdr:rowOff>123825</xdr:rowOff>
    </xdr:from>
    <xdr:to>
      <xdr:col>6</xdr:col>
      <xdr:colOff>676275</xdr:colOff>
      <xdr:row>14</xdr:row>
      <xdr:rowOff>114300</xdr:rowOff>
    </xdr:to>
    <xdr:pic>
      <xdr:nvPicPr>
        <xdr:cNvPr id="4" name="Picture 14" descr="4_8252">
          <a:extLst>
            <a:ext uri="{FF2B5EF4-FFF2-40B4-BE49-F238E27FC236}">
              <a16:creationId xmlns:a16="http://schemas.microsoft.com/office/drawing/2014/main" id="{00000000-0008-0000-0100-000004000000}"/>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2724150" y="942975"/>
          <a:ext cx="1295400" cy="1447800"/>
        </a:xfrm>
        <a:prstGeom prst="rect">
          <a:avLst/>
        </a:prstGeom>
        <a:noFill/>
        <a:ln w="9525">
          <a:noFill/>
          <a:miter lim="800000"/>
          <a:headEnd/>
          <a:tailEnd/>
        </a:ln>
      </xdr:spPr>
    </xdr:pic>
    <xdr:clientData/>
  </xdr:twoCellAnchor>
</xdr:wsDr>
</file>

<file path=xl/drawings/drawing2.xml><?xml version="1.0" encoding="utf-8"?>
<xdr:wsDr xmlns:xdr="http://schemas.openxmlformats.org/drawingml/2006/spreadsheetDrawing" xmlns:a="http://schemas.openxmlformats.org/drawingml/2006/main">
  <xdr:twoCellAnchor>
    <xdr:from>
      <xdr:col>4</xdr:col>
      <xdr:colOff>1250674</xdr:colOff>
      <xdr:row>23</xdr:row>
      <xdr:rowOff>157370</xdr:rowOff>
    </xdr:from>
    <xdr:to>
      <xdr:col>6</xdr:col>
      <xdr:colOff>303558</xdr:colOff>
      <xdr:row>27</xdr:row>
      <xdr:rowOff>66261</xdr:rowOff>
    </xdr:to>
    <xdr:sp macro="" textlink="">
      <xdr:nvSpPr>
        <xdr:cNvPr id="2" name="Text Box 42">
          <a:extLst>
            <a:ext uri="{FF2B5EF4-FFF2-40B4-BE49-F238E27FC236}">
              <a16:creationId xmlns:a16="http://schemas.microsoft.com/office/drawing/2014/main" id="{00000000-0008-0000-0E00-000002000000}"/>
            </a:ext>
          </a:extLst>
        </xdr:cNvPr>
        <xdr:cNvSpPr txBox="1">
          <a:spLocks noChangeArrowheads="1"/>
        </xdr:cNvSpPr>
      </xdr:nvSpPr>
      <xdr:spPr bwMode="auto">
        <a:xfrm>
          <a:off x="4241524" y="8701295"/>
          <a:ext cx="1434134" cy="556591"/>
        </a:xfrm>
        <a:prstGeom prst="rect">
          <a:avLst/>
        </a:prstGeom>
        <a:solidFill>
          <a:srgbClr val="FFFFFF"/>
        </a:solidFill>
        <a:ln w="9525">
          <a:noFill/>
          <a:miter lim="800000"/>
          <a:headEnd/>
          <a:tailEnd/>
        </a:ln>
      </xdr:spPr>
      <xdr:txBody>
        <a:bodyPr vertOverflow="clip" wrap="square" lIns="27432" tIns="22860" rIns="27432" bIns="0" anchor="t" upright="1"/>
        <a:lstStyle/>
        <a:p>
          <a:pPr algn="ctr" rtl="1">
            <a:defRPr sz="1000"/>
          </a:pPr>
          <a:r>
            <a:rPr lang="en-US" sz="1000" b="0" i="0" strike="noStrike">
              <a:solidFill>
                <a:srgbClr val="000000"/>
              </a:solidFill>
              <a:latin typeface="+mn-lt"/>
              <a:cs typeface="Times New Roman"/>
            </a:rPr>
            <a:t>Dy. Executive  Engineer</a:t>
          </a:r>
        </a:p>
        <a:p>
          <a:pPr algn="ctr" rtl="1">
            <a:defRPr sz="1000"/>
          </a:pPr>
          <a:r>
            <a:rPr lang="en-US" sz="1000" b="0" i="0" strike="noStrike">
              <a:solidFill>
                <a:srgbClr val="000000"/>
              </a:solidFill>
              <a:latin typeface="+mn-lt"/>
              <a:cs typeface="Times New Roman"/>
            </a:rPr>
            <a:t>PRI Sub Division</a:t>
          </a:r>
        </a:p>
        <a:p>
          <a:pPr algn="ctr" rtl="1">
            <a:defRPr sz="1000"/>
          </a:pPr>
          <a:r>
            <a:rPr lang="en-US" sz="1000" b="0" i="0" strike="noStrike">
              <a:solidFill>
                <a:srgbClr val="000000"/>
              </a:solidFill>
              <a:latin typeface="+mn-lt"/>
              <a:cs typeface="Times New Roman"/>
            </a:rPr>
            <a:t>Kanigiri</a:t>
          </a:r>
        </a:p>
        <a:p>
          <a:pPr algn="ctr" rtl="1">
            <a:defRPr sz="1000"/>
          </a:pPr>
          <a:endParaRPr lang="en-US" sz="1000" b="1" i="0" strike="noStrike">
            <a:solidFill>
              <a:srgbClr val="000000"/>
            </a:solidFill>
            <a:latin typeface="+mn-lt"/>
            <a:cs typeface="Times New Roman"/>
          </a:endParaRPr>
        </a:p>
      </xdr:txBody>
    </xdr:sp>
    <xdr:clientData/>
  </xdr:twoCellAnchor>
</xdr:wsDr>
</file>

<file path=xl/drawings/drawing3.xml><?xml version="1.0" encoding="utf-8"?>
<xdr:wsDr xmlns:xdr="http://schemas.openxmlformats.org/drawingml/2006/spreadsheetDrawing" xmlns:a="http://schemas.openxmlformats.org/drawingml/2006/main">
  <xdr:twoCellAnchor>
    <xdr:from>
      <xdr:col>4</xdr:col>
      <xdr:colOff>874060</xdr:colOff>
      <xdr:row>38</xdr:row>
      <xdr:rowOff>120196</xdr:rowOff>
    </xdr:from>
    <xdr:to>
      <xdr:col>6</xdr:col>
      <xdr:colOff>56031</xdr:colOff>
      <xdr:row>41</xdr:row>
      <xdr:rowOff>5140</xdr:rowOff>
    </xdr:to>
    <xdr:sp macro="" textlink="">
      <xdr:nvSpPr>
        <xdr:cNvPr id="2" name="Rectangle 1">
          <a:extLst>
            <a:ext uri="{FF2B5EF4-FFF2-40B4-BE49-F238E27FC236}">
              <a16:creationId xmlns:a16="http://schemas.microsoft.com/office/drawing/2014/main" id="{00000000-0008-0000-0F00-000002000000}"/>
            </a:ext>
          </a:extLst>
        </xdr:cNvPr>
        <xdr:cNvSpPr>
          <a:spLocks noChangeArrowheads="1"/>
        </xdr:cNvSpPr>
      </xdr:nvSpPr>
      <xdr:spPr bwMode="auto">
        <a:xfrm>
          <a:off x="3864910" y="10607221"/>
          <a:ext cx="1563221" cy="370719"/>
        </a:xfrm>
        <a:prstGeom prst="rect">
          <a:avLst/>
        </a:prstGeom>
        <a:solidFill>
          <a:srgbClr val="FFFFFF"/>
        </a:solidFill>
        <a:ln w="9525">
          <a:noFill/>
          <a:miter lim="800000"/>
          <a:headEnd/>
          <a:tailEnd/>
        </a:ln>
      </xdr:spPr>
      <xdr:txBody>
        <a:bodyPr vertOverflow="clip" wrap="square" lIns="27432" tIns="22860" rIns="27432" bIns="0" anchor="t" upright="1"/>
        <a:lstStyle/>
        <a:p>
          <a:pPr algn="ctr" rtl="0">
            <a:defRPr sz="1000"/>
          </a:pPr>
          <a:r>
            <a:rPr lang="en-US" sz="1000" b="1" i="0" strike="noStrike">
              <a:solidFill>
                <a:srgbClr val="000000"/>
              </a:solidFill>
              <a:latin typeface="times new roman"/>
              <a:cs typeface="times new roman"/>
            </a:rPr>
            <a:t>Deputy Executive Engineer</a:t>
          </a:r>
        </a:p>
        <a:p>
          <a:pPr algn="ctr" rtl="0">
            <a:defRPr sz="1000"/>
          </a:pPr>
          <a:r>
            <a:rPr lang="en-US" sz="1000" b="1" i="0" strike="noStrike">
              <a:solidFill>
                <a:srgbClr val="000000"/>
              </a:solidFill>
              <a:latin typeface="times new roman"/>
              <a:cs typeface="times new roman"/>
            </a:rPr>
            <a:t>PRI Sub-Division, Kanigiri</a:t>
          </a:r>
        </a:p>
      </xdr:txBody>
    </xdr:sp>
    <xdr:clientData/>
  </xdr:twoCellAnchor>
</xdr:wsDr>
</file>

<file path=xl/drawings/drawing4.xml><?xml version="1.0" encoding="utf-8"?>
<xdr:wsDr xmlns:xdr="http://schemas.openxmlformats.org/drawingml/2006/spreadsheetDrawing" xmlns:a="http://schemas.openxmlformats.org/drawingml/2006/main">
  <xdr:twoCellAnchor>
    <xdr:from>
      <xdr:col>9</xdr:col>
      <xdr:colOff>200025</xdr:colOff>
      <xdr:row>0</xdr:row>
      <xdr:rowOff>0</xdr:rowOff>
    </xdr:from>
    <xdr:to>
      <xdr:col>9</xdr:col>
      <xdr:colOff>200025</xdr:colOff>
      <xdr:row>10</xdr:row>
      <xdr:rowOff>152400</xdr:rowOff>
    </xdr:to>
    <xdr:sp macro="" textlink="">
      <xdr:nvSpPr>
        <xdr:cNvPr id="2" name="Line 1">
          <a:extLst>
            <a:ext uri="{FF2B5EF4-FFF2-40B4-BE49-F238E27FC236}">
              <a16:creationId xmlns:a16="http://schemas.microsoft.com/office/drawing/2014/main" id="{00000000-0008-0000-1100-000002000000}"/>
            </a:ext>
          </a:extLst>
        </xdr:cNvPr>
        <xdr:cNvSpPr>
          <a:spLocks noChangeShapeType="1"/>
        </xdr:cNvSpPr>
      </xdr:nvSpPr>
      <xdr:spPr bwMode="auto">
        <a:xfrm>
          <a:off x="4772025" y="0"/>
          <a:ext cx="0" cy="2085975"/>
        </a:xfrm>
        <a:prstGeom prst="line">
          <a:avLst/>
        </a:prstGeom>
        <a:noFill/>
        <a:ln w="9525">
          <a:solidFill>
            <a:srgbClr val="000000"/>
          </a:solidFill>
          <a:round/>
          <a:headEnd/>
          <a:tailEnd/>
        </a:ln>
      </xdr:spPr>
    </xdr:sp>
    <xdr:clientData/>
  </xdr:twoCellAnchor>
  <xdr:twoCellAnchor>
    <xdr:from>
      <xdr:col>8</xdr:col>
      <xdr:colOff>561975</xdr:colOff>
      <xdr:row>1</xdr:row>
      <xdr:rowOff>0</xdr:rowOff>
    </xdr:from>
    <xdr:to>
      <xdr:col>9</xdr:col>
      <xdr:colOff>590550</xdr:colOff>
      <xdr:row>1</xdr:row>
      <xdr:rowOff>0</xdr:rowOff>
    </xdr:to>
    <xdr:sp macro="" textlink="">
      <xdr:nvSpPr>
        <xdr:cNvPr id="3" name="Line 2">
          <a:extLst>
            <a:ext uri="{FF2B5EF4-FFF2-40B4-BE49-F238E27FC236}">
              <a16:creationId xmlns:a16="http://schemas.microsoft.com/office/drawing/2014/main" id="{00000000-0008-0000-1100-000003000000}"/>
            </a:ext>
          </a:extLst>
        </xdr:cNvPr>
        <xdr:cNvSpPr>
          <a:spLocks noChangeShapeType="1"/>
        </xdr:cNvSpPr>
      </xdr:nvSpPr>
      <xdr:spPr bwMode="auto">
        <a:xfrm>
          <a:off x="4562475" y="228600"/>
          <a:ext cx="600075" cy="0"/>
        </a:xfrm>
        <a:prstGeom prst="line">
          <a:avLst/>
        </a:prstGeom>
        <a:noFill/>
        <a:ln w="9525">
          <a:solidFill>
            <a:srgbClr val="000000"/>
          </a:solidFill>
          <a:round/>
          <a:headEnd/>
          <a:tailEnd/>
        </a:ln>
      </xdr:spPr>
    </xdr:sp>
    <xdr:clientData/>
  </xdr:twoCellAnchor>
  <xdr:twoCellAnchor>
    <xdr:from>
      <xdr:col>9</xdr:col>
      <xdr:colOff>571500</xdr:colOff>
      <xdr:row>0</xdr:row>
      <xdr:rowOff>19050</xdr:rowOff>
    </xdr:from>
    <xdr:to>
      <xdr:col>9</xdr:col>
      <xdr:colOff>571500</xdr:colOff>
      <xdr:row>11</xdr:row>
      <xdr:rowOff>0</xdr:rowOff>
    </xdr:to>
    <xdr:sp macro="" textlink="">
      <xdr:nvSpPr>
        <xdr:cNvPr id="4" name="Line 3">
          <a:extLst>
            <a:ext uri="{FF2B5EF4-FFF2-40B4-BE49-F238E27FC236}">
              <a16:creationId xmlns:a16="http://schemas.microsoft.com/office/drawing/2014/main" id="{00000000-0008-0000-1100-000004000000}"/>
            </a:ext>
          </a:extLst>
        </xdr:cNvPr>
        <xdr:cNvSpPr>
          <a:spLocks noChangeShapeType="1"/>
        </xdr:cNvSpPr>
      </xdr:nvSpPr>
      <xdr:spPr bwMode="auto">
        <a:xfrm>
          <a:off x="5143500" y="19050"/>
          <a:ext cx="0" cy="2076450"/>
        </a:xfrm>
        <a:prstGeom prst="line">
          <a:avLst/>
        </a:prstGeom>
        <a:noFill/>
        <a:ln w="9525">
          <a:solidFill>
            <a:srgbClr val="000000"/>
          </a:solidFill>
          <a:round/>
          <a:headEnd/>
          <a:tailEnd/>
        </a:ln>
      </xdr:spPr>
    </xdr:sp>
    <xdr:clientData/>
  </xdr:twoCellAnchor>
  <xdr:twoCellAnchor>
    <xdr:from>
      <xdr:col>8</xdr:col>
      <xdr:colOff>38100</xdr:colOff>
      <xdr:row>0</xdr:row>
      <xdr:rowOff>0</xdr:rowOff>
    </xdr:from>
    <xdr:to>
      <xdr:col>10</xdr:col>
      <xdr:colOff>209550</xdr:colOff>
      <xdr:row>0</xdr:row>
      <xdr:rowOff>0</xdr:rowOff>
    </xdr:to>
    <xdr:sp macro="" textlink="">
      <xdr:nvSpPr>
        <xdr:cNvPr id="5" name="Line 4">
          <a:extLst>
            <a:ext uri="{FF2B5EF4-FFF2-40B4-BE49-F238E27FC236}">
              <a16:creationId xmlns:a16="http://schemas.microsoft.com/office/drawing/2014/main" id="{00000000-0008-0000-1100-000005000000}"/>
            </a:ext>
          </a:extLst>
        </xdr:cNvPr>
        <xdr:cNvSpPr>
          <a:spLocks noChangeShapeType="1"/>
        </xdr:cNvSpPr>
      </xdr:nvSpPr>
      <xdr:spPr bwMode="auto">
        <a:xfrm>
          <a:off x="4038600" y="0"/>
          <a:ext cx="1419225" cy="0"/>
        </a:xfrm>
        <a:prstGeom prst="line">
          <a:avLst/>
        </a:prstGeom>
        <a:noFill/>
        <a:ln w="9525">
          <a:solidFill>
            <a:srgbClr val="000000"/>
          </a:solidFill>
          <a:round/>
          <a:headEnd/>
          <a:tailEnd/>
        </a:ln>
      </xdr:spPr>
    </xdr:sp>
    <xdr:clientData/>
  </xdr:twoCellAnchor>
  <xdr:twoCellAnchor>
    <xdr:from>
      <xdr:col>1</xdr:col>
      <xdr:colOff>609600</xdr:colOff>
      <xdr:row>7</xdr:row>
      <xdr:rowOff>66675</xdr:rowOff>
    </xdr:from>
    <xdr:to>
      <xdr:col>1</xdr:col>
      <xdr:colOff>638175</xdr:colOff>
      <xdr:row>10</xdr:row>
      <xdr:rowOff>114300</xdr:rowOff>
    </xdr:to>
    <xdr:sp macro="" textlink="">
      <xdr:nvSpPr>
        <xdr:cNvPr id="6" name="AutoShape 5">
          <a:extLst>
            <a:ext uri="{FF2B5EF4-FFF2-40B4-BE49-F238E27FC236}">
              <a16:creationId xmlns:a16="http://schemas.microsoft.com/office/drawing/2014/main" id="{00000000-0008-0000-1100-000006000000}"/>
            </a:ext>
          </a:extLst>
        </xdr:cNvPr>
        <xdr:cNvSpPr>
          <a:spLocks/>
        </xdr:cNvSpPr>
      </xdr:nvSpPr>
      <xdr:spPr bwMode="auto">
        <a:xfrm>
          <a:off x="800100" y="1438275"/>
          <a:ext cx="28575" cy="609600"/>
        </a:xfrm>
        <a:prstGeom prst="rightBrace">
          <a:avLst>
            <a:gd name="adj1" fmla="val 177778"/>
            <a:gd name="adj2" fmla="val 50000"/>
          </a:avLst>
        </a:prstGeom>
        <a:noFill/>
        <a:ln w="9525">
          <a:solidFill>
            <a:srgbClr val="000000"/>
          </a:solidFill>
          <a:round/>
          <a:headEnd/>
          <a:tailEnd/>
        </a:ln>
      </xdr:spPr>
    </xdr:sp>
    <xdr:clientData/>
  </xdr:twoCellAnchor>
  <xdr:twoCellAnchor>
    <xdr:from>
      <xdr:col>3</xdr:col>
      <xdr:colOff>1123950</xdr:colOff>
      <xdr:row>11</xdr:row>
      <xdr:rowOff>9525</xdr:rowOff>
    </xdr:from>
    <xdr:to>
      <xdr:col>3</xdr:col>
      <xdr:colOff>1123950</xdr:colOff>
      <xdr:row>15</xdr:row>
      <xdr:rowOff>19050</xdr:rowOff>
    </xdr:to>
    <xdr:sp macro="" textlink="">
      <xdr:nvSpPr>
        <xdr:cNvPr id="7" name="Line 6">
          <a:extLst>
            <a:ext uri="{FF2B5EF4-FFF2-40B4-BE49-F238E27FC236}">
              <a16:creationId xmlns:a16="http://schemas.microsoft.com/office/drawing/2014/main" id="{00000000-0008-0000-1100-000007000000}"/>
            </a:ext>
          </a:extLst>
        </xdr:cNvPr>
        <xdr:cNvSpPr>
          <a:spLocks noChangeShapeType="1"/>
        </xdr:cNvSpPr>
      </xdr:nvSpPr>
      <xdr:spPr bwMode="auto">
        <a:xfrm>
          <a:off x="2600325" y="2105025"/>
          <a:ext cx="0" cy="790575"/>
        </a:xfrm>
        <a:prstGeom prst="line">
          <a:avLst/>
        </a:prstGeom>
        <a:noFill/>
        <a:ln w="9525">
          <a:solidFill>
            <a:srgbClr val="000000"/>
          </a:solidFill>
          <a:round/>
          <a:headEnd/>
          <a:tailEnd/>
        </a:ln>
      </xdr:spPr>
    </xdr:sp>
    <xdr:clientData/>
  </xdr:twoCellAnchor>
  <xdr:twoCellAnchor>
    <xdr:from>
      <xdr:col>3</xdr:col>
      <xdr:colOff>1504950</xdr:colOff>
      <xdr:row>11</xdr:row>
      <xdr:rowOff>9525</xdr:rowOff>
    </xdr:from>
    <xdr:to>
      <xdr:col>3</xdr:col>
      <xdr:colOff>1504950</xdr:colOff>
      <xdr:row>15</xdr:row>
      <xdr:rowOff>19050</xdr:rowOff>
    </xdr:to>
    <xdr:sp macro="" textlink="">
      <xdr:nvSpPr>
        <xdr:cNvPr id="8" name="Line 7">
          <a:extLst>
            <a:ext uri="{FF2B5EF4-FFF2-40B4-BE49-F238E27FC236}">
              <a16:creationId xmlns:a16="http://schemas.microsoft.com/office/drawing/2014/main" id="{00000000-0008-0000-1100-000008000000}"/>
            </a:ext>
          </a:extLst>
        </xdr:cNvPr>
        <xdr:cNvSpPr>
          <a:spLocks noChangeShapeType="1"/>
        </xdr:cNvSpPr>
      </xdr:nvSpPr>
      <xdr:spPr bwMode="auto">
        <a:xfrm>
          <a:off x="2981325" y="2105025"/>
          <a:ext cx="0" cy="790575"/>
        </a:xfrm>
        <a:prstGeom prst="line">
          <a:avLst/>
        </a:prstGeom>
        <a:noFill/>
        <a:ln w="9525">
          <a:solidFill>
            <a:srgbClr val="000000"/>
          </a:solidFill>
          <a:round/>
          <a:headEnd/>
          <a:tailEnd/>
        </a:ln>
      </xdr:spPr>
    </xdr:sp>
    <xdr:clientData/>
  </xdr:twoCellAnchor>
  <xdr:twoCellAnchor>
    <xdr:from>
      <xdr:col>3</xdr:col>
      <xdr:colOff>1704975</xdr:colOff>
      <xdr:row>10</xdr:row>
      <xdr:rowOff>152400</xdr:rowOff>
    </xdr:from>
    <xdr:to>
      <xdr:col>3</xdr:col>
      <xdr:colOff>1704975</xdr:colOff>
      <xdr:row>15</xdr:row>
      <xdr:rowOff>0</xdr:rowOff>
    </xdr:to>
    <xdr:sp macro="" textlink="">
      <xdr:nvSpPr>
        <xdr:cNvPr id="9" name="Line 8">
          <a:extLst>
            <a:ext uri="{FF2B5EF4-FFF2-40B4-BE49-F238E27FC236}">
              <a16:creationId xmlns:a16="http://schemas.microsoft.com/office/drawing/2014/main" id="{00000000-0008-0000-1100-000009000000}"/>
            </a:ext>
          </a:extLst>
        </xdr:cNvPr>
        <xdr:cNvSpPr>
          <a:spLocks noChangeShapeType="1"/>
        </xdr:cNvSpPr>
      </xdr:nvSpPr>
      <xdr:spPr bwMode="auto">
        <a:xfrm>
          <a:off x="3181350" y="2085975"/>
          <a:ext cx="0" cy="790575"/>
        </a:xfrm>
        <a:prstGeom prst="line">
          <a:avLst/>
        </a:prstGeom>
        <a:noFill/>
        <a:ln w="9525">
          <a:solidFill>
            <a:srgbClr val="000000"/>
          </a:solidFill>
          <a:round/>
          <a:headEnd/>
          <a:tailEnd/>
        </a:ln>
      </xdr:spPr>
    </xdr:sp>
    <xdr:clientData/>
  </xdr:twoCellAnchor>
  <xdr:twoCellAnchor>
    <xdr:from>
      <xdr:col>3</xdr:col>
      <xdr:colOff>1123950</xdr:colOff>
      <xdr:row>14</xdr:row>
      <xdr:rowOff>123825</xdr:rowOff>
    </xdr:from>
    <xdr:to>
      <xdr:col>3</xdr:col>
      <xdr:colOff>1704975</xdr:colOff>
      <xdr:row>14</xdr:row>
      <xdr:rowOff>123825</xdr:rowOff>
    </xdr:to>
    <xdr:sp macro="" textlink="">
      <xdr:nvSpPr>
        <xdr:cNvPr id="10" name="Line 9">
          <a:extLst>
            <a:ext uri="{FF2B5EF4-FFF2-40B4-BE49-F238E27FC236}">
              <a16:creationId xmlns:a16="http://schemas.microsoft.com/office/drawing/2014/main" id="{00000000-0008-0000-1100-00000A000000}"/>
            </a:ext>
          </a:extLst>
        </xdr:cNvPr>
        <xdr:cNvSpPr>
          <a:spLocks noChangeShapeType="1"/>
        </xdr:cNvSpPr>
      </xdr:nvSpPr>
      <xdr:spPr bwMode="auto">
        <a:xfrm>
          <a:off x="2600325" y="2714625"/>
          <a:ext cx="581025" cy="0"/>
        </a:xfrm>
        <a:prstGeom prst="line">
          <a:avLst/>
        </a:prstGeom>
        <a:noFill/>
        <a:ln w="9525">
          <a:solidFill>
            <a:srgbClr val="000000"/>
          </a:solidFill>
          <a:round/>
          <a:headEnd/>
          <a:tailEnd/>
        </a:ln>
      </xdr:spPr>
    </xdr:sp>
    <xdr:clientData/>
  </xdr:twoCellAnchor>
  <xdr:twoCellAnchor>
    <xdr:from>
      <xdr:col>3</xdr:col>
      <xdr:colOff>1114425</xdr:colOff>
      <xdr:row>15</xdr:row>
      <xdr:rowOff>9525</xdr:rowOff>
    </xdr:from>
    <xdr:to>
      <xdr:col>3</xdr:col>
      <xdr:colOff>1695450</xdr:colOff>
      <xdr:row>15</xdr:row>
      <xdr:rowOff>9525</xdr:rowOff>
    </xdr:to>
    <xdr:sp macro="" textlink="">
      <xdr:nvSpPr>
        <xdr:cNvPr id="11" name="Line 10">
          <a:extLst>
            <a:ext uri="{FF2B5EF4-FFF2-40B4-BE49-F238E27FC236}">
              <a16:creationId xmlns:a16="http://schemas.microsoft.com/office/drawing/2014/main" id="{00000000-0008-0000-1100-00000B000000}"/>
            </a:ext>
          </a:extLst>
        </xdr:cNvPr>
        <xdr:cNvSpPr>
          <a:spLocks noChangeShapeType="1"/>
        </xdr:cNvSpPr>
      </xdr:nvSpPr>
      <xdr:spPr bwMode="auto">
        <a:xfrm>
          <a:off x="2590800" y="2886075"/>
          <a:ext cx="581025" cy="0"/>
        </a:xfrm>
        <a:prstGeom prst="line">
          <a:avLst/>
        </a:prstGeom>
        <a:noFill/>
        <a:ln w="9525">
          <a:solidFill>
            <a:srgbClr val="000000"/>
          </a:solidFill>
          <a:round/>
          <a:headEnd/>
          <a:tailEnd/>
        </a:ln>
      </xdr:spPr>
    </xdr:sp>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Estimates/pmgsy-phaseII/Nalgonda/Graded-27.Dacharam.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A:\Documents\Buildings\Data\data99.xls"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Estimates/pmgsy/Deverakonda/87.Gazinagar.xls"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Estimates/pmgsy/Package1304/07.1.package1303.xls" TargetMode="External"/></Relationships>
</file>

<file path=xl/externalLinks/_rels/externalLink5.xml.rels><?xml version="1.0" encoding="UTF-8" standalone="yes"?>
<Relationships xmlns="http://schemas.openxmlformats.org/package/2006/relationships"><Relationship Id="rId1" Type="http://schemas.openxmlformats.org/officeDocument/2006/relationships/externalLinkPath" Target="file:///A:\Estimates\Buildings\Mpp_newplan\Miryalaguda\MPP_Rajapet.xls" TargetMode="External"/></Relationships>
</file>

<file path=xl/externalLinks/_rels/externalLink6.xml.rels><?xml version="1.0" encoding="UTF-8" standalone="yes"?>
<Relationships xmlns="http://schemas.openxmlformats.org/package/2006/relationships"><Relationship Id="rId1" Type="http://schemas.openxmlformats.org/officeDocument/2006/relationships/externalLinkPath" Target="/Estimates/Buildings/Mpp_newplan/Miryalaguda/MPP_Rajapet.xls" TargetMode="External"/></Relationships>
</file>

<file path=xl/externalLinks/_rels/externalLink7.xml.rels><?xml version="1.0" encoding="UTF-8" standalone="yes"?>
<Relationships xmlns="http://schemas.openxmlformats.org/package/2006/relationships"><Relationship Id="rId1" Type="http://schemas.openxmlformats.org/officeDocument/2006/relationships/externalLinkPath" Target="/Estimates/Buildings/MPP_Buildings/mpp%20estimate%20NADIGUDEM.xls" TargetMode="External"/></Relationships>
</file>

<file path=xl/externalLinks/_rels/externalLink8.xml.rels><?xml version="1.0" encoding="UTF-8" standalone="yes"?>
<Relationships xmlns="http://schemas.openxmlformats.org/package/2006/relationships"><Relationship Id="rId1" Type="http://schemas.openxmlformats.org/officeDocument/2006/relationships/externalLinkPath" Target="/Estimates/pmgsy-phase4/Thungathurthy/Thirumalagiri-Thatipamula-sri%20ram%20tanda/CD%20works.xls" TargetMode="External"/></Relationships>
</file>

<file path=xl/externalLinks/_rels/externalLink9.xml.rels><?xml version="1.0" encoding="UTF-8" standalone="yes"?>
<Relationships xmlns="http://schemas.openxmlformats.org/package/2006/relationships"><Relationship Id="rId1" Type="http://schemas.openxmlformats.org/officeDocument/2006/relationships/externalLinkPath" Target="file:///\\Contract-aruna\public_aruna\Public_Aruna\contracts(ak)\Hyderabad\Mes\MES-SEC.xls" TargetMode="External"/></Relationships>
</file>

<file path=xl/externalLinks/_rels/externalLink10.xml.rels><?xml version="1.0" encoding="UTF-8" standalone="yes"?>
<Relationships xmlns="http://schemas.openxmlformats.org/package/2006/relationships"><Relationship Id="rId1" Type="http://schemas.openxmlformats.org/officeDocument/2006/relationships/externalLinkPath" Target="/Documents/Buildings/Data/data99.xls" TargetMode="External"/></Relationships>
</file>

<file path=xl/externalLinks/_rels/externalLink11.xml.rels><?xml version="1.0" encoding="UTF-8" standalone="yes"?>
<Relationships xmlns="http://schemas.openxmlformats.org/package/2006/relationships"><Relationship Id="rId1" Type="http://schemas.openxmlformats.org/officeDocument/2006/relationships/externalLinkPath" Target="file:///\\Dee1\C\PMGSY%20ESTIMATES\PMGSY%2004-05\R-F%20Dacharam%20to%20Kandikatkoor%20(Sir-22).xls" TargetMode="External"/></Relationships>
</file>

<file path=xl/externalLinks/_rels/externalLink12.xml.rels><?xml version="1.0" encoding="UTF-8" standalone="yes"?>
<Relationships xmlns="http://schemas.openxmlformats.org/package/2006/relationships"><Relationship Id="rId1" Type="http://schemas.openxmlformats.org/officeDocument/2006/relationships/externalLinkPath" Target="file:///\\Server\f\My%20Documents\ESTIMATES\Estimate%20copy.xls" TargetMode="External"/></Relationships>
</file>

<file path=xl/externalLinks/_rels/externalLink13.xml.rels><?xml version="1.0" encoding="UTF-8" standalone="yes"?>
<Relationships xmlns="http://schemas.openxmlformats.org/package/2006/relationships"><Relationship Id="rId1" Type="http://schemas.openxmlformats.org/officeDocument/2006/relationships/externalLinkPath" Target="file:///\\Sys1\d-sys1\Store_Box\NABARD_Estimates\cd%20namnoor%20gullakota11.xls" TargetMode="External"/></Relationships>
</file>

<file path=xl/externalLinks/_rels/externalLink14.xml.rels><?xml version="1.0" encoding="UTF-8" standalone="yes"?>
<Relationships xmlns="http://schemas.openxmlformats.org/package/2006/relationships"><Relationship Id="rId1" Type="http://schemas.openxmlformats.org/officeDocument/2006/relationships/externalLinkPath" Target="file:///A:\Sirpur%20est.xls" TargetMode="External"/></Relationships>
</file>

<file path=xl/externalLinks/_rels/externalLink15.xml.rels><?xml version="1.0" encoding="UTF-8" standalone="yes"?>
<Relationships xmlns="http://schemas.openxmlformats.org/package/2006/relationships"><Relationship Id="rId1" Type="http://schemas.openxmlformats.org/officeDocument/2006/relationships/externalLinkPath" Target="file:///\\Dee1\C\WINDOWS\Desktop\singh\db1\BIJNEPALLY\VATTEM_PALEM_BT_ROAD_15KM'S.xls" TargetMode="External"/></Relationships>
</file>

<file path=xl/externalLinks/_rels/externalLink16.xml.rels><?xml version="1.0" encoding="UTF-8" standalone="yes"?>
<Relationships xmlns="http://schemas.openxmlformats.org/package/2006/relationships"><Relationship Id="rId1" Type="http://schemas.openxmlformats.org/officeDocument/2006/relationships/externalLinkPath" Target="/desktop/estimates/ALL%20MANDAL%20ESTIAMTES/Pullalacheruvu/National%20Health%20Mission/repairs%20to%20health%20and%20wellness%20center%20in%20marrivemula%20village%202.30%20lakhs%20new%20working.xlsx" TargetMode="External"/></Relationships>
</file>

<file path=xl/externalLinks/_rels/externalLink17.xml.rels><?xml version="1.0" encoding="UTF-8" standalone="yes"?>
<Relationships xmlns="http://schemas.openxmlformats.org/package/2006/relationships"><Relationship Id="rId1" Type="http://schemas.openxmlformats.org/officeDocument/2006/relationships/externalLinkPath" Target="file:///\\Dee3\c\Phase-V\ARRR-ver-1104-Chandegaon.xls" TargetMode="External"/></Relationships>
</file>

<file path=xl/externalLinks/_rels/externalLink18.xml.rels><?xml version="1.0" encoding="UTF-8" standalone="yes"?>
<Relationships xmlns="http://schemas.openxmlformats.org/package/2006/relationships"><Relationship Id="rId1" Type="http://schemas.openxmlformats.org/officeDocument/2006/relationships/externalLinkPath" Target="file:///\\Roads-pmgsy\c\Documents%20and%20Settings\hcl\Desktop\ARRR-ver-1104.xls" TargetMode="External"/></Relationships>
</file>

<file path=xl/externalLinks/_rels/externalLink19.xml.rels><?xml version="1.0" encoding="UTF-8" standalone="yes"?>
<Relationships xmlns="http://schemas.openxmlformats.org/package/2006/relationships"><Relationship Id="rId1" Type="http://schemas.openxmlformats.org/officeDocument/2006/relationships/externalLinkPath" Target="/Documents%20and%20Settings/Administrator.PR/My%20Documents/ARRR-ver-1105.xls" TargetMode="External"/></Relationships>
</file>

<file path=xl/externalLinks/_rels/externalLink20.xml.rels><?xml version="1.0" encoding="UTF-8" standalone="yes"?>
<Relationships xmlns="http://schemas.openxmlformats.org/package/2006/relationships"><Relationship Id="rId1" Type="http://schemas.openxmlformats.org/officeDocument/2006/relationships/externalLinkPath" Target="/Estimates/Nabard/Deverakonda/Koppole_bollaram/Est_KB.xls" TargetMode="External"/></Relationships>
</file>

<file path=xl/externalLinks/_rels/externalLink21.xml.rels><?xml version="1.0" encoding="UTF-8" standalone="yes"?>
<Relationships xmlns="http://schemas.openxmlformats.org/package/2006/relationships"><Relationship Id="rId1" Type="http://schemas.openxmlformats.org/officeDocument/2006/relationships/externalLinkPath" Target="file:///\\Sai4\d\muncipality\old%20muncipality\qpur%20%20total%20stuff\Qpur1\TRASH\DATAs\cgnagar%20data3.xls" TargetMode="External"/></Relationships>
</file>

<file path=xl/externalLinks/_rels/externalLink22.xml.rels><?xml version="1.0" encoding="UTF-8" standalone="yes"?>
<Relationships xmlns="http://schemas.openxmlformats.org/package/2006/relationships"><Relationship Id="rId1" Type="http://schemas.openxmlformats.org/officeDocument/2006/relationships/externalLinkPath" Target="/Documents%20and%20Settings/RAMU/Desktop/ARRR-ver-1105-vsr.xls" TargetMode="External"/></Relationships>
</file>

<file path=xl/externalLinks/_rels/externalLink23.xml.rels><?xml version="1.0" encoding="UTF-8" standalone="yes"?>
<Relationships xmlns="http://schemas.openxmlformats.org/package/2006/relationships"><Relationship Id="rId1" Type="http://schemas.openxmlformats.org/officeDocument/2006/relationships/externalLinkPath" Target="/Levels/Kodad/Adloor/Dondapadu-2.xls" TargetMode="External"/></Relationships>
</file>

<file path=xl/externalLinks/_rels/externalLink24.xml.rels><?xml version="1.0" encoding="UTF-8" standalone="yes"?>
<Relationships xmlns="http://schemas.openxmlformats.org/package/2006/relationships"><Relationship Id="rId1" Type="http://schemas.openxmlformats.org/officeDocument/2006/relationships/externalLinkPath" Target="file:///\\Dee1\C\chatu\PMGSY%20PH_IV%20estimates\PMGSY\Yamanapalli%20to%20Mahamutharam%20(Maha%204%20kms).xls" TargetMode="External"/></Relationships>
</file>

<file path=xl/externalLinks/_rels/externalLink25.xml.rels><?xml version="1.0" encoding="UTF-8" standalone="yes"?>
<Relationships xmlns="http://schemas.openxmlformats.org/package/2006/relationships"><Relationship Id="rId1" Type="http://schemas.openxmlformats.org/officeDocument/2006/relationships/externalLinkPath" Target="/Estimates/Buildings/Mpp_newplan/Nalgonda/MPP_Vemulapally.xls" TargetMode="External"/></Relationships>
</file>

<file path=xl/externalLinks/_rels/externalLink26.xml.rels><?xml version="1.0" encoding="UTF-8" standalone="yes"?>
<Relationships xmlns="http://schemas.openxmlformats.org/package/2006/relationships"><Relationship Id="rId1" Type="http://schemas.openxmlformats.org/officeDocument/2006/relationships/externalLinkPath" Target="/Estimates/Buildings/Mpp_newplan/Miryalaguda/MPP_Gundlapally1.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cover"/>
      <sheetName val="abstract"/>
      <sheetName val="detailed"/>
      <sheetName val="btrates"/>
      <sheetName val="cost"/>
      <sheetName val="thick"/>
      <sheetName val="Leadcost"/>
      <sheetName val="leads"/>
      <sheetName val="data"/>
      <sheetName val="hp900"/>
      <sheetName val="CDdata (2)"/>
      <sheetName val="1v900"/>
      <sheetName val="2v900"/>
      <sheetName val="3v900"/>
      <sheetName val="impRdam"/>
      <sheetName val="lchart"/>
      <sheetName val="lchart1"/>
      <sheetName val="Lead"/>
      <sheetName val="Materials"/>
      <sheetName val="Data "/>
      <sheetName val="Retaing"/>
      <sheetName val="Abstract(F6)"/>
      <sheetName val="rdamdata"/>
      <sheetName val="Labour"/>
      <sheetName val="Material"/>
      <sheetName val="Plant &amp;  Machinery"/>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row r="3">
          <cell r="A3" t="str">
            <v>Sno</v>
          </cell>
          <cell r="B3" t="str">
            <v>Lead</v>
          </cell>
          <cell r="D3" t="str">
            <v>Earth</v>
          </cell>
          <cell r="E3" t="str">
            <v>Metal</v>
          </cell>
        </row>
        <row r="4">
          <cell r="A4">
            <v>0.1</v>
          </cell>
          <cell r="B4">
            <v>100</v>
          </cell>
          <cell r="C4" t="str">
            <v>m</v>
          </cell>
          <cell r="D4">
            <v>63</v>
          </cell>
          <cell r="E4">
            <v>72</v>
          </cell>
        </row>
        <row r="5">
          <cell r="A5">
            <v>0.2</v>
          </cell>
          <cell r="B5">
            <v>200</v>
          </cell>
          <cell r="C5" t="str">
            <v>m</v>
          </cell>
          <cell r="D5">
            <v>63</v>
          </cell>
          <cell r="E5">
            <v>72</v>
          </cell>
        </row>
        <row r="6">
          <cell r="A6">
            <v>0.3</v>
          </cell>
          <cell r="B6">
            <v>300</v>
          </cell>
          <cell r="C6" t="str">
            <v>m</v>
          </cell>
          <cell r="D6">
            <v>63</v>
          </cell>
          <cell r="E6">
            <v>72</v>
          </cell>
        </row>
        <row r="7">
          <cell r="A7">
            <v>0.4</v>
          </cell>
          <cell r="B7">
            <v>400</v>
          </cell>
          <cell r="C7" t="str">
            <v>m</v>
          </cell>
          <cell r="D7">
            <v>63</v>
          </cell>
          <cell r="E7">
            <v>72</v>
          </cell>
          <cell r="H7">
            <v>48</v>
          </cell>
        </row>
        <row r="8">
          <cell r="A8">
            <v>0.5</v>
          </cell>
          <cell r="B8">
            <v>500</v>
          </cell>
          <cell r="C8" t="str">
            <v>m</v>
          </cell>
          <cell r="D8">
            <v>63</v>
          </cell>
          <cell r="E8">
            <v>72</v>
          </cell>
        </row>
        <row r="9">
          <cell r="A9">
            <v>1</v>
          </cell>
          <cell r="B9">
            <v>1</v>
          </cell>
          <cell r="C9" t="str">
            <v>KM</v>
          </cell>
          <cell r="D9">
            <v>65</v>
          </cell>
          <cell r="E9">
            <v>75</v>
          </cell>
        </row>
        <row r="10">
          <cell r="A10">
            <v>2</v>
          </cell>
          <cell r="B10">
            <v>2</v>
          </cell>
          <cell r="C10" t="str">
            <v>KM</v>
          </cell>
          <cell r="D10">
            <v>68</v>
          </cell>
          <cell r="E10">
            <v>77</v>
          </cell>
        </row>
        <row r="11">
          <cell r="A11">
            <v>3</v>
          </cell>
          <cell r="B11">
            <v>3</v>
          </cell>
          <cell r="C11" t="str">
            <v>KM</v>
          </cell>
          <cell r="D11">
            <v>72</v>
          </cell>
          <cell r="E11">
            <v>81</v>
          </cell>
        </row>
        <row r="12">
          <cell r="A12">
            <v>4</v>
          </cell>
          <cell r="B12">
            <v>4</v>
          </cell>
          <cell r="C12" t="str">
            <v>KM</v>
          </cell>
          <cell r="D12">
            <v>75</v>
          </cell>
          <cell r="E12">
            <v>84</v>
          </cell>
        </row>
        <row r="13">
          <cell r="A13">
            <v>5</v>
          </cell>
          <cell r="B13">
            <v>5</v>
          </cell>
          <cell r="C13" t="str">
            <v>KM</v>
          </cell>
          <cell r="D13">
            <v>78</v>
          </cell>
          <cell r="E13">
            <v>87</v>
          </cell>
        </row>
        <row r="14">
          <cell r="A14">
            <v>6</v>
          </cell>
          <cell r="B14">
            <v>6</v>
          </cell>
          <cell r="C14" t="str">
            <v>KM</v>
          </cell>
          <cell r="D14">
            <v>81</v>
          </cell>
          <cell r="E14">
            <v>92</v>
          </cell>
        </row>
        <row r="15">
          <cell r="A15">
            <v>7</v>
          </cell>
          <cell r="B15">
            <v>7</v>
          </cell>
          <cell r="C15" t="str">
            <v>KM</v>
          </cell>
          <cell r="D15">
            <v>85</v>
          </cell>
          <cell r="E15">
            <v>94</v>
          </cell>
        </row>
        <row r="16">
          <cell r="A16">
            <v>8</v>
          </cell>
          <cell r="B16">
            <v>8</v>
          </cell>
          <cell r="C16" t="str">
            <v>KM</v>
          </cell>
          <cell r="D16">
            <v>88</v>
          </cell>
          <cell r="E16">
            <v>96</v>
          </cell>
        </row>
        <row r="17">
          <cell r="A17">
            <v>9</v>
          </cell>
          <cell r="B17">
            <v>9</v>
          </cell>
          <cell r="C17" t="str">
            <v>KM</v>
          </cell>
          <cell r="D17">
            <v>92</v>
          </cell>
          <cell r="E17">
            <v>101</v>
          </cell>
        </row>
        <row r="18">
          <cell r="A18">
            <v>10</v>
          </cell>
          <cell r="B18">
            <v>10</v>
          </cell>
          <cell r="C18" t="str">
            <v>KM</v>
          </cell>
          <cell r="D18">
            <v>95</v>
          </cell>
          <cell r="E18">
            <v>103</v>
          </cell>
        </row>
        <row r="19">
          <cell r="A19">
            <v>11</v>
          </cell>
          <cell r="B19">
            <v>11</v>
          </cell>
          <cell r="C19" t="str">
            <v>KM</v>
          </cell>
          <cell r="D19">
            <v>100</v>
          </cell>
          <cell r="E19">
            <v>106</v>
          </cell>
        </row>
        <row r="20">
          <cell r="A20">
            <v>12</v>
          </cell>
          <cell r="B20">
            <v>12</v>
          </cell>
          <cell r="C20" t="str">
            <v>KM</v>
          </cell>
          <cell r="D20">
            <v>102</v>
          </cell>
          <cell r="E20">
            <v>111</v>
          </cell>
        </row>
        <row r="21">
          <cell r="A21">
            <v>13</v>
          </cell>
          <cell r="B21">
            <v>13</v>
          </cell>
          <cell r="C21" t="str">
            <v>KM</v>
          </cell>
          <cell r="D21">
            <v>105</v>
          </cell>
          <cell r="E21">
            <v>114</v>
          </cell>
        </row>
        <row r="22">
          <cell r="A22">
            <v>14</v>
          </cell>
          <cell r="B22">
            <v>14</v>
          </cell>
          <cell r="C22" t="str">
            <v>KM</v>
          </cell>
          <cell r="D22">
            <v>109</v>
          </cell>
          <cell r="E22">
            <v>118</v>
          </cell>
        </row>
        <row r="23">
          <cell r="A23">
            <v>15</v>
          </cell>
          <cell r="B23">
            <v>15</v>
          </cell>
          <cell r="C23" t="str">
            <v>KM</v>
          </cell>
          <cell r="D23">
            <v>112</v>
          </cell>
          <cell r="E23">
            <v>120</v>
          </cell>
        </row>
        <row r="24">
          <cell r="A24">
            <v>16</v>
          </cell>
          <cell r="B24">
            <v>16</v>
          </cell>
          <cell r="C24" t="str">
            <v>KM</v>
          </cell>
          <cell r="D24">
            <v>114</v>
          </cell>
          <cell r="E24">
            <v>123</v>
          </cell>
        </row>
        <row r="25">
          <cell r="A25">
            <v>18</v>
          </cell>
          <cell r="B25">
            <v>18</v>
          </cell>
          <cell r="C25" t="str">
            <v>KM</v>
          </cell>
          <cell r="D25">
            <v>122</v>
          </cell>
          <cell r="E25">
            <v>130</v>
          </cell>
        </row>
        <row r="26">
          <cell r="A26">
            <v>19</v>
          </cell>
          <cell r="B26">
            <v>19</v>
          </cell>
          <cell r="C26" t="str">
            <v>KM</v>
          </cell>
          <cell r="D26">
            <v>125</v>
          </cell>
          <cell r="E26">
            <v>132</v>
          </cell>
        </row>
        <row r="27">
          <cell r="A27">
            <v>20</v>
          </cell>
          <cell r="B27">
            <v>20</v>
          </cell>
          <cell r="C27" t="str">
            <v>KM</v>
          </cell>
          <cell r="D27">
            <v>129</v>
          </cell>
          <cell r="E27">
            <v>137</v>
          </cell>
        </row>
        <row r="28">
          <cell r="A28">
            <v>21</v>
          </cell>
          <cell r="B28">
            <v>21</v>
          </cell>
          <cell r="C28" t="str">
            <v>KM</v>
          </cell>
          <cell r="D28">
            <v>131.80000000000001</v>
          </cell>
          <cell r="E28">
            <v>140.4</v>
          </cell>
        </row>
        <row r="29">
          <cell r="A29">
            <v>22</v>
          </cell>
          <cell r="B29">
            <v>22</v>
          </cell>
          <cell r="C29" t="str">
            <v>KM</v>
          </cell>
          <cell r="D29">
            <v>134.6</v>
          </cell>
          <cell r="E29">
            <v>143.80000000000001</v>
          </cell>
        </row>
        <row r="30">
          <cell r="A30">
            <v>23</v>
          </cell>
          <cell r="B30">
            <v>23</v>
          </cell>
          <cell r="C30" t="str">
            <v>KM</v>
          </cell>
          <cell r="D30">
            <v>137.4</v>
          </cell>
          <cell r="E30">
            <v>147.19999999999999</v>
          </cell>
        </row>
        <row r="31">
          <cell r="A31">
            <v>24</v>
          </cell>
          <cell r="B31">
            <v>24</v>
          </cell>
          <cell r="C31" t="str">
            <v>KM</v>
          </cell>
          <cell r="D31">
            <v>140.19999999999999</v>
          </cell>
          <cell r="E31">
            <v>150.6</v>
          </cell>
        </row>
        <row r="32">
          <cell r="A32">
            <v>25</v>
          </cell>
          <cell r="B32">
            <v>25</v>
          </cell>
          <cell r="C32" t="str">
            <v>KM</v>
          </cell>
          <cell r="D32">
            <v>143</v>
          </cell>
          <cell r="E32">
            <v>154</v>
          </cell>
        </row>
        <row r="33">
          <cell r="A33">
            <v>26</v>
          </cell>
          <cell r="B33">
            <v>26</v>
          </cell>
          <cell r="C33" t="str">
            <v>KM</v>
          </cell>
          <cell r="D33">
            <v>145.80000000000001</v>
          </cell>
          <cell r="E33">
            <v>157.4</v>
          </cell>
        </row>
        <row r="34">
          <cell r="A34">
            <v>27</v>
          </cell>
          <cell r="B34">
            <v>27</v>
          </cell>
          <cell r="C34" t="str">
            <v>KM</v>
          </cell>
          <cell r="D34">
            <v>148.6</v>
          </cell>
          <cell r="E34">
            <v>160.80000000000001</v>
          </cell>
        </row>
        <row r="35">
          <cell r="A35">
            <v>28</v>
          </cell>
          <cell r="B35">
            <v>28</v>
          </cell>
          <cell r="C35" t="str">
            <v>KM</v>
          </cell>
          <cell r="D35">
            <v>151.4</v>
          </cell>
          <cell r="E35">
            <v>164.2</v>
          </cell>
        </row>
        <row r="36">
          <cell r="A36">
            <v>29</v>
          </cell>
          <cell r="B36">
            <v>29</v>
          </cell>
          <cell r="C36" t="str">
            <v>KM</v>
          </cell>
          <cell r="D36">
            <v>154.19999999999999</v>
          </cell>
          <cell r="E36">
            <v>167.6</v>
          </cell>
        </row>
        <row r="37">
          <cell r="A37">
            <v>30</v>
          </cell>
          <cell r="B37">
            <v>30</v>
          </cell>
          <cell r="C37" t="str">
            <v>KM</v>
          </cell>
          <cell r="D37">
            <v>157</v>
          </cell>
          <cell r="E37">
            <v>171</v>
          </cell>
        </row>
        <row r="38">
          <cell r="A38">
            <v>31</v>
          </cell>
          <cell r="B38">
            <v>31</v>
          </cell>
          <cell r="C38" t="str">
            <v>KM</v>
          </cell>
          <cell r="D38">
            <v>159.80000000000001</v>
          </cell>
          <cell r="E38">
            <v>174.4</v>
          </cell>
        </row>
        <row r="39">
          <cell r="A39">
            <v>32</v>
          </cell>
          <cell r="B39">
            <v>32</v>
          </cell>
          <cell r="C39" t="str">
            <v>KM</v>
          </cell>
          <cell r="D39">
            <v>162.6</v>
          </cell>
          <cell r="E39">
            <v>177.8</v>
          </cell>
        </row>
        <row r="40">
          <cell r="A40">
            <v>33</v>
          </cell>
          <cell r="B40">
            <v>33</v>
          </cell>
          <cell r="C40" t="str">
            <v>KM</v>
          </cell>
          <cell r="D40">
            <v>165.4</v>
          </cell>
          <cell r="E40">
            <v>181.2</v>
          </cell>
        </row>
        <row r="41">
          <cell r="A41">
            <v>34</v>
          </cell>
          <cell r="B41">
            <v>34</v>
          </cell>
          <cell r="C41" t="str">
            <v>KM</v>
          </cell>
          <cell r="D41">
            <v>168.2</v>
          </cell>
          <cell r="E41">
            <v>184.6</v>
          </cell>
        </row>
        <row r="42">
          <cell r="A42">
            <v>35</v>
          </cell>
          <cell r="B42">
            <v>35</v>
          </cell>
          <cell r="C42" t="str">
            <v>KM</v>
          </cell>
          <cell r="D42">
            <v>171</v>
          </cell>
          <cell r="E42">
            <v>188</v>
          </cell>
        </row>
        <row r="43">
          <cell r="A43">
            <v>36</v>
          </cell>
          <cell r="B43">
            <v>36</v>
          </cell>
          <cell r="C43" t="str">
            <v>KM</v>
          </cell>
          <cell r="D43">
            <v>173.8</v>
          </cell>
          <cell r="E43">
            <v>191.4</v>
          </cell>
        </row>
        <row r="44">
          <cell r="A44">
            <v>37</v>
          </cell>
          <cell r="B44">
            <v>37</v>
          </cell>
          <cell r="C44" t="str">
            <v>KM</v>
          </cell>
          <cell r="D44">
            <v>176.6</v>
          </cell>
          <cell r="E44">
            <v>194.8</v>
          </cell>
        </row>
        <row r="45">
          <cell r="A45">
            <v>38</v>
          </cell>
          <cell r="B45">
            <v>38</v>
          </cell>
          <cell r="C45" t="str">
            <v>KM</v>
          </cell>
          <cell r="D45">
            <v>179.4</v>
          </cell>
          <cell r="E45">
            <v>198.2</v>
          </cell>
        </row>
        <row r="46">
          <cell r="A46">
            <v>39</v>
          </cell>
          <cell r="B46">
            <v>39</v>
          </cell>
          <cell r="C46" t="str">
            <v>KM</v>
          </cell>
          <cell r="D46">
            <v>182.2</v>
          </cell>
          <cell r="E46">
            <v>201.6</v>
          </cell>
        </row>
        <row r="47">
          <cell r="A47">
            <v>40</v>
          </cell>
          <cell r="B47">
            <v>40</v>
          </cell>
          <cell r="C47" t="str">
            <v>KM</v>
          </cell>
          <cell r="D47">
            <v>185</v>
          </cell>
          <cell r="E47">
            <v>205</v>
          </cell>
        </row>
        <row r="48">
          <cell r="A48">
            <v>41</v>
          </cell>
          <cell r="B48">
            <v>41</v>
          </cell>
          <cell r="C48" t="str">
            <v>KM</v>
          </cell>
          <cell r="D48">
            <v>187.8</v>
          </cell>
          <cell r="E48">
            <v>208.4</v>
          </cell>
        </row>
        <row r="49">
          <cell r="A49">
            <v>42</v>
          </cell>
          <cell r="B49">
            <v>42</v>
          </cell>
          <cell r="C49" t="str">
            <v>KM</v>
          </cell>
          <cell r="D49">
            <v>190.6</v>
          </cell>
          <cell r="E49">
            <v>211.8</v>
          </cell>
        </row>
        <row r="50">
          <cell r="A50">
            <v>43</v>
          </cell>
          <cell r="B50">
            <v>43</v>
          </cell>
          <cell r="C50" t="str">
            <v>KM</v>
          </cell>
          <cell r="D50">
            <v>193.4</v>
          </cell>
          <cell r="E50">
            <v>215.2</v>
          </cell>
        </row>
        <row r="51">
          <cell r="A51">
            <v>44</v>
          </cell>
          <cell r="B51">
            <v>44</v>
          </cell>
          <cell r="C51" t="str">
            <v>KM</v>
          </cell>
          <cell r="D51">
            <v>196.2</v>
          </cell>
          <cell r="E51">
            <v>218.6</v>
          </cell>
        </row>
        <row r="52">
          <cell r="A52">
            <v>45</v>
          </cell>
          <cell r="B52">
            <v>45</v>
          </cell>
          <cell r="C52" t="str">
            <v>KM</v>
          </cell>
          <cell r="D52">
            <v>199</v>
          </cell>
          <cell r="E52">
            <v>222</v>
          </cell>
        </row>
        <row r="53">
          <cell r="A53">
            <v>46</v>
          </cell>
          <cell r="B53">
            <v>46</v>
          </cell>
          <cell r="C53" t="str">
            <v>KM</v>
          </cell>
          <cell r="D53">
            <v>201.8</v>
          </cell>
          <cell r="E53">
            <v>225.4</v>
          </cell>
        </row>
        <row r="54">
          <cell r="A54">
            <v>47</v>
          </cell>
          <cell r="B54">
            <v>47</v>
          </cell>
          <cell r="C54" t="str">
            <v>KM</v>
          </cell>
          <cell r="D54">
            <v>204.6</v>
          </cell>
          <cell r="E54">
            <v>228.8</v>
          </cell>
        </row>
        <row r="55">
          <cell r="A55">
            <v>48</v>
          </cell>
          <cell r="B55">
            <v>48</v>
          </cell>
          <cell r="C55" t="str">
            <v>KM</v>
          </cell>
          <cell r="D55">
            <v>207.4</v>
          </cell>
          <cell r="E55">
            <v>232.2</v>
          </cell>
        </row>
        <row r="56">
          <cell r="A56">
            <v>49</v>
          </cell>
          <cell r="B56">
            <v>49</v>
          </cell>
          <cell r="C56" t="str">
            <v>KM</v>
          </cell>
          <cell r="D56">
            <v>210.2</v>
          </cell>
          <cell r="E56">
            <v>235.6</v>
          </cell>
        </row>
        <row r="57">
          <cell r="A57">
            <v>50</v>
          </cell>
          <cell r="B57">
            <v>50</v>
          </cell>
          <cell r="C57" t="str">
            <v>KM</v>
          </cell>
          <cell r="D57">
            <v>213</v>
          </cell>
          <cell r="E57">
            <v>239</v>
          </cell>
        </row>
        <row r="58">
          <cell r="A58">
            <v>51</v>
          </cell>
          <cell r="B58">
            <v>51</v>
          </cell>
          <cell r="C58" t="str">
            <v>KM</v>
          </cell>
          <cell r="D58">
            <v>215.6</v>
          </cell>
          <cell r="E58">
            <v>242.1</v>
          </cell>
        </row>
        <row r="59">
          <cell r="A59">
            <v>52</v>
          </cell>
          <cell r="B59">
            <v>52</v>
          </cell>
          <cell r="C59" t="str">
            <v>KM</v>
          </cell>
          <cell r="D59">
            <v>218.2</v>
          </cell>
          <cell r="E59">
            <v>245.2</v>
          </cell>
        </row>
        <row r="60">
          <cell r="A60">
            <v>53</v>
          </cell>
          <cell r="B60">
            <v>53</v>
          </cell>
          <cell r="C60" t="str">
            <v>KM</v>
          </cell>
          <cell r="D60">
            <v>220.8</v>
          </cell>
          <cell r="E60">
            <v>248.3</v>
          </cell>
        </row>
        <row r="61">
          <cell r="A61">
            <v>54</v>
          </cell>
          <cell r="B61">
            <v>54</v>
          </cell>
          <cell r="C61" t="str">
            <v>KM</v>
          </cell>
          <cell r="D61">
            <v>223.4</v>
          </cell>
          <cell r="E61">
            <v>251.4</v>
          </cell>
        </row>
        <row r="62">
          <cell r="A62">
            <v>55</v>
          </cell>
          <cell r="B62">
            <v>55</v>
          </cell>
          <cell r="C62" t="str">
            <v>KM</v>
          </cell>
          <cell r="D62">
            <v>226</v>
          </cell>
          <cell r="E62">
            <v>254.5</v>
          </cell>
        </row>
        <row r="63">
          <cell r="A63">
            <v>56</v>
          </cell>
          <cell r="B63">
            <v>56</v>
          </cell>
          <cell r="C63" t="str">
            <v>KM</v>
          </cell>
          <cell r="D63">
            <v>228.6</v>
          </cell>
          <cell r="E63">
            <v>257.60000000000002</v>
          </cell>
        </row>
        <row r="64">
          <cell r="A64">
            <v>57</v>
          </cell>
          <cell r="B64">
            <v>57</v>
          </cell>
          <cell r="C64" t="str">
            <v>KM</v>
          </cell>
          <cell r="D64">
            <v>231.2</v>
          </cell>
          <cell r="E64">
            <v>260.7</v>
          </cell>
        </row>
        <row r="65">
          <cell r="A65">
            <v>58</v>
          </cell>
          <cell r="B65">
            <v>58</v>
          </cell>
          <cell r="C65" t="str">
            <v>KM</v>
          </cell>
          <cell r="D65">
            <v>233.8</v>
          </cell>
          <cell r="E65">
            <v>263.8</v>
          </cell>
        </row>
        <row r="66">
          <cell r="A66">
            <v>59</v>
          </cell>
          <cell r="B66">
            <v>59</v>
          </cell>
          <cell r="C66" t="str">
            <v>KM</v>
          </cell>
          <cell r="D66">
            <v>236.4</v>
          </cell>
          <cell r="E66">
            <v>266.89999999999998</v>
          </cell>
        </row>
        <row r="67">
          <cell r="A67">
            <v>60</v>
          </cell>
          <cell r="B67">
            <v>60</v>
          </cell>
          <cell r="C67" t="str">
            <v>KM</v>
          </cell>
          <cell r="D67">
            <v>239</v>
          </cell>
          <cell r="E67">
            <v>270</v>
          </cell>
        </row>
        <row r="68">
          <cell r="A68">
            <v>61</v>
          </cell>
          <cell r="B68">
            <v>61</v>
          </cell>
          <cell r="C68" t="str">
            <v>KM</v>
          </cell>
          <cell r="D68">
            <v>241.6</v>
          </cell>
          <cell r="E68">
            <v>273.10000000000002</v>
          </cell>
        </row>
        <row r="69">
          <cell r="A69">
            <v>62</v>
          </cell>
          <cell r="B69">
            <v>62</v>
          </cell>
          <cell r="C69" t="str">
            <v>KM</v>
          </cell>
          <cell r="D69">
            <v>244.2</v>
          </cell>
          <cell r="E69">
            <v>276.2</v>
          </cell>
        </row>
        <row r="70">
          <cell r="A70">
            <v>63</v>
          </cell>
          <cell r="B70">
            <v>63</v>
          </cell>
          <cell r="C70" t="str">
            <v>KM</v>
          </cell>
          <cell r="D70">
            <v>246.8</v>
          </cell>
          <cell r="E70">
            <v>279.3</v>
          </cell>
        </row>
        <row r="71">
          <cell r="A71">
            <v>64</v>
          </cell>
          <cell r="B71">
            <v>64</v>
          </cell>
          <cell r="C71" t="str">
            <v>KM</v>
          </cell>
          <cell r="D71">
            <v>249.4</v>
          </cell>
          <cell r="E71">
            <v>282.39999999999998</v>
          </cell>
        </row>
        <row r="72">
          <cell r="A72">
            <v>65</v>
          </cell>
          <cell r="B72">
            <v>65</v>
          </cell>
          <cell r="C72" t="str">
            <v>KM</v>
          </cell>
          <cell r="D72">
            <v>252</v>
          </cell>
          <cell r="E72">
            <v>285.5</v>
          </cell>
        </row>
        <row r="73">
          <cell r="A73">
            <v>66</v>
          </cell>
          <cell r="B73">
            <v>66</v>
          </cell>
          <cell r="C73" t="str">
            <v>KM</v>
          </cell>
          <cell r="D73">
            <v>254.6</v>
          </cell>
          <cell r="E73">
            <v>288.60000000000002</v>
          </cell>
        </row>
        <row r="74">
          <cell r="A74">
            <v>67</v>
          </cell>
          <cell r="B74">
            <v>67</v>
          </cell>
          <cell r="C74" t="str">
            <v>KM</v>
          </cell>
          <cell r="D74">
            <v>257.2</v>
          </cell>
          <cell r="E74">
            <v>291.7</v>
          </cell>
        </row>
        <row r="75">
          <cell r="A75">
            <v>68</v>
          </cell>
          <cell r="B75">
            <v>68</v>
          </cell>
          <cell r="C75" t="str">
            <v>KM</v>
          </cell>
          <cell r="D75">
            <v>259.8</v>
          </cell>
          <cell r="E75">
            <v>294.8</v>
          </cell>
        </row>
        <row r="76">
          <cell r="A76">
            <v>69</v>
          </cell>
          <cell r="B76">
            <v>69</v>
          </cell>
          <cell r="C76" t="str">
            <v>KM</v>
          </cell>
          <cell r="D76">
            <v>262.39999999999998</v>
          </cell>
          <cell r="E76">
            <v>297.89999999999998</v>
          </cell>
        </row>
        <row r="77">
          <cell r="A77">
            <v>70</v>
          </cell>
          <cell r="B77">
            <v>70</v>
          </cell>
          <cell r="C77" t="str">
            <v>KM</v>
          </cell>
          <cell r="D77">
            <v>265</v>
          </cell>
          <cell r="E77">
            <v>301</v>
          </cell>
        </row>
        <row r="78">
          <cell r="A78">
            <v>71</v>
          </cell>
          <cell r="B78">
            <v>71</v>
          </cell>
          <cell r="C78" t="str">
            <v>KM</v>
          </cell>
          <cell r="D78">
            <v>267.60000000000002</v>
          </cell>
          <cell r="E78">
            <v>304.10000000000002</v>
          </cell>
        </row>
        <row r="79">
          <cell r="A79">
            <v>72</v>
          </cell>
          <cell r="B79">
            <v>72</v>
          </cell>
          <cell r="C79" t="str">
            <v>KM</v>
          </cell>
          <cell r="D79">
            <v>270.2</v>
          </cell>
          <cell r="E79">
            <v>307.2</v>
          </cell>
        </row>
        <row r="80">
          <cell r="A80">
            <v>73</v>
          </cell>
          <cell r="B80">
            <v>73</v>
          </cell>
          <cell r="C80" t="str">
            <v>KM</v>
          </cell>
          <cell r="D80">
            <v>272.8</v>
          </cell>
          <cell r="E80">
            <v>310.3</v>
          </cell>
        </row>
        <row r="81">
          <cell r="A81">
            <v>74</v>
          </cell>
          <cell r="B81">
            <v>74</v>
          </cell>
          <cell r="C81" t="str">
            <v>KM</v>
          </cell>
          <cell r="D81">
            <v>275.39999999999998</v>
          </cell>
          <cell r="E81">
            <v>313.39999999999998</v>
          </cell>
        </row>
        <row r="82">
          <cell r="A82">
            <v>75</v>
          </cell>
          <cell r="B82">
            <v>75</v>
          </cell>
          <cell r="C82" t="str">
            <v>KM</v>
          </cell>
          <cell r="D82">
            <v>278</v>
          </cell>
          <cell r="E82">
            <v>316.5</v>
          </cell>
        </row>
        <row r="83">
          <cell r="A83">
            <v>76</v>
          </cell>
          <cell r="B83">
            <v>76</v>
          </cell>
          <cell r="C83" t="str">
            <v>KM</v>
          </cell>
          <cell r="D83">
            <v>280.60000000000002</v>
          </cell>
          <cell r="E83">
            <v>319.60000000000002</v>
          </cell>
        </row>
        <row r="84">
          <cell r="A84">
            <v>77</v>
          </cell>
          <cell r="B84">
            <v>77</v>
          </cell>
          <cell r="C84" t="str">
            <v>KM</v>
          </cell>
          <cell r="D84">
            <v>283.2</v>
          </cell>
          <cell r="E84">
            <v>322.7</v>
          </cell>
        </row>
        <row r="85">
          <cell r="A85">
            <v>78</v>
          </cell>
          <cell r="B85">
            <v>78</v>
          </cell>
          <cell r="C85" t="str">
            <v>KM</v>
          </cell>
          <cell r="D85">
            <v>285.8</v>
          </cell>
          <cell r="E85">
            <v>325.8</v>
          </cell>
        </row>
        <row r="86">
          <cell r="A86">
            <v>79</v>
          </cell>
          <cell r="B86">
            <v>79</v>
          </cell>
          <cell r="C86" t="str">
            <v>KM</v>
          </cell>
          <cell r="D86">
            <v>288.39999999999998</v>
          </cell>
          <cell r="E86">
            <v>328.9</v>
          </cell>
        </row>
        <row r="87">
          <cell r="A87">
            <v>80</v>
          </cell>
          <cell r="B87">
            <v>80</v>
          </cell>
          <cell r="C87" t="str">
            <v>KM</v>
          </cell>
          <cell r="D87">
            <v>291</v>
          </cell>
          <cell r="E87">
            <v>332</v>
          </cell>
        </row>
        <row r="88">
          <cell r="A88">
            <v>81</v>
          </cell>
          <cell r="B88">
            <v>81</v>
          </cell>
          <cell r="C88" t="str">
            <v>KM</v>
          </cell>
          <cell r="D88">
            <v>293.60000000000002</v>
          </cell>
          <cell r="E88">
            <v>335.1</v>
          </cell>
        </row>
        <row r="89">
          <cell r="A89">
            <v>82</v>
          </cell>
          <cell r="B89">
            <v>82</v>
          </cell>
          <cell r="C89" t="str">
            <v>KM</v>
          </cell>
          <cell r="D89">
            <v>296.2</v>
          </cell>
          <cell r="E89">
            <v>338.2</v>
          </cell>
        </row>
        <row r="90">
          <cell r="A90">
            <v>83</v>
          </cell>
          <cell r="B90">
            <v>83</v>
          </cell>
          <cell r="C90" t="str">
            <v>KM</v>
          </cell>
          <cell r="D90">
            <v>298.8</v>
          </cell>
          <cell r="E90">
            <v>341.3</v>
          </cell>
        </row>
        <row r="91">
          <cell r="A91">
            <v>84</v>
          </cell>
          <cell r="B91">
            <v>84</v>
          </cell>
          <cell r="C91" t="str">
            <v>KM</v>
          </cell>
          <cell r="D91">
            <v>301.39999999999998</v>
          </cell>
          <cell r="E91">
            <v>344.4</v>
          </cell>
        </row>
        <row r="92">
          <cell r="A92">
            <v>85</v>
          </cell>
          <cell r="B92">
            <v>85</v>
          </cell>
          <cell r="C92" t="str">
            <v>KM</v>
          </cell>
          <cell r="D92">
            <v>304</v>
          </cell>
          <cell r="E92">
            <v>347.5</v>
          </cell>
        </row>
        <row r="93">
          <cell r="A93">
            <v>86</v>
          </cell>
          <cell r="B93">
            <v>86</v>
          </cell>
          <cell r="C93" t="str">
            <v>KM</v>
          </cell>
          <cell r="D93">
            <v>306.60000000000002</v>
          </cell>
          <cell r="E93">
            <v>350.6</v>
          </cell>
        </row>
        <row r="94">
          <cell r="A94">
            <v>87</v>
          </cell>
          <cell r="B94">
            <v>87</v>
          </cell>
          <cell r="C94" t="str">
            <v>KM</v>
          </cell>
          <cell r="D94">
            <v>309.2</v>
          </cell>
          <cell r="E94">
            <v>353.7</v>
          </cell>
        </row>
        <row r="95">
          <cell r="A95">
            <v>88</v>
          </cell>
          <cell r="B95">
            <v>88</v>
          </cell>
          <cell r="C95" t="str">
            <v>KM</v>
          </cell>
          <cell r="D95">
            <v>311.8</v>
          </cell>
          <cell r="E95">
            <v>356.8</v>
          </cell>
        </row>
        <row r="96">
          <cell r="A96">
            <v>89</v>
          </cell>
          <cell r="B96">
            <v>89</v>
          </cell>
          <cell r="C96" t="str">
            <v>KM</v>
          </cell>
          <cell r="D96">
            <v>314.39999999999998</v>
          </cell>
          <cell r="E96">
            <v>359.9</v>
          </cell>
        </row>
        <row r="97">
          <cell r="A97">
            <v>90</v>
          </cell>
          <cell r="B97">
            <v>90</v>
          </cell>
          <cell r="C97" t="str">
            <v>KM</v>
          </cell>
          <cell r="D97">
            <v>317</v>
          </cell>
          <cell r="E97">
            <v>363</v>
          </cell>
        </row>
        <row r="98">
          <cell r="A98">
            <v>91</v>
          </cell>
          <cell r="B98">
            <v>91</v>
          </cell>
          <cell r="C98" t="str">
            <v>KM</v>
          </cell>
          <cell r="D98">
            <v>319.60000000000002</v>
          </cell>
          <cell r="E98">
            <v>366.1</v>
          </cell>
        </row>
        <row r="99">
          <cell r="A99">
            <v>92</v>
          </cell>
          <cell r="B99">
            <v>92</v>
          </cell>
          <cell r="C99" t="str">
            <v>KM</v>
          </cell>
          <cell r="D99">
            <v>322.2</v>
          </cell>
          <cell r="E99">
            <v>369.2</v>
          </cell>
        </row>
        <row r="100">
          <cell r="A100">
            <v>93</v>
          </cell>
          <cell r="B100">
            <v>93</v>
          </cell>
          <cell r="C100" t="str">
            <v>KM</v>
          </cell>
          <cell r="D100">
            <v>324.8</v>
          </cell>
          <cell r="E100">
            <v>372.3</v>
          </cell>
        </row>
        <row r="101">
          <cell r="A101">
            <v>94</v>
          </cell>
          <cell r="B101">
            <v>94</v>
          </cell>
          <cell r="C101" t="str">
            <v>KM</v>
          </cell>
          <cell r="D101">
            <v>327.39999999999998</v>
          </cell>
          <cell r="E101">
            <v>375.4</v>
          </cell>
        </row>
        <row r="102">
          <cell r="A102">
            <v>95</v>
          </cell>
          <cell r="B102">
            <v>95</v>
          </cell>
          <cell r="C102" t="str">
            <v>KM</v>
          </cell>
          <cell r="D102">
            <v>330</v>
          </cell>
          <cell r="E102">
            <v>378.5</v>
          </cell>
        </row>
        <row r="103">
          <cell r="A103">
            <v>96</v>
          </cell>
          <cell r="B103">
            <v>96</v>
          </cell>
          <cell r="C103" t="str">
            <v>KM</v>
          </cell>
          <cell r="D103">
            <v>332.6</v>
          </cell>
          <cell r="E103">
            <v>381.6</v>
          </cell>
        </row>
        <row r="104">
          <cell r="A104">
            <v>97</v>
          </cell>
          <cell r="B104">
            <v>97</v>
          </cell>
          <cell r="C104" t="str">
            <v>KM</v>
          </cell>
          <cell r="D104">
            <v>335.2</v>
          </cell>
          <cell r="E104">
            <v>384.7</v>
          </cell>
        </row>
        <row r="105">
          <cell r="A105">
            <v>98</v>
          </cell>
          <cell r="B105">
            <v>98</v>
          </cell>
          <cell r="C105" t="str">
            <v>KM</v>
          </cell>
          <cell r="D105">
            <v>337.8</v>
          </cell>
          <cell r="E105">
            <v>387.8</v>
          </cell>
        </row>
        <row r="106">
          <cell r="A106">
            <v>99</v>
          </cell>
          <cell r="B106">
            <v>99</v>
          </cell>
          <cell r="C106" t="str">
            <v>KM</v>
          </cell>
          <cell r="D106">
            <v>340.4</v>
          </cell>
          <cell r="E106">
            <v>390.9</v>
          </cell>
        </row>
        <row r="107">
          <cell r="A107">
            <v>100</v>
          </cell>
          <cell r="B107">
            <v>100</v>
          </cell>
          <cell r="C107" t="str">
            <v>KM</v>
          </cell>
          <cell r="D107">
            <v>343</v>
          </cell>
          <cell r="E107">
            <v>394</v>
          </cell>
        </row>
      </sheetData>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mpp"/>
      <sheetName val="data_new"/>
      <sheetName val="lead-st"/>
      <sheetName val="v"/>
      <sheetName val="r"/>
      <sheetName val="l"/>
      <sheetName val="Data.F8.BTR"/>
      <sheetName val="leads"/>
      <sheetName val="rdamdata"/>
      <sheetName val="Lead statement ss5"/>
      <sheetName val="Lead_statement_ss5"/>
      <sheetName val="Material"/>
      <sheetName val="Plant &amp;  Machinery"/>
      <sheetName val="Data_F8_BTR"/>
      <sheetName val="Plant_&amp;__Machinery"/>
      <sheetName val="Labour"/>
      <sheetName val="ssr-rates"/>
      <sheetName val="DATA"/>
      <sheetName val="HDPE"/>
      <sheetName val="DI"/>
      <sheetName val="pvc"/>
      <sheetName val="Sheet1"/>
      <sheetName val="Lead"/>
      <sheetName val="data existing_do not delete"/>
      <sheetName val="DATA_PRG"/>
      <sheetName val="clvrt_data"/>
      <sheetName val="t_prsr"/>
      <sheetName val="wh"/>
      <sheetName val="Rates-May-14"/>
      <sheetName val="Nspt-smp-final-ORIGINAL"/>
      <sheetName val="TOP SLAB-beams"/>
      <sheetName val="int-Dia-pvc"/>
      <sheetName val="Plant 㫨  Machinery"/>
      <sheetName val="Plant_㫨__Machinery"/>
      <sheetName val="Data_F8_BTR3"/>
      <sheetName val="Plant_&amp;__Machinery3"/>
      <sheetName val="Lead_statement_ss53"/>
      <sheetName val="Data_F8_BTR1"/>
      <sheetName val="Plant_&amp;__Machinery1"/>
      <sheetName val="Lead_statement_ss51"/>
      <sheetName val="Data_F8_BTR2"/>
      <sheetName val="Plant_&amp;__Machinery2"/>
      <sheetName val="Lead_statement_ss52"/>
      <sheetName val="Works"/>
      <sheetName val="RMR"/>
      <sheetName val="General"/>
      <sheetName val="Lɥad"/>
      <sheetName val="id"/>
      <sheetName val="Bitumen trunk"/>
      <sheetName val="Feeder"/>
      <sheetName val="R99 etc"/>
      <sheetName val="Trunk unpaved"/>
      <sheetName val="m"/>
      <sheetName val="Levels"/>
      <sheetName val="MRATES"/>
      <sheetName val="mlead"/>
      <sheetName val="abs road"/>
      <sheetName val="coverpage"/>
      <sheetName val="Road data"/>
      <sheetName val="R_Det"/>
      <sheetName val="DATA-BASE"/>
      <sheetName val="DATA-ABSTRACT"/>
      <sheetName val="Class IV Qtr. Ele"/>
      <sheetName val="Bridge Data 2005-06"/>
      <sheetName val="bom"/>
      <sheetName val="Lead statement"/>
      <sheetName val="GROUND FLOOR"/>
      <sheetName val="water-hammar-strenght"/>
      <sheetName val="hdpe weights"/>
      <sheetName val="PVC weights"/>
      <sheetName val="0000000000000"/>
      <sheetName val="SSR"/>
      <sheetName val="VC 80"/>
      <sheetName val="VC 450"/>
      <sheetName val="hdpe_basic"/>
      <sheetName val="pvc_basic"/>
      <sheetName val="PROCTOR"/>
      <sheetName val="Rates"/>
      <sheetName val="PH data"/>
      <sheetName val="Rates SSR 2008-09"/>
      <sheetName val="RMR.PS"/>
      <sheetName val="BTR.PS"/>
      <sheetName val="Road data.PS"/>
      <sheetName val="Road data-TDR"/>
      <sheetName val="Delivery mains"/>
      <sheetName val="bundqty"/>
      <sheetName val="CONST"/>
      <sheetName val="Common "/>
      <sheetName val="maya"/>
      <sheetName val="Specification"/>
      <sheetName val="Specification report"/>
      <sheetName val="data_existing_do_not_delete2"/>
      <sheetName val="Bitumen_trunk2"/>
      <sheetName val="R99_etc2"/>
      <sheetName val="Trunk_unpaved2"/>
      <sheetName val="abs_road2"/>
      <sheetName val="Road_data2"/>
      <sheetName val="Class_IV_Qtr__Ele2"/>
      <sheetName val="Bridge_Data_2005-062"/>
      <sheetName val="Lead_statement2"/>
      <sheetName val="GROUND_FLOOR2"/>
      <sheetName val="data_existing_do_not_delete"/>
      <sheetName val="Bitumen_trunk"/>
      <sheetName val="R99_etc"/>
      <sheetName val="Trunk_unpaved"/>
      <sheetName val="abs_road"/>
      <sheetName val="Road_data"/>
      <sheetName val="Class_IV_Qtr__Ele"/>
      <sheetName val="Bridge_Data_2005-06"/>
      <sheetName val="Lead_statement"/>
      <sheetName val="GROUND_FLOOR"/>
      <sheetName val="data_existing_do_not_delete1"/>
      <sheetName val="Bitumen_trunk1"/>
      <sheetName val="R99_etc1"/>
      <sheetName val="Trunk_unpaved1"/>
      <sheetName val="abs_road1"/>
      <sheetName val="Road_data1"/>
      <sheetName val="Class_IV_Qtr__Ele1"/>
      <sheetName val="Bridge_Data_2005-061"/>
      <sheetName val="Lead_statement1"/>
      <sheetName val="GROUND_FLOOR1"/>
      <sheetName val="Analy"/>
      <sheetName val="1-Pop Proj"/>
      <sheetName val="Estimate "/>
      <sheetName val="banilad"/>
      <sheetName val="SECPROP"/>
      <sheetName val="CABLENOS."/>
      <sheetName val="Main sheet"/>
      <sheetName val="Ins &amp; Bonds"/>
      <sheetName val="A-3.1"/>
      <sheetName val="Client req"/>
      <sheetName val="final abstract"/>
      <sheetName val="MRoad data"/>
      <sheetName val="Sheet2"/>
      <sheetName val="Sheet3"/>
      <sheetName val="Sheet1 (2)"/>
      <sheetName val="wt of CID joint"/>
      <sheetName val="AC DAta"/>
      <sheetName val="Pipe Pilne MAch"/>
      <sheetName val="Sheet4"/>
      <sheetName val="Indurhty"/>
      <sheetName val="Indurhty 2016-17"/>
      <sheetName val="Sheet5"/>
      <sheetName val="1"/>
      <sheetName val="2"/>
      <sheetName val="3"/>
      <sheetName val="4"/>
      <sheetName val="detls"/>
      <sheetName val="Tees"/>
      <sheetName val="BWSCPlt"/>
      <sheetName val="CI"/>
      <sheetName val="G.R.P"/>
      <sheetName val="PSC REVISED"/>
      <sheetName val="index"/>
      <sheetName val="Exp"/>
      <sheetName val="A 3_7"/>
      <sheetName val="Cover"/>
      <sheetName val="FORM-W3"/>
      <sheetName val="Cash2"/>
      <sheetName val="Design"/>
      <sheetName val="PUMP_DATA"/>
      <sheetName val="C-data"/>
      <sheetName val="RWS"/>
      <sheetName val="Entry"/>
      <sheetName val="Data_F8_BTR4"/>
      <sheetName val="Plant_&amp;__Machinery4"/>
      <sheetName val="Lead_statement_ss54"/>
      <sheetName val="Abs"/>
      <sheetName val="X-2"/>
      <sheetName val="BOQ (2)"/>
      <sheetName val="Usage"/>
      <sheetName val="Quarry"/>
      <sheetName val="Line"/>
      <sheetName val="BTR"/>
      <sheetName val="CRUST"/>
      <sheetName val="QDTS"/>
      <sheetName val="Abs_CD_2"/>
      <sheetName val="road est"/>
      <sheetName val="ECV"/>
      <sheetName val="DATA SHEET"/>
      <sheetName val="ANAL-PIPE LINE"/>
      <sheetName val="MS Pipe Working"/>
      <sheetName val="wh_data"/>
      <sheetName val="wh_data_R"/>
      <sheetName val="CPHEEO"/>
      <sheetName val="input"/>
      <sheetName val="civ data"/>
      <sheetName val="sand"/>
      <sheetName val="stone"/>
      <sheetName val="Datas"/>
      <sheetName val="HDPE-pipe-rates"/>
      <sheetName val="pvc-pipe-rates"/>
      <sheetName val="650kL-design-final"/>
      <sheetName val="_5wgdhabfinal00_01"/>
      <sheetName val="SPT vs PHI"/>
      <sheetName val="PS1"/>
      <sheetName val="Rate Analysis"/>
      <sheetName val="data_existing_do_not_delete3"/>
      <sheetName val="TOP_SLAB-beams"/>
      <sheetName val="Plant_㫨__Machinery1"/>
      <sheetName val="Common_"/>
      <sheetName val="Bitumen_trunk3"/>
      <sheetName val="R99_etc3"/>
      <sheetName val="Trunk_unpaved3"/>
      <sheetName val="abs_road3"/>
      <sheetName val="Road_data3"/>
      <sheetName val="Class_IV_Qtr__Ele3"/>
      <sheetName val="Bridge_Data_2005-063"/>
      <sheetName val="Lead_statement3"/>
      <sheetName val="GROUND_FLOOR3"/>
      <sheetName val="hdpe_weights"/>
      <sheetName val="PVC_weights"/>
      <sheetName val="VC_80"/>
      <sheetName val="VC_450"/>
      <sheetName val="PH_data"/>
      <sheetName val="Delivery_mains"/>
      <sheetName val="Ins_&amp;_Bonds"/>
      <sheetName val="A-3_1"/>
      <sheetName val="Client_req"/>
      <sheetName val="Specification_report"/>
      <sheetName val="1-Pop_Proj"/>
      <sheetName val="Estimate_"/>
      <sheetName val="CABLENOS_"/>
      <sheetName val="Main_sheet"/>
      <sheetName val="MRoad_data"/>
      <sheetName val="final_abstract"/>
      <sheetName val="Sheet1_(2)"/>
      <sheetName val="wt_of_CID_joint"/>
      <sheetName val="AC_DAta"/>
      <sheetName val="Pipe_Pilne_MAch"/>
      <sheetName val="Indurhty_2016-17"/>
    </sheetNames>
    <sheetDataSet>
      <sheetData sheetId="0" refreshError="1"/>
      <sheetData sheetId="1" refreshError="1"/>
      <sheetData sheetId="2" refreshError="1"/>
      <sheetData sheetId="3" refreshError="1"/>
      <sheetData sheetId="4" refreshError="1">
        <row r="2">
          <cell r="F2">
            <v>100</v>
          </cell>
        </row>
        <row r="3">
          <cell r="F3">
            <v>90</v>
          </cell>
        </row>
        <row r="4">
          <cell r="F4">
            <v>65</v>
          </cell>
        </row>
        <row r="29">
          <cell r="F29">
            <v>44</v>
          </cell>
        </row>
        <row r="30">
          <cell r="F30">
            <v>0.25</v>
          </cell>
        </row>
      </sheetData>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sheetData sheetId="19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sheetData sheetId="225"/>
      <sheetData sheetId="226" refreshError="1"/>
      <sheetData sheetId="227" refreshError="1"/>
      <sheetData sheetId="228" refreshError="1"/>
      <sheetData sheetId="229" refreshError="1"/>
      <sheetData sheetId="230" refreshError="1"/>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cover"/>
      <sheetName val="abstract"/>
      <sheetName val="detailed"/>
      <sheetName val="cdAbst"/>
      <sheetName val="cost"/>
      <sheetName val="data"/>
      <sheetName val="hp900"/>
      <sheetName val="CDdata (2)"/>
      <sheetName val="1v900"/>
      <sheetName val="2v900"/>
      <sheetName val="3v900"/>
      <sheetName val="impRdam"/>
      <sheetName val="CDdata"/>
      <sheetName val="lchart"/>
      <sheetName val="keymap"/>
      <sheetName val="LS"/>
      <sheetName val="CS"/>
      <sheetName val="leads"/>
    </sheetNames>
    <sheetDataSet>
      <sheetData sheetId="0" refreshError="1"/>
      <sheetData sheetId="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ow r="3">
          <cell r="A3" t="str">
            <v>Sno</v>
          </cell>
          <cell r="B3" t="str">
            <v>Lead</v>
          </cell>
          <cell r="D3" t="str">
            <v>Earth</v>
          </cell>
          <cell r="E3" t="str">
            <v>Metal</v>
          </cell>
        </row>
        <row r="4">
          <cell r="A4">
            <v>1</v>
          </cell>
          <cell r="B4">
            <v>100</v>
          </cell>
          <cell r="C4" t="str">
            <v>m</v>
          </cell>
          <cell r="D4">
            <v>16</v>
          </cell>
        </row>
        <row r="5">
          <cell r="A5">
            <v>2</v>
          </cell>
          <cell r="B5">
            <v>200</v>
          </cell>
          <cell r="C5" t="str">
            <v>m</v>
          </cell>
          <cell r="D5">
            <v>25</v>
          </cell>
        </row>
        <row r="6">
          <cell r="A6">
            <v>3</v>
          </cell>
          <cell r="B6">
            <v>300</v>
          </cell>
          <cell r="C6" t="str">
            <v>m</v>
          </cell>
          <cell r="D6">
            <v>33</v>
          </cell>
        </row>
        <row r="7">
          <cell r="A7">
            <v>4</v>
          </cell>
          <cell r="B7">
            <v>400</v>
          </cell>
          <cell r="C7" t="str">
            <v>m</v>
          </cell>
          <cell r="D7">
            <v>45</v>
          </cell>
        </row>
        <row r="8">
          <cell r="A8">
            <v>5</v>
          </cell>
          <cell r="B8">
            <v>500</v>
          </cell>
          <cell r="C8" t="str">
            <v>m</v>
          </cell>
          <cell r="D8">
            <v>56</v>
          </cell>
          <cell r="E8">
            <v>64</v>
          </cell>
        </row>
        <row r="9">
          <cell r="A9">
            <v>6</v>
          </cell>
          <cell r="B9">
            <v>1</v>
          </cell>
          <cell r="C9" t="str">
            <v>KM</v>
          </cell>
          <cell r="D9">
            <v>58</v>
          </cell>
          <cell r="E9">
            <v>67</v>
          </cell>
        </row>
        <row r="10">
          <cell r="A10">
            <v>7</v>
          </cell>
          <cell r="B10">
            <v>2</v>
          </cell>
          <cell r="C10" t="str">
            <v>KM</v>
          </cell>
          <cell r="D10">
            <v>61</v>
          </cell>
          <cell r="E10">
            <v>69</v>
          </cell>
        </row>
        <row r="11">
          <cell r="A11">
            <v>8</v>
          </cell>
          <cell r="B11">
            <v>3</v>
          </cell>
          <cell r="C11" t="str">
            <v>KM</v>
          </cell>
          <cell r="D11">
            <v>64</v>
          </cell>
          <cell r="E11">
            <v>72</v>
          </cell>
        </row>
        <row r="12">
          <cell r="A12">
            <v>9</v>
          </cell>
          <cell r="B12">
            <v>4</v>
          </cell>
          <cell r="C12" t="str">
            <v>KM</v>
          </cell>
          <cell r="D12">
            <v>67</v>
          </cell>
          <cell r="E12">
            <v>75</v>
          </cell>
        </row>
        <row r="13">
          <cell r="A13">
            <v>10</v>
          </cell>
          <cell r="B13">
            <v>5</v>
          </cell>
          <cell r="C13" t="str">
            <v>KM</v>
          </cell>
          <cell r="D13">
            <v>70</v>
          </cell>
          <cell r="E13">
            <v>78</v>
          </cell>
        </row>
        <row r="14">
          <cell r="A14">
            <v>11</v>
          </cell>
          <cell r="B14">
            <v>6</v>
          </cell>
          <cell r="C14" t="str">
            <v>KM</v>
          </cell>
          <cell r="D14">
            <v>72</v>
          </cell>
          <cell r="E14">
            <v>82</v>
          </cell>
        </row>
        <row r="15">
          <cell r="A15">
            <v>12</v>
          </cell>
          <cell r="B15">
            <v>7</v>
          </cell>
          <cell r="C15" t="str">
            <v>KM</v>
          </cell>
          <cell r="D15">
            <v>76</v>
          </cell>
          <cell r="E15">
            <v>84</v>
          </cell>
        </row>
        <row r="16">
          <cell r="A16">
            <v>13</v>
          </cell>
          <cell r="B16">
            <v>8</v>
          </cell>
          <cell r="C16" t="str">
            <v>KM</v>
          </cell>
          <cell r="D16">
            <v>79</v>
          </cell>
          <cell r="E16">
            <v>86</v>
          </cell>
        </row>
        <row r="17">
          <cell r="A17">
            <v>14</v>
          </cell>
          <cell r="B17">
            <v>9</v>
          </cell>
          <cell r="C17" t="str">
            <v>KM</v>
          </cell>
          <cell r="D17">
            <v>82</v>
          </cell>
          <cell r="E17">
            <v>90</v>
          </cell>
        </row>
        <row r="18">
          <cell r="A18">
            <v>15</v>
          </cell>
          <cell r="B18">
            <v>10</v>
          </cell>
          <cell r="C18" t="str">
            <v>KM</v>
          </cell>
          <cell r="D18">
            <v>85</v>
          </cell>
          <cell r="E18">
            <v>92</v>
          </cell>
        </row>
        <row r="19">
          <cell r="A19">
            <v>16</v>
          </cell>
          <cell r="B19">
            <v>11</v>
          </cell>
          <cell r="C19" t="str">
            <v>KM</v>
          </cell>
          <cell r="D19">
            <v>89</v>
          </cell>
          <cell r="E19">
            <v>95</v>
          </cell>
        </row>
        <row r="20">
          <cell r="A20">
            <v>17</v>
          </cell>
          <cell r="B20">
            <v>12</v>
          </cell>
          <cell r="C20" t="str">
            <v>KM</v>
          </cell>
          <cell r="D20">
            <v>91</v>
          </cell>
          <cell r="E20">
            <v>99</v>
          </cell>
        </row>
        <row r="21">
          <cell r="A21">
            <v>18</v>
          </cell>
          <cell r="B21">
            <v>13</v>
          </cell>
          <cell r="C21" t="str">
            <v>KM</v>
          </cell>
          <cell r="D21">
            <v>94</v>
          </cell>
          <cell r="E21">
            <v>102</v>
          </cell>
        </row>
        <row r="22">
          <cell r="A22">
            <v>19</v>
          </cell>
          <cell r="B22">
            <v>14</v>
          </cell>
          <cell r="C22" t="str">
            <v>KM</v>
          </cell>
          <cell r="D22">
            <v>97</v>
          </cell>
          <cell r="E22">
            <v>105</v>
          </cell>
        </row>
        <row r="23">
          <cell r="A23">
            <v>20</v>
          </cell>
          <cell r="B23">
            <v>15</v>
          </cell>
          <cell r="C23" t="str">
            <v>KM</v>
          </cell>
          <cell r="D23">
            <v>100</v>
          </cell>
          <cell r="E23">
            <v>107</v>
          </cell>
        </row>
        <row r="24">
          <cell r="A24">
            <v>21</v>
          </cell>
          <cell r="B24">
            <v>16</v>
          </cell>
          <cell r="C24" t="str">
            <v>KM</v>
          </cell>
          <cell r="D24">
            <v>102</v>
          </cell>
          <cell r="E24">
            <v>110</v>
          </cell>
        </row>
        <row r="25">
          <cell r="A25">
            <v>22</v>
          </cell>
          <cell r="B25">
            <v>17</v>
          </cell>
          <cell r="C25" t="str">
            <v>KM</v>
          </cell>
          <cell r="D25">
            <v>106</v>
          </cell>
          <cell r="E25">
            <v>113</v>
          </cell>
        </row>
        <row r="26">
          <cell r="A26">
            <v>23</v>
          </cell>
          <cell r="B26">
            <v>18</v>
          </cell>
          <cell r="C26" t="str">
            <v>KM</v>
          </cell>
          <cell r="D26">
            <v>109</v>
          </cell>
          <cell r="E26">
            <v>116</v>
          </cell>
        </row>
        <row r="27">
          <cell r="A27">
            <v>24</v>
          </cell>
          <cell r="B27">
            <v>19</v>
          </cell>
          <cell r="C27" t="str">
            <v>KM</v>
          </cell>
          <cell r="D27">
            <v>112</v>
          </cell>
          <cell r="E27">
            <v>118</v>
          </cell>
        </row>
        <row r="28">
          <cell r="A28">
            <v>25</v>
          </cell>
          <cell r="B28">
            <v>20</v>
          </cell>
          <cell r="C28" t="str">
            <v>KM</v>
          </cell>
          <cell r="D28">
            <v>115</v>
          </cell>
          <cell r="E28">
            <v>122</v>
          </cell>
        </row>
        <row r="29">
          <cell r="A29">
            <v>26</v>
          </cell>
          <cell r="B29">
            <v>21</v>
          </cell>
          <cell r="C29" t="str">
            <v>KM</v>
          </cell>
          <cell r="D29">
            <v>117.5</v>
          </cell>
          <cell r="E29">
            <v>125</v>
          </cell>
        </row>
        <row r="30">
          <cell r="A30">
            <v>27</v>
          </cell>
          <cell r="B30">
            <v>22</v>
          </cell>
          <cell r="C30" t="str">
            <v>KM</v>
          </cell>
          <cell r="D30">
            <v>120</v>
          </cell>
          <cell r="E30">
            <v>128</v>
          </cell>
        </row>
        <row r="31">
          <cell r="A31">
            <v>28</v>
          </cell>
          <cell r="B31">
            <v>23</v>
          </cell>
          <cell r="C31" t="str">
            <v>KM</v>
          </cell>
          <cell r="D31">
            <v>122.5</v>
          </cell>
          <cell r="E31">
            <v>131</v>
          </cell>
        </row>
        <row r="32">
          <cell r="A32">
            <v>29</v>
          </cell>
          <cell r="B32">
            <v>24</v>
          </cell>
          <cell r="C32" t="str">
            <v>KM</v>
          </cell>
          <cell r="D32">
            <v>125</v>
          </cell>
          <cell r="E32">
            <v>134</v>
          </cell>
        </row>
        <row r="33">
          <cell r="A33">
            <v>30</v>
          </cell>
          <cell r="B33">
            <v>25</v>
          </cell>
          <cell r="C33" t="str">
            <v>KM</v>
          </cell>
          <cell r="D33">
            <v>127.5</v>
          </cell>
          <cell r="E33">
            <v>137</v>
          </cell>
        </row>
        <row r="34">
          <cell r="A34">
            <v>31</v>
          </cell>
          <cell r="B34">
            <v>26</v>
          </cell>
          <cell r="C34" t="str">
            <v>KM</v>
          </cell>
          <cell r="D34">
            <v>130</v>
          </cell>
          <cell r="E34">
            <v>140</v>
          </cell>
        </row>
        <row r="35">
          <cell r="A35">
            <v>32</v>
          </cell>
          <cell r="B35">
            <v>27</v>
          </cell>
          <cell r="C35" t="str">
            <v>KM</v>
          </cell>
          <cell r="D35">
            <v>132.5</v>
          </cell>
          <cell r="E35">
            <v>143</v>
          </cell>
        </row>
        <row r="36">
          <cell r="A36">
            <v>33</v>
          </cell>
          <cell r="B36">
            <v>28</v>
          </cell>
          <cell r="C36" t="str">
            <v>KM</v>
          </cell>
          <cell r="D36">
            <v>135</v>
          </cell>
          <cell r="E36">
            <v>146</v>
          </cell>
        </row>
        <row r="37">
          <cell r="A37">
            <v>34</v>
          </cell>
          <cell r="B37">
            <v>29</v>
          </cell>
          <cell r="C37" t="str">
            <v>KM</v>
          </cell>
          <cell r="D37">
            <v>137.5</v>
          </cell>
          <cell r="E37">
            <v>149</v>
          </cell>
        </row>
        <row r="38">
          <cell r="A38">
            <v>35</v>
          </cell>
          <cell r="B38">
            <v>30</v>
          </cell>
          <cell r="C38" t="str">
            <v>KM</v>
          </cell>
          <cell r="D38">
            <v>140</v>
          </cell>
          <cell r="E38">
            <v>152</v>
          </cell>
        </row>
        <row r="39">
          <cell r="A39">
            <v>36</v>
          </cell>
          <cell r="B39">
            <v>31</v>
          </cell>
          <cell r="C39" t="str">
            <v>KM</v>
          </cell>
          <cell r="D39">
            <v>142.5</v>
          </cell>
          <cell r="E39">
            <v>155</v>
          </cell>
        </row>
        <row r="40">
          <cell r="A40">
            <v>37</v>
          </cell>
          <cell r="B40">
            <v>32</v>
          </cell>
          <cell r="C40" t="str">
            <v>KM</v>
          </cell>
          <cell r="D40">
            <v>145</v>
          </cell>
          <cell r="E40">
            <v>158</v>
          </cell>
        </row>
        <row r="41">
          <cell r="A41">
            <v>38</v>
          </cell>
          <cell r="B41">
            <v>33</v>
          </cell>
          <cell r="C41" t="str">
            <v>KM</v>
          </cell>
          <cell r="D41">
            <v>147.5</v>
          </cell>
          <cell r="E41">
            <v>161</v>
          </cell>
        </row>
        <row r="42">
          <cell r="A42">
            <v>39</v>
          </cell>
          <cell r="B42">
            <v>34</v>
          </cell>
          <cell r="C42" t="str">
            <v>KM</v>
          </cell>
          <cell r="D42">
            <v>150</v>
          </cell>
          <cell r="E42">
            <v>164</v>
          </cell>
        </row>
        <row r="43">
          <cell r="A43">
            <v>40</v>
          </cell>
          <cell r="B43">
            <v>35</v>
          </cell>
          <cell r="C43" t="str">
            <v>KM</v>
          </cell>
          <cell r="D43">
            <v>152.5</v>
          </cell>
          <cell r="E43">
            <v>167</v>
          </cell>
        </row>
        <row r="44">
          <cell r="A44">
            <v>41</v>
          </cell>
          <cell r="B44">
            <v>36</v>
          </cell>
          <cell r="C44" t="str">
            <v>KM</v>
          </cell>
          <cell r="D44">
            <v>155</v>
          </cell>
          <cell r="E44">
            <v>170</v>
          </cell>
        </row>
        <row r="45">
          <cell r="A45">
            <v>42</v>
          </cell>
          <cell r="B45">
            <v>37</v>
          </cell>
          <cell r="C45" t="str">
            <v>KM</v>
          </cell>
          <cell r="D45">
            <v>157.5</v>
          </cell>
          <cell r="E45">
            <v>173</v>
          </cell>
        </row>
        <row r="46">
          <cell r="A46">
            <v>43</v>
          </cell>
          <cell r="B46">
            <v>38</v>
          </cell>
          <cell r="C46" t="str">
            <v>KM</v>
          </cell>
          <cell r="D46">
            <v>160</v>
          </cell>
          <cell r="E46">
            <v>176</v>
          </cell>
        </row>
        <row r="47">
          <cell r="A47">
            <v>44</v>
          </cell>
          <cell r="B47">
            <v>39</v>
          </cell>
          <cell r="C47" t="str">
            <v>KM</v>
          </cell>
          <cell r="D47">
            <v>162.5</v>
          </cell>
          <cell r="E47">
            <v>179</v>
          </cell>
        </row>
        <row r="48">
          <cell r="A48">
            <v>45</v>
          </cell>
          <cell r="B48">
            <v>40</v>
          </cell>
          <cell r="C48" t="str">
            <v>KM</v>
          </cell>
          <cell r="D48">
            <v>165</v>
          </cell>
          <cell r="E48">
            <v>182</v>
          </cell>
        </row>
        <row r="49">
          <cell r="A49">
            <v>46</v>
          </cell>
          <cell r="B49">
            <v>41</v>
          </cell>
          <cell r="C49" t="str">
            <v>KM</v>
          </cell>
          <cell r="D49">
            <v>167.5</v>
          </cell>
          <cell r="E49">
            <v>185</v>
          </cell>
        </row>
        <row r="50">
          <cell r="A50">
            <v>47</v>
          </cell>
          <cell r="B50">
            <v>42</v>
          </cell>
          <cell r="C50" t="str">
            <v>KM</v>
          </cell>
          <cell r="D50">
            <v>170</v>
          </cell>
          <cell r="E50">
            <v>188</v>
          </cell>
        </row>
        <row r="51">
          <cell r="A51">
            <v>48</v>
          </cell>
          <cell r="B51">
            <v>43</v>
          </cell>
          <cell r="C51" t="str">
            <v>KM</v>
          </cell>
          <cell r="D51">
            <v>172.5</v>
          </cell>
          <cell r="E51">
            <v>191</v>
          </cell>
        </row>
        <row r="52">
          <cell r="A52">
            <v>49</v>
          </cell>
          <cell r="B52">
            <v>44</v>
          </cell>
          <cell r="C52" t="str">
            <v>KM</v>
          </cell>
          <cell r="D52">
            <v>175</v>
          </cell>
          <cell r="E52">
            <v>194</v>
          </cell>
        </row>
        <row r="53">
          <cell r="A53">
            <v>50</v>
          </cell>
          <cell r="B53">
            <v>45</v>
          </cell>
          <cell r="C53" t="str">
            <v>KM</v>
          </cell>
          <cell r="D53">
            <v>177.5</v>
          </cell>
          <cell r="E53">
            <v>197</v>
          </cell>
        </row>
        <row r="54">
          <cell r="A54">
            <v>51</v>
          </cell>
          <cell r="B54">
            <v>46</v>
          </cell>
          <cell r="C54" t="str">
            <v>KM</v>
          </cell>
          <cell r="D54">
            <v>180</v>
          </cell>
          <cell r="E54">
            <v>200</v>
          </cell>
        </row>
        <row r="55">
          <cell r="A55">
            <v>52</v>
          </cell>
          <cell r="B55">
            <v>47</v>
          </cell>
          <cell r="C55" t="str">
            <v>KM</v>
          </cell>
          <cell r="D55">
            <v>182.5</v>
          </cell>
          <cell r="E55">
            <v>203</v>
          </cell>
        </row>
        <row r="56">
          <cell r="A56">
            <v>53</v>
          </cell>
          <cell r="B56">
            <v>48</v>
          </cell>
          <cell r="C56" t="str">
            <v>KM</v>
          </cell>
          <cell r="D56">
            <v>185</v>
          </cell>
          <cell r="E56">
            <v>206</v>
          </cell>
        </row>
        <row r="57">
          <cell r="A57">
            <v>54</v>
          </cell>
          <cell r="B57">
            <v>49</v>
          </cell>
          <cell r="C57" t="str">
            <v>KM</v>
          </cell>
          <cell r="D57">
            <v>187.5</v>
          </cell>
          <cell r="E57">
            <v>209</v>
          </cell>
        </row>
        <row r="58">
          <cell r="A58">
            <v>55</v>
          </cell>
          <cell r="B58">
            <v>50</v>
          </cell>
          <cell r="C58" t="str">
            <v>KM</v>
          </cell>
          <cell r="D58">
            <v>190</v>
          </cell>
          <cell r="E58">
            <v>212</v>
          </cell>
        </row>
        <row r="59">
          <cell r="A59">
            <v>56</v>
          </cell>
          <cell r="B59">
            <v>51</v>
          </cell>
          <cell r="C59" t="str">
            <v>KM</v>
          </cell>
          <cell r="D59">
            <v>192.3</v>
          </cell>
          <cell r="E59">
            <v>214.8</v>
          </cell>
        </row>
        <row r="60">
          <cell r="A60">
            <v>57</v>
          </cell>
          <cell r="B60">
            <v>52</v>
          </cell>
          <cell r="C60" t="str">
            <v>KM</v>
          </cell>
          <cell r="D60">
            <v>194.6</v>
          </cell>
          <cell r="E60">
            <v>217.6</v>
          </cell>
        </row>
        <row r="61">
          <cell r="A61">
            <v>58</v>
          </cell>
          <cell r="B61">
            <v>53</v>
          </cell>
          <cell r="C61" t="str">
            <v>KM</v>
          </cell>
          <cell r="D61">
            <v>196.9</v>
          </cell>
          <cell r="E61">
            <v>220.4</v>
          </cell>
        </row>
        <row r="62">
          <cell r="A62">
            <v>59</v>
          </cell>
          <cell r="B62">
            <v>54</v>
          </cell>
          <cell r="C62" t="str">
            <v>KM</v>
          </cell>
          <cell r="D62">
            <v>199.2</v>
          </cell>
          <cell r="E62">
            <v>223.2</v>
          </cell>
        </row>
        <row r="63">
          <cell r="A63">
            <v>60</v>
          </cell>
          <cell r="B63">
            <v>55</v>
          </cell>
          <cell r="C63" t="str">
            <v>KM</v>
          </cell>
          <cell r="D63">
            <v>201.5</v>
          </cell>
          <cell r="E63">
            <v>226</v>
          </cell>
        </row>
        <row r="64">
          <cell r="A64">
            <v>61</v>
          </cell>
          <cell r="B64">
            <v>56</v>
          </cell>
          <cell r="C64" t="str">
            <v>KM</v>
          </cell>
          <cell r="D64">
            <v>203.8</v>
          </cell>
          <cell r="E64">
            <v>228.8</v>
          </cell>
        </row>
        <row r="65">
          <cell r="A65">
            <v>62</v>
          </cell>
          <cell r="B65">
            <v>57</v>
          </cell>
          <cell r="C65" t="str">
            <v>KM</v>
          </cell>
          <cell r="D65">
            <v>206.1</v>
          </cell>
          <cell r="E65">
            <v>231.6</v>
          </cell>
        </row>
        <row r="66">
          <cell r="A66">
            <v>63</v>
          </cell>
          <cell r="B66">
            <v>58</v>
          </cell>
          <cell r="C66" t="str">
            <v>KM</v>
          </cell>
          <cell r="D66">
            <v>208.4</v>
          </cell>
          <cell r="E66">
            <v>234.4</v>
          </cell>
        </row>
        <row r="67">
          <cell r="A67">
            <v>64</v>
          </cell>
          <cell r="B67">
            <v>59</v>
          </cell>
          <cell r="C67" t="str">
            <v>KM</v>
          </cell>
          <cell r="D67">
            <v>210.7</v>
          </cell>
          <cell r="E67">
            <v>237.2</v>
          </cell>
        </row>
        <row r="68">
          <cell r="A68">
            <v>65</v>
          </cell>
          <cell r="B68">
            <v>60</v>
          </cell>
          <cell r="C68" t="str">
            <v>KM</v>
          </cell>
          <cell r="D68">
            <v>213</v>
          </cell>
          <cell r="E68">
            <v>240</v>
          </cell>
        </row>
        <row r="69">
          <cell r="A69">
            <v>66</v>
          </cell>
          <cell r="B69">
            <v>61</v>
          </cell>
          <cell r="C69" t="str">
            <v>KM</v>
          </cell>
          <cell r="D69">
            <v>215.3</v>
          </cell>
          <cell r="E69">
            <v>242.8</v>
          </cell>
        </row>
        <row r="70">
          <cell r="A70">
            <v>67</v>
          </cell>
          <cell r="B70">
            <v>62</v>
          </cell>
          <cell r="C70" t="str">
            <v>KM</v>
          </cell>
          <cell r="D70">
            <v>217.6</v>
          </cell>
          <cell r="E70">
            <v>245.6</v>
          </cell>
        </row>
        <row r="71">
          <cell r="A71">
            <v>68</v>
          </cell>
          <cell r="B71">
            <v>63</v>
          </cell>
          <cell r="C71" t="str">
            <v>KM</v>
          </cell>
          <cell r="D71">
            <v>219.9</v>
          </cell>
          <cell r="E71">
            <v>248.4</v>
          </cell>
        </row>
        <row r="72">
          <cell r="A72">
            <v>69</v>
          </cell>
          <cell r="B72">
            <v>64</v>
          </cell>
          <cell r="C72" t="str">
            <v>KM</v>
          </cell>
          <cell r="D72">
            <v>222.2</v>
          </cell>
          <cell r="E72">
            <v>251.2</v>
          </cell>
        </row>
        <row r="73">
          <cell r="A73">
            <v>70</v>
          </cell>
          <cell r="B73">
            <v>65</v>
          </cell>
          <cell r="C73" t="str">
            <v>KM</v>
          </cell>
          <cell r="D73">
            <v>224.5</v>
          </cell>
          <cell r="E73">
            <v>254</v>
          </cell>
        </row>
        <row r="74">
          <cell r="A74">
            <v>71</v>
          </cell>
          <cell r="B74">
            <v>66</v>
          </cell>
          <cell r="C74" t="str">
            <v>KM</v>
          </cell>
          <cell r="D74">
            <v>226.8</v>
          </cell>
          <cell r="E74">
            <v>256.8</v>
          </cell>
        </row>
        <row r="75">
          <cell r="A75">
            <v>72</v>
          </cell>
          <cell r="B75">
            <v>67</v>
          </cell>
          <cell r="C75" t="str">
            <v>KM</v>
          </cell>
          <cell r="D75">
            <v>229.1</v>
          </cell>
          <cell r="E75">
            <v>259.60000000000002</v>
          </cell>
        </row>
        <row r="76">
          <cell r="A76">
            <v>73</v>
          </cell>
          <cell r="B76">
            <v>68</v>
          </cell>
          <cell r="C76" t="str">
            <v>KM</v>
          </cell>
          <cell r="D76">
            <v>231.4</v>
          </cell>
          <cell r="E76">
            <v>262.39999999999998</v>
          </cell>
        </row>
        <row r="77">
          <cell r="A77">
            <v>74</v>
          </cell>
          <cell r="B77">
            <v>69</v>
          </cell>
          <cell r="C77" t="str">
            <v>KM</v>
          </cell>
          <cell r="D77">
            <v>233.7</v>
          </cell>
          <cell r="E77">
            <v>265.2</v>
          </cell>
        </row>
        <row r="78">
          <cell r="A78">
            <v>75</v>
          </cell>
          <cell r="B78">
            <v>70</v>
          </cell>
          <cell r="C78" t="str">
            <v>KM</v>
          </cell>
          <cell r="D78">
            <v>236</v>
          </cell>
          <cell r="E78">
            <v>268</v>
          </cell>
        </row>
        <row r="79">
          <cell r="A79">
            <v>76</v>
          </cell>
          <cell r="B79">
            <v>71</v>
          </cell>
          <cell r="C79" t="str">
            <v>KM</v>
          </cell>
          <cell r="D79">
            <v>238.3</v>
          </cell>
          <cell r="E79">
            <v>270.8</v>
          </cell>
        </row>
        <row r="80">
          <cell r="A80">
            <v>77</v>
          </cell>
          <cell r="B80">
            <v>72</v>
          </cell>
          <cell r="C80" t="str">
            <v>KM</v>
          </cell>
          <cell r="D80">
            <v>240.6</v>
          </cell>
          <cell r="E80">
            <v>273.60000000000002</v>
          </cell>
        </row>
        <row r="81">
          <cell r="A81">
            <v>78</v>
          </cell>
          <cell r="B81">
            <v>73</v>
          </cell>
          <cell r="C81" t="str">
            <v>KM</v>
          </cell>
          <cell r="D81">
            <v>242.9</v>
          </cell>
          <cell r="E81">
            <v>276.39999999999998</v>
          </cell>
        </row>
        <row r="82">
          <cell r="A82">
            <v>79</v>
          </cell>
          <cell r="B82">
            <v>74</v>
          </cell>
          <cell r="C82" t="str">
            <v>KM</v>
          </cell>
          <cell r="D82">
            <v>245.2</v>
          </cell>
          <cell r="E82">
            <v>279.2</v>
          </cell>
        </row>
        <row r="83">
          <cell r="A83">
            <v>80</v>
          </cell>
          <cell r="B83">
            <v>75</v>
          </cell>
          <cell r="C83" t="str">
            <v>KM</v>
          </cell>
          <cell r="D83">
            <v>247.5</v>
          </cell>
          <cell r="E83">
            <v>282</v>
          </cell>
        </row>
        <row r="84">
          <cell r="A84">
            <v>81</v>
          </cell>
          <cell r="B84">
            <v>76</v>
          </cell>
          <cell r="C84" t="str">
            <v>KM</v>
          </cell>
          <cell r="D84">
            <v>249.8</v>
          </cell>
          <cell r="E84">
            <v>284.8</v>
          </cell>
        </row>
        <row r="85">
          <cell r="A85">
            <v>82</v>
          </cell>
          <cell r="B85">
            <v>77</v>
          </cell>
          <cell r="C85" t="str">
            <v>KM</v>
          </cell>
          <cell r="D85">
            <v>252.1</v>
          </cell>
          <cell r="E85">
            <v>287.60000000000002</v>
          </cell>
        </row>
        <row r="86">
          <cell r="A86">
            <v>83</v>
          </cell>
          <cell r="B86">
            <v>78</v>
          </cell>
          <cell r="C86" t="str">
            <v>KM</v>
          </cell>
          <cell r="D86">
            <v>254.4</v>
          </cell>
          <cell r="E86">
            <v>290.39999999999998</v>
          </cell>
        </row>
        <row r="87">
          <cell r="A87">
            <v>84</v>
          </cell>
          <cell r="B87">
            <v>79</v>
          </cell>
          <cell r="C87" t="str">
            <v>KM</v>
          </cell>
          <cell r="D87">
            <v>256.7</v>
          </cell>
          <cell r="E87">
            <v>293.2</v>
          </cell>
        </row>
        <row r="88">
          <cell r="A88">
            <v>85</v>
          </cell>
          <cell r="B88">
            <v>80</v>
          </cell>
          <cell r="C88" t="str">
            <v>KM</v>
          </cell>
          <cell r="D88">
            <v>259</v>
          </cell>
          <cell r="E88">
            <v>296</v>
          </cell>
        </row>
        <row r="89">
          <cell r="A89">
            <v>86</v>
          </cell>
          <cell r="B89">
            <v>81</v>
          </cell>
          <cell r="C89" t="str">
            <v>KM</v>
          </cell>
          <cell r="D89">
            <v>261.3</v>
          </cell>
          <cell r="E89">
            <v>298.8</v>
          </cell>
        </row>
        <row r="90">
          <cell r="A90">
            <v>87</v>
          </cell>
          <cell r="B90">
            <v>82</v>
          </cell>
          <cell r="C90" t="str">
            <v>KM</v>
          </cell>
          <cell r="D90">
            <v>263.60000000000002</v>
          </cell>
          <cell r="E90">
            <v>301.60000000000002</v>
          </cell>
        </row>
        <row r="91">
          <cell r="A91">
            <v>88</v>
          </cell>
          <cell r="B91">
            <v>83</v>
          </cell>
          <cell r="C91" t="str">
            <v>KM</v>
          </cell>
          <cell r="D91">
            <v>265.89999999999998</v>
          </cell>
          <cell r="E91">
            <v>304.39999999999998</v>
          </cell>
        </row>
        <row r="92">
          <cell r="A92">
            <v>89</v>
          </cell>
          <cell r="B92">
            <v>84</v>
          </cell>
          <cell r="C92" t="str">
            <v>KM</v>
          </cell>
          <cell r="D92">
            <v>268.2</v>
          </cell>
          <cell r="E92">
            <v>307.2</v>
          </cell>
        </row>
        <row r="93">
          <cell r="A93">
            <v>90</v>
          </cell>
          <cell r="B93">
            <v>85</v>
          </cell>
          <cell r="C93" t="str">
            <v>KM</v>
          </cell>
          <cell r="D93">
            <v>270.5</v>
          </cell>
          <cell r="E93">
            <v>310</v>
          </cell>
        </row>
        <row r="94">
          <cell r="A94">
            <v>91</v>
          </cell>
          <cell r="B94">
            <v>86</v>
          </cell>
          <cell r="C94" t="str">
            <v>KM</v>
          </cell>
          <cell r="D94">
            <v>272.8</v>
          </cell>
          <cell r="E94">
            <v>312.8</v>
          </cell>
        </row>
        <row r="95">
          <cell r="A95">
            <v>92</v>
          </cell>
          <cell r="B95">
            <v>87</v>
          </cell>
          <cell r="C95" t="str">
            <v>KM</v>
          </cell>
          <cell r="D95">
            <v>275.10000000000002</v>
          </cell>
          <cell r="E95">
            <v>315.60000000000002</v>
          </cell>
        </row>
        <row r="96">
          <cell r="A96">
            <v>93</v>
          </cell>
          <cell r="B96">
            <v>88</v>
          </cell>
          <cell r="C96" t="str">
            <v>KM</v>
          </cell>
          <cell r="D96">
            <v>277.39999999999998</v>
          </cell>
          <cell r="E96">
            <v>318.39999999999998</v>
          </cell>
        </row>
        <row r="97">
          <cell r="A97">
            <v>94</v>
          </cell>
          <cell r="B97">
            <v>89</v>
          </cell>
          <cell r="C97" t="str">
            <v>KM</v>
          </cell>
          <cell r="D97">
            <v>279.7</v>
          </cell>
          <cell r="E97">
            <v>321.2</v>
          </cell>
        </row>
        <row r="98">
          <cell r="A98">
            <v>95</v>
          </cell>
          <cell r="B98">
            <v>90</v>
          </cell>
          <cell r="C98" t="str">
            <v>KM</v>
          </cell>
          <cell r="D98">
            <v>282</v>
          </cell>
          <cell r="E98">
            <v>324</v>
          </cell>
        </row>
        <row r="99">
          <cell r="A99">
            <v>96</v>
          </cell>
          <cell r="B99">
            <v>91</v>
          </cell>
          <cell r="C99" t="str">
            <v>KM</v>
          </cell>
          <cell r="D99">
            <v>284.3</v>
          </cell>
          <cell r="E99">
            <v>326.8</v>
          </cell>
        </row>
        <row r="100">
          <cell r="A100">
            <v>97</v>
          </cell>
          <cell r="B100">
            <v>92</v>
          </cell>
          <cell r="C100" t="str">
            <v>KM</v>
          </cell>
          <cell r="D100">
            <v>286.60000000000002</v>
          </cell>
          <cell r="E100">
            <v>329.6</v>
          </cell>
        </row>
        <row r="101">
          <cell r="A101">
            <v>98</v>
          </cell>
          <cell r="B101">
            <v>93</v>
          </cell>
          <cell r="C101" t="str">
            <v>KM</v>
          </cell>
          <cell r="D101">
            <v>288.89999999999998</v>
          </cell>
          <cell r="E101">
            <v>332.4</v>
          </cell>
        </row>
        <row r="102">
          <cell r="A102">
            <v>99</v>
          </cell>
          <cell r="B102">
            <v>94</v>
          </cell>
          <cell r="C102" t="str">
            <v>KM</v>
          </cell>
          <cell r="D102">
            <v>291.2</v>
          </cell>
          <cell r="E102">
            <v>335.2</v>
          </cell>
        </row>
        <row r="103">
          <cell r="A103">
            <v>100</v>
          </cell>
          <cell r="B103">
            <v>95</v>
          </cell>
          <cell r="C103" t="str">
            <v>KM</v>
          </cell>
          <cell r="D103">
            <v>293.5</v>
          </cell>
          <cell r="E103">
            <v>338</v>
          </cell>
        </row>
        <row r="104">
          <cell r="A104">
            <v>101</v>
          </cell>
          <cell r="B104">
            <v>96</v>
          </cell>
          <cell r="C104" t="str">
            <v>KM</v>
          </cell>
          <cell r="D104">
            <v>295.8</v>
          </cell>
          <cell r="E104">
            <v>340.8</v>
          </cell>
        </row>
        <row r="105">
          <cell r="A105">
            <v>102</v>
          </cell>
          <cell r="B105">
            <v>97</v>
          </cell>
          <cell r="C105" t="str">
            <v>KM</v>
          </cell>
          <cell r="D105">
            <v>298.10000000000002</v>
          </cell>
          <cell r="E105">
            <v>343.6</v>
          </cell>
        </row>
        <row r="106">
          <cell r="A106">
            <v>103</v>
          </cell>
          <cell r="B106">
            <v>98</v>
          </cell>
          <cell r="C106" t="str">
            <v>KM</v>
          </cell>
          <cell r="D106">
            <v>300.39999999999998</v>
          </cell>
          <cell r="E106">
            <v>346.4</v>
          </cell>
        </row>
        <row r="107">
          <cell r="A107">
            <v>104</v>
          </cell>
          <cell r="B107">
            <v>99</v>
          </cell>
          <cell r="C107" t="str">
            <v>KM</v>
          </cell>
          <cell r="D107">
            <v>302.7</v>
          </cell>
          <cell r="E107">
            <v>349.2</v>
          </cell>
        </row>
        <row r="108">
          <cell r="A108">
            <v>105</v>
          </cell>
          <cell r="B108">
            <v>100</v>
          </cell>
          <cell r="C108" t="str">
            <v>KM</v>
          </cell>
          <cell r="D108">
            <v>305</v>
          </cell>
          <cell r="E108">
            <v>352</v>
          </cell>
        </row>
      </sheetData>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F6pave"/>
      <sheetName val="F7hp900"/>
      <sheetName val="F7hp600"/>
      <sheetName val="F7slb3m"/>
      <sheetName val="F7slb4m"/>
      <sheetName val="F8rate"/>
      <sheetName val="Sheet2"/>
      <sheetName val="CDdata"/>
      <sheetName val="Sheet1"/>
    </sheetNames>
    <sheetDataSet>
      <sheetData sheetId="0"/>
      <sheetData sheetId="1"/>
      <sheetData sheetId="2"/>
      <sheetData sheetId="3" refreshError="1"/>
      <sheetData sheetId="4"/>
      <sheetData sheetId="5"/>
      <sheetData sheetId="6"/>
      <sheetData sheetId="7" refreshError="1"/>
      <sheetData sheetId="8">
        <row r="2">
          <cell r="W2" t="str">
            <v>KM</v>
          </cell>
          <cell r="X2" t="str">
            <v>Metal</v>
          </cell>
          <cell r="Y2" t="str">
            <v>Gravel, Sand, earth</v>
          </cell>
        </row>
        <row r="3">
          <cell r="W3">
            <v>0.5</v>
          </cell>
          <cell r="X3">
            <v>64</v>
          </cell>
          <cell r="Y3">
            <v>56</v>
          </cell>
        </row>
        <row r="4">
          <cell r="W4">
            <v>1</v>
          </cell>
          <cell r="X4">
            <v>67</v>
          </cell>
          <cell r="Y4">
            <v>58</v>
          </cell>
        </row>
        <row r="5">
          <cell r="W5">
            <v>2</v>
          </cell>
          <cell r="X5">
            <v>69</v>
          </cell>
          <cell r="Y5">
            <v>61</v>
          </cell>
        </row>
        <row r="6">
          <cell r="W6">
            <v>3</v>
          </cell>
          <cell r="X6">
            <v>72</v>
          </cell>
          <cell r="Y6">
            <v>64</v>
          </cell>
        </row>
        <row r="7">
          <cell r="W7">
            <v>4</v>
          </cell>
          <cell r="X7">
            <v>75</v>
          </cell>
          <cell r="Y7">
            <v>67</v>
          </cell>
        </row>
        <row r="8">
          <cell r="W8">
            <v>5</v>
          </cell>
          <cell r="X8">
            <v>78</v>
          </cell>
          <cell r="Y8">
            <v>70</v>
          </cell>
        </row>
        <row r="9">
          <cell r="W9">
            <v>6</v>
          </cell>
          <cell r="X9">
            <v>82</v>
          </cell>
          <cell r="Y9">
            <v>72</v>
          </cell>
        </row>
        <row r="10">
          <cell r="W10">
            <v>7</v>
          </cell>
          <cell r="X10">
            <v>84</v>
          </cell>
          <cell r="Y10">
            <v>76</v>
          </cell>
        </row>
        <row r="11">
          <cell r="W11">
            <v>8</v>
          </cell>
          <cell r="X11">
            <v>86</v>
          </cell>
          <cell r="Y11">
            <v>79</v>
          </cell>
        </row>
        <row r="12">
          <cell r="W12">
            <v>9</v>
          </cell>
          <cell r="X12">
            <v>90</v>
          </cell>
          <cell r="Y12">
            <v>82</v>
          </cell>
        </row>
        <row r="13">
          <cell r="W13">
            <v>10</v>
          </cell>
          <cell r="X13">
            <v>92</v>
          </cell>
          <cell r="Y13">
            <v>85</v>
          </cell>
        </row>
        <row r="14">
          <cell r="W14">
            <v>11</v>
          </cell>
          <cell r="X14">
            <v>95</v>
          </cell>
          <cell r="Y14">
            <v>89</v>
          </cell>
        </row>
        <row r="15">
          <cell r="W15">
            <v>12</v>
          </cell>
          <cell r="X15">
            <v>99</v>
          </cell>
          <cell r="Y15">
            <v>91</v>
          </cell>
        </row>
        <row r="16">
          <cell r="W16">
            <v>13</v>
          </cell>
          <cell r="X16">
            <v>102</v>
          </cell>
          <cell r="Y16">
            <v>94</v>
          </cell>
        </row>
        <row r="17">
          <cell r="W17">
            <v>14</v>
          </cell>
          <cell r="X17">
            <v>105</v>
          </cell>
          <cell r="Y17">
            <v>97</v>
          </cell>
        </row>
        <row r="18">
          <cell r="W18">
            <v>15</v>
          </cell>
          <cell r="X18">
            <v>107</v>
          </cell>
          <cell r="Y18">
            <v>100</v>
          </cell>
        </row>
        <row r="19">
          <cell r="W19">
            <v>16</v>
          </cell>
          <cell r="X19">
            <v>110</v>
          </cell>
          <cell r="Y19">
            <v>102</v>
          </cell>
        </row>
        <row r="20">
          <cell r="W20">
            <v>17</v>
          </cell>
          <cell r="X20">
            <v>113</v>
          </cell>
          <cell r="Y20">
            <v>106</v>
          </cell>
        </row>
        <row r="21">
          <cell r="W21">
            <v>18</v>
          </cell>
          <cell r="X21">
            <v>116</v>
          </cell>
          <cell r="Y21">
            <v>109</v>
          </cell>
        </row>
        <row r="22">
          <cell r="W22">
            <v>19</v>
          </cell>
          <cell r="X22">
            <v>118</v>
          </cell>
          <cell r="Y22">
            <v>112</v>
          </cell>
        </row>
        <row r="23">
          <cell r="W23">
            <v>20</v>
          </cell>
          <cell r="X23">
            <v>122</v>
          </cell>
          <cell r="Y23">
            <v>115</v>
          </cell>
        </row>
        <row r="24">
          <cell r="W24">
            <v>21</v>
          </cell>
          <cell r="X24">
            <v>125</v>
          </cell>
          <cell r="Y24">
            <v>117.3</v>
          </cell>
        </row>
        <row r="25">
          <cell r="W25">
            <v>22</v>
          </cell>
          <cell r="X25">
            <v>128</v>
          </cell>
          <cell r="Y25">
            <v>119.6</v>
          </cell>
        </row>
        <row r="26">
          <cell r="W26">
            <v>23</v>
          </cell>
          <cell r="X26">
            <v>131</v>
          </cell>
          <cell r="Y26">
            <v>121.9</v>
          </cell>
        </row>
        <row r="27">
          <cell r="W27">
            <v>24</v>
          </cell>
          <cell r="X27">
            <v>134</v>
          </cell>
          <cell r="Y27">
            <v>124.2</v>
          </cell>
        </row>
        <row r="28">
          <cell r="W28">
            <v>25</v>
          </cell>
          <cell r="X28">
            <v>137</v>
          </cell>
          <cell r="Y28">
            <v>126.5</v>
          </cell>
        </row>
        <row r="29">
          <cell r="W29">
            <v>26</v>
          </cell>
          <cell r="X29">
            <v>140</v>
          </cell>
          <cell r="Y29">
            <v>128.80000000000001</v>
          </cell>
        </row>
        <row r="30">
          <cell r="W30">
            <v>27</v>
          </cell>
          <cell r="X30">
            <v>143</v>
          </cell>
          <cell r="Y30">
            <v>131.1</v>
          </cell>
        </row>
        <row r="31">
          <cell r="W31">
            <v>28</v>
          </cell>
          <cell r="X31">
            <v>146</v>
          </cell>
          <cell r="Y31">
            <v>133.4</v>
          </cell>
        </row>
        <row r="32">
          <cell r="W32">
            <v>29</v>
          </cell>
          <cell r="X32">
            <v>149</v>
          </cell>
          <cell r="Y32">
            <v>135.69999999999999</v>
          </cell>
        </row>
        <row r="33">
          <cell r="W33">
            <v>30</v>
          </cell>
          <cell r="X33">
            <v>152</v>
          </cell>
          <cell r="Y33">
            <v>138</v>
          </cell>
        </row>
        <row r="34">
          <cell r="W34">
            <v>31</v>
          </cell>
          <cell r="X34">
            <v>155</v>
          </cell>
          <cell r="Y34">
            <v>140.30000000000001</v>
          </cell>
        </row>
        <row r="35">
          <cell r="W35">
            <v>32</v>
          </cell>
          <cell r="X35">
            <v>158</v>
          </cell>
          <cell r="Y35">
            <v>142.6</v>
          </cell>
        </row>
        <row r="36">
          <cell r="W36">
            <v>33</v>
          </cell>
          <cell r="X36">
            <v>161</v>
          </cell>
          <cell r="Y36">
            <v>144.9</v>
          </cell>
        </row>
        <row r="37">
          <cell r="W37">
            <v>34</v>
          </cell>
          <cell r="X37">
            <v>164</v>
          </cell>
          <cell r="Y37">
            <v>147.19999999999999</v>
          </cell>
        </row>
        <row r="38">
          <cell r="W38">
            <v>35</v>
          </cell>
          <cell r="X38">
            <v>167</v>
          </cell>
          <cell r="Y38">
            <v>149.5</v>
          </cell>
        </row>
        <row r="39">
          <cell r="W39">
            <v>36</v>
          </cell>
          <cell r="X39">
            <v>170</v>
          </cell>
          <cell r="Y39">
            <v>151.80000000000001</v>
          </cell>
        </row>
        <row r="40">
          <cell r="W40">
            <v>37</v>
          </cell>
          <cell r="X40">
            <v>173</v>
          </cell>
          <cell r="Y40">
            <v>154.1</v>
          </cell>
        </row>
        <row r="41">
          <cell r="W41">
            <v>38</v>
          </cell>
          <cell r="X41">
            <v>176</v>
          </cell>
          <cell r="Y41">
            <v>156.4</v>
          </cell>
        </row>
        <row r="42">
          <cell r="W42">
            <v>39</v>
          </cell>
          <cell r="X42">
            <v>179</v>
          </cell>
          <cell r="Y42">
            <v>158.69999999999999</v>
          </cell>
        </row>
        <row r="43">
          <cell r="W43">
            <v>40</v>
          </cell>
          <cell r="X43">
            <v>182</v>
          </cell>
          <cell r="Y43">
            <v>161</v>
          </cell>
        </row>
        <row r="44">
          <cell r="W44">
            <v>41</v>
          </cell>
          <cell r="X44">
            <v>185</v>
          </cell>
          <cell r="Y44">
            <v>163.30000000000001</v>
          </cell>
        </row>
        <row r="45">
          <cell r="W45">
            <v>42</v>
          </cell>
          <cell r="X45">
            <v>188</v>
          </cell>
          <cell r="Y45">
            <v>165.6</v>
          </cell>
        </row>
        <row r="46">
          <cell r="W46">
            <v>43</v>
          </cell>
          <cell r="X46">
            <v>191</v>
          </cell>
          <cell r="Y46">
            <v>167.9</v>
          </cell>
        </row>
        <row r="47">
          <cell r="W47">
            <v>44</v>
          </cell>
          <cell r="X47">
            <v>194</v>
          </cell>
          <cell r="Y47">
            <v>170.2</v>
          </cell>
        </row>
        <row r="48">
          <cell r="W48">
            <v>45</v>
          </cell>
          <cell r="X48">
            <v>197</v>
          </cell>
          <cell r="Y48">
            <v>172.5</v>
          </cell>
        </row>
        <row r="49">
          <cell r="W49">
            <v>46</v>
          </cell>
          <cell r="X49">
            <v>200</v>
          </cell>
          <cell r="Y49">
            <v>174.8</v>
          </cell>
        </row>
        <row r="50">
          <cell r="W50">
            <v>47</v>
          </cell>
          <cell r="X50">
            <v>203</v>
          </cell>
          <cell r="Y50">
            <v>177.1</v>
          </cell>
        </row>
        <row r="51">
          <cell r="W51">
            <v>48</v>
          </cell>
          <cell r="X51">
            <v>206</v>
          </cell>
          <cell r="Y51">
            <v>179.4</v>
          </cell>
        </row>
        <row r="52">
          <cell r="W52">
            <v>49</v>
          </cell>
          <cell r="X52">
            <v>209</v>
          </cell>
          <cell r="Y52">
            <v>181.7</v>
          </cell>
        </row>
        <row r="53">
          <cell r="W53">
            <v>50</v>
          </cell>
          <cell r="X53">
            <v>212</v>
          </cell>
          <cell r="Y53">
            <v>184</v>
          </cell>
        </row>
        <row r="54">
          <cell r="W54">
            <v>51</v>
          </cell>
          <cell r="X54">
            <v>214.8</v>
          </cell>
          <cell r="Y54">
            <v>186.3</v>
          </cell>
        </row>
        <row r="55">
          <cell r="W55">
            <v>52</v>
          </cell>
          <cell r="X55">
            <v>217.6</v>
          </cell>
          <cell r="Y55">
            <v>188.6</v>
          </cell>
        </row>
        <row r="56">
          <cell r="W56">
            <v>53</v>
          </cell>
          <cell r="X56">
            <v>220.4</v>
          </cell>
          <cell r="Y56">
            <v>190.9</v>
          </cell>
        </row>
        <row r="57">
          <cell r="W57">
            <v>54</v>
          </cell>
          <cell r="X57">
            <v>223.2</v>
          </cell>
          <cell r="Y57">
            <v>193.2</v>
          </cell>
        </row>
        <row r="58">
          <cell r="W58">
            <v>55</v>
          </cell>
          <cell r="X58">
            <v>226</v>
          </cell>
          <cell r="Y58">
            <v>195.5</v>
          </cell>
        </row>
        <row r="59">
          <cell r="W59">
            <v>56</v>
          </cell>
          <cell r="X59">
            <v>228.8</v>
          </cell>
          <cell r="Y59">
            <v>197.8</v>
          </cell>
        </row>
        <row r="60">
          <cell r="W60">
            <v>57</v>
          </cell>
          <cell r="X60">
            <v>231.6</v>
          </cell>
          <cell r="Y60">
            <v>200.1</v>
          </cell>
        </row>
        <row r="61">
          <cell r="W61">
            <v>58</v>
          </cell>
          <cell r="X61">
            <v>234.4</v>
          </cell>
          <cell r="Y61">
            <v>202.4</v>
          </cell>
        </row>
        <row r="62">
          <cell r="W62">
            <v>59</v>
          </cell>
          <cell r="X62">
            <v>237.2</v>
          </cell>
          <cell r="Y62">
            <v>204.7</v>
          </cell>
        </row>
        <row r="63">
          <cell r="W63">
            <v>60</v>
          </cell>
          <cell r="X63">
            <v>240</v>
          </cell>
          <cell r="Y63">
            <v>207</v>
          </cell>
        </row>
        <row r="64">
          <cell r="W64">
            <v>61</v>
          </cell>
          <cell r="X64">
            <v>242.8</v>
          </cell>
          <cell r="Y64">
            <v>209.3</v>
          </cell>
        </row>
        <row r="65">
          <cell r="W65">
            <v>62</v>
          </cell>
          <cell r="X65">
            <v>245.6</v>
          </cell>
          <cell r="Y65">
            <v>211.6</v>
          </cell>
        </row>
        <row r="66">
          <cell r="W66">
            <v>63</v>
          </cell>
          <cell r="X66">
            <v>248.4</v>
          </cell>
          <cell r="Y66">
            <v>213.9</v>
          </cell>
        </row>
        <row r="67">
          <cell r="W67">
            <v>64</v>
          </cell>
          <cell r="X67">
            <v>251.2</v>
          </cell>
          <cell r="Y67">
            <v>216.2</v>
          </cell>
        </row>
        <row r="68">
          <cell r="W68">
            <v>65</v>
          </cell>
          <cell r="X68">
            <v>254</v>
          </cell>
          <cell r="Y68">
            <v>218.5</v>
          </cell>
        </row>
        <row r="69">
          <cell r="W69">
            <v>66</v>
          </cell>
          <cell r="X69">
            <v>256.8</v>
          </cell>
          <cell r="Y69">
            <v>220.8</v>
          </cell>
        </row>
        <row r="70">
          <cell r="W70">
            <v>67</v>
          </cell>
          <cell r="X70">
            <v>259.60000000000002</v>
          </cell>
          <cell r="Y70">
            <v>223.1</v>
          </cell>
        </row>
        <row r="71">
          <cell r="W71">
            <v>68</v>
          </cell>
          <cell r="X71">
            <v>262.39999999999998</v>
          </cell>
          <cell r="Y71">
            <v>225.4</v>
          </cell>
        </row>
        <row r="72">
          <cell r="W72">
            <v>69</v>
          </cell>
          <cell r="X72">
            <v>265.2</v>
          </cell>
          <cell r="Y72">
            <v>227.7</v>
          </cell>
        </row>
        <row r="73">
          <cell r="W73">
            <v>70</v>
          </cell>
          <cell r="X73">
            <v>268</v>
          </cell>
          <cell r="Y73">
            <v>230</v>
          </cell>
        </row>
        <row r="74">
          <cell r="W74">
            <v>71</v>
          </cell>
          <cell r="X74">
            <v>270.8</v>
          </cell>
          <cell r="Y74">
            <v>232.3</v>
          </cell>
        </row>
        <row r="75">
          <cell r="W75">
            <v>72</v>
          </cell>
          <cell r="X75">
            <v>273.60000000000002</v>
          </cell>
          <cell r="Y75">
            <v>234.6</v>
          </cell>
        </row>
        <row r="76">
          <cell r="W76">
            <v>73</v>
          </cell>
          <cell r="X76">
            <v>276.39999999999998</v>
          </cell>
          <cell r="Y76">
            <v>236.9</v>
          </cell>
        </row>
        <row r="77">
          <cell r="W77">
            <v>74</v>
          </cell>
          <cell r="X77">
            <v>279.2</v>
          </cell>
          <cell r="Y77">
            <v>239.2</v>
          </cell>
        </row>
        <row r="78">
          <cell r="W78">
            <v>75</v>
          </cell>
          <cell r="X78">
            <v>282</v>
          </cell>
          <cell r="Y78">
            <v>241.5</v>
          </cell>
        </row>
        <row r="79">
          <cell r="W79">
            <v>76</v>
          </cell>
          <cell r="X79">
            <v>284.8</v>
          </cell>
          <cell r="Y79">
            <v>243.8</v>
          </cell>
        </row>
        <row r="80">
          <cell r="W80">
            <v>77</v>
          </cell>
          <cell r="X80">
            <v>287.60000000000002</v>
          </cell>
          <cell r="Y80">
            <v>246.1</v>
          </cell>
        </row>
        <row r="81">
          <cell r="W81">
            <v>78</v>
          </cell>
          <cell r="X81">
            <v>290.39999999999998</v>
          </cell>
          <cell r="Y81">
            <v>248.4</v>
          </cell>
        </row>
        <row r="82">
          <cell r="W82">
            <v>79</v>
          </cell>
          <cell r="X82">
            <v>293.2</v>
          </cell>
          <cell r="Y82">
            <v>250.7</v>
          </cell>
        </row>
        <row r="83">
          <cell r="W83">
            <v>80</v>
          </cell>
          <cell r="X83">
            <v>296</v>
          </cell>
          <cell r="Y83">
            <v>253</v>
          </cell>
        </row>
        <row r="84">
          <cell r="W84">
            <v>81</v>
          </cell>
          <cell r="X84">
            <v>298.8</v>
          </cell>
          <cell r="Y84">
            <v>255.3</v>
          </cell>
        </row>
        <row r="85">
          <cell r="W85">
            <v>82</v>
          </cell>
          <cell r="X85">
            <v>301.60000000000002</v>
          </cell>
          <cell r="Y85">
            <v>257.60000000000002</v>
          </cell>
        </row>
        <row r="86">
          <cell r="W86">
            <v>83</v>
          </cell>
          <cell r="X86">
            <v>304.39999999999998</v>
          </cell>
          <cell r="Y86">
            <v>259.89999999999998</v>
          </cell>
        </row>
        <row r="87">
          <cell r="W87">
            <v>84</v>
          </cell>
          <cell r="X87">
            <v>307.2</v>
          </cell>
          <cell r="Y87">
            <v>262.2</v>
          </cell>
        </row>
        <row r="88">
          <cell r="W88">
            <v>85</v>
          </cell>
          <cell r="X88">
            <v>310</v>
          </cell>
          <cell r="Y88">
            <v>264.5</v>
          </cell>
        </row>
        <row r="89">
          <cell r="W89">
            <v>86</v>
          </cell>
          <cell r="X89">
            <v>312.8</v>
          </cell>
          <cell r="Y89">
            <v>266.8</v>
          </cell>
        </row>
        <row r="90">
          <cell r="W90">
            <v>87</v>
          </cell>
          <cell r="X90">
            <v>315.60000000000002</v>
          </cell>
          <cell r="Y90">
            <v>269.10000000000002</v>
          </cell>
        </row>
        <row r="91">
          <cell r="W91">
            <v>88</v>
          </cell>
          <cell r="X91">
            <v>318.39999999999998</v>
          </cell>
          <cell r="Y91">
            <v>271.39999999999998</v>
          </cell>
        </row>
        <row r="92">
          <cell r="W92">
            <v>89</v>
          </cell>
          <cell r="X92">
            <v>321.2</v>
          </cell>
          <cell r="Y92">
            <v>273.7</v>
          </cell>
        </row>
        <row r="93">
          <cell r="W93">
            <v>90</v>
          </cell>
          <cell r="X93">
            <v>324</v>
          </cell>
          <cell r="Y93">
            <v>276</v>
          </cell>
        </row>
        <row r="94">
          <cell r="W94">
            <v>91</v>
          </cell>
          <cell r="X94">
            <v>326.8</v>
          </cell>
          <cell r="Y94">
            <v>278.3</v>
          </cell>
        </row>
        <row r="95">
          <cell r="W95">
            <v>92</v>
          </cell>
          <cell r="X95">
            <v>329.6</v>
          </cell>
          <cell r="Y95">
            <v>280.60000000000002</v>
          </cell>
        </row>
        <row r="96">
          <cell r="W96">
            <v>93</v>
          </cell>
          <cell r="X96">
            <v>332.4</v>
          </cell>
          <cell r="Y96">
            <v>282.89999999999998</v>
          </cell>
        </row>
        <row r="97">
          <cell r="W97">
            <v>94</v>
          </cell>
          <cell r="X97">
            <v>335.2</v>
          </cell>
          <cell r="Y97">
            <v>285.2</v>
          </cell>
        </row>
        <row r="98">
          <cell r="W98">
            <v>95</v>
          </cell>
          <cell r="X98">
            <v>338</v>
          </cell>
          <cell r="Y98">
            <v>287.5</v>
          </cell>
        </row>
        <row r="99">
          <cell r="W99">
            <v>96</v>
          </cell>
          <cell r="X99">
            <v>340.8</v>
          </cell>
          <cell r="Y99">
            <v>289.8</v>
          </cell>
        </row>
        <row r="100">
          <cell r="W100">
            <v>97</v>
          </cell>
          <cell r="X100">
            <v>343.6</v>
          </cell>
          <cell r="Y100">
            <v>292.10000000000002</v>
          </cell>
        </row>
        <row r="101">
          <cell r="W101">
            <v>98</v>
          </cell>
          <cell r="X101">
            <v>346.4</v>
          </cell>
          <cell r="Y101">
            <v>294.39999999999998</v>
          </cell>
        </row>
        <row r="102">
          <cell r="W102">
            <v>99</v>
          </cell>
          <cell r="X102">
            <v>349.2</v>
          </cell>
          <cell r="Y102">
            <v>296.7</v>
          </cell>
        </row>
        <row r="103">
          <cell r="W103">
            <v>100</v>
          </cell>
          <cell r="X103">
            <v>352</v>
          </cell>
          <cell r="Y103">
            <v>299</v>
          </cell>
        </row>
      </sheetData>
    </sheetDataSet>
  </externalBook>
</externalLink>
</file>

<file path=xl/externalLinks/externalLink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index"/>
      <sheetName val="gen_abst"/>
      <sheetName val="abstract"/>
      <sheetName val="detailed"/>
      <sheetName val="water"/>
      <sheetName val="data_new"/>
      <sheetName val="lead-st"/>
      <sheetName val="v"/>
      <sheetName val="r"/>
      <sheetName val="l"/>
      <sheetName val="electrical"/>
      <sheetName val="marking"/>
      <sheetName val="beams"/>
      <sheetName val="features"/>
      <sheetName val="c_wall"/>
      <sheetName val="Sheet1"/>
      <sheetName val="leads"/>
      <sheetName val="ssr-rates"/>
      <sheetName val="0000000000000"/>
      <sheetName val="rdamdata"/>
      <sheetName val="Lead statement"/>
      <sheetName val="HDPE"/>
      <sheetName val="DI"/>
      <sheetName val="pvc"/>
      <sheetName val="DATA"/>
      <sheetName val="census91"/>
      <sheetName val="GF SB Ok "/>
      <sheetName val="Levels"/>
      <sheetName val="HDPE-pipe-rates"/>
      <sheetName val="pvc-pipe-rates"/>
      <sheetName val="Labour"/>
      <sheetName val="Material"/>
      <sheetName val="Plant &amp;  Machinery"/>
      <sheetName val="DATA_PRG"/>
      <sheetName val="maya"/>
      <sheetName val="C-data"/>
      <sheetName val="RMR"/>
      <sheetName val="MRATES"/>
      <sheetName val="stone"/>
      <sheetName val="Road data"/>
      <sheetName val="Nspt-smp-final-ORIGINAL"/>
      <sheetName val="Lead"/>
      <sheetName val="ABS"/>
      <sheetName val="Sheet3"/>
      <sheetName val="BTR"/>
      <sheetName val="DES"/>
      <sheetName val="COVER"/>
      <sheetName val="HP PIPE  DATA"/>
      <sheetName val="SLAB  DATA"/>
      <sheetName val="Sheet2"/>
      <sheetName val="mlead"/>
      <sheetName val="splmidata"/>
      <sheetName val="ppraodata"/>
      <sheetName val="CONST"/>
      <sheetName val="Estimate "/>
      <sheetName val="EDWise"/>
      <sheetName val="BHANDUP"/>
      <sheetName val="PRECAST lightconc-II"/>
      <sheetName val="data existing_do not delete"/>
      <sheetName val="Quarry"/>
      <sheetName val="Line"/>
      <sheetName val="CRUST"/>
      <sheetName val="QDTS"/>
      <sheetName val="Rates"/>
      <sheetName val="m"/>
      <sheetName val="DISCOUNT"/>
      <sheetName val="MRoad data"/>
      <sheetName val="AV-HDPE"/>
      <sheetName val="Di_gate-HDPE"/>
      <sheetName val="mas_hab"/>
      <sheetName val="GT DUMP"/>
      <sheetName val="sancdump"/>
      <sheetName val="strong stylecolor blueDate Wise"/>
      <sheetName val="Basicrates"/>
      <sheetName val="BLK3"/>
      <sheetName val="BLK2"/>
      <sheetName val="radar"/>
      <sheetName val="E &amp; R"/>
      <sheetName val="hdpe_basic"/>
      <sheetName val="pvc_basic"/>
      <sheetName val="abs road"/>
      <sheetName val="coverpage"/>
      <sheetName val="TS memo"/>
      <sheetName val="Common "/>
      <sheetName val="final abstract"/>
      <sheetName val="Rate Analysis"/>
      <sheetName val="t_prsr"/>
      <sheetName val="wh"/>
      <sheetName val="bom"/>
      <sheetName val="SPT vs PHI"/>
      <sheetName val=" data sheet "/>
      <sheetName val="DATA-BASE"/>
      <sheetName val="DATA-ABSTRACT"/>
      <sheetName val="sand"/>
      <sheetName val="clvrt_data"/>
      <sheetName val="wh_data_R"/>
      <sheetName val="wh_data"/>
      <sheetName val="CPHEEO"/>
      <sheetName val="input"/>
      <sheetName val="hdpe weights"/>
      <sheetName val="PVC weights"/>
      <sheetName val="Lead_statement"/>
      <sheetName val="detls"/>
      <sheetName val="Data.F8.BTR"/>
      <sheetName val="GA"/>
      <sheetName val="hdpe-rates"/>
      <sheetName val="pvc-rates"/>
      <sheetName val="Civil Boq"/>
      <sheetName val="Summary"/>
      <sheetName val="Note"/>
      <sheetName val="Specification"/>
      <sheetName val="analy"/>
      <sheetName val="basdat"/>
      <sheetName val="GF_SB_Ok_"/>
      <sheetName val="Plant_&amp;__Machinery"/>
      <sheetName val="ROAD_DATA"/>
      <sheetName val="HP_PIPE__DATA"/>
      <sheetName val="SLAB__DATA"/>
      <sheetName val="Estimate_"/>
      <sheetName val="PRECAST_lightconc-II"/>
      <sheetName val="data_existing_do_not_delete"/>
      <sheetName val="MRoad_data"/>
    </sheetNames>
    <sheetDataSet>
      <sheetData sheetId="0"/>
      <sheetData sheetId="1"/>
      <sheetData sheetId="2"/>
      <sheetData sheetId="3"/>
      <sheetData sheetId="4"/>
      <sheetData sheetId="5"/>
      <sheetData sheetId="6"/>
      <sheetData sheetId="7"/>
      <sheetData sheetId="8" refreshError="1">
        <row r="2">
          <cell r="F2">
            <v>100</v>
          </cell>
        </row>
        <row r="4">
          <cell r="F4">
            <v>65</v>
          </cell>
        </row>
      </sheetData>
      <sheetData sheetId="9"/>
      <sheetData sheetId="10"/>
      <sheetData sheetId="11"/>
      <sheetData sheetId="12"/>
      <sheetData sheetId="13"/>
      <sheetData sheetId="14"/>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Set>
  </externalBook>
</externalLink>
</file>

<file path=xl/externalLinks/externalLink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index"/>
      <sheetName val="gen_abst"/>
      <sheetName val="abstract"/>
      <sheetName val="detailed"/>
      <sheetName val="water"/>
      <sheetName val="data_new"/>
      <sheetName val="lead-st"/>
      <sheetName val="v"/>
      <sheetName val="r"/>
      <sheetName val="l"/>
      <sheetName val="electrical"/>
      <sheetName val="marking"/>
      <sheetName val="beams"/>
      <sheetName val="features"/>
      <sheetName val="c_wall"/>
    </sheetNames>
    <sheetDataSet>
      <sheetData sheetId="0"/>
      <sheetData sheetId="1"/>
      <sheetData sheetId="2"/>
      <sheetData sheetId="3"/>
      <sheetData sheetId="4"/>
      <sheetData sheetId="5"/>
      <sheetData sheetId="6"/>
      <sheetData sheetId="7"/>
      <sheetData sheetId="8" refreshError="1">
        <row r="2">
          <cell r="F2">
            <v>100</v>
          </cell>
        </row>
        <row r="4">
          <cell r="F4">
            <v>65</v>
          </cell>
        </row>
      </sheetData>
      <sheetData sheetId="9"/>
      <sheetData sheetId="10"/>
      <sheetData sheetId="11"/>
      <sheetData sheetId="12"/>
      <sheetData sheetId="13"/>
      <sheetData sheetId="14"/>
    </sheetDataSet>
  </externalBook>
</externalLink>
</file>

<file path=xl/externalLinks/externalLink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mro_bldg"/>
      <sheetName val="mpp_bldg"/>
      <sheetName val="abstract"/>
      <sheetName val="detailed"/>
      <sheetName val="sanitory"/>
      <sheetName val="septic_tank"/>
      <sheetName val="electri"/>
      <sheetName val="c_wall"/>
      <sheetName val="data_sein"/>
      <sheetName val="v"/>
      <sheetName val="r"/>
      <sheetName val="l"/>
      <sheetName val="door"/>
      <sheetName val="win"/>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row r="2">
          <cell r="A2">
            <v>1</v>
          </cell>
          <cell r="B2" t="str">
            <v>Name of the work</v>
          </cell>
          <cell r="C2" t="str">
            <v>Construction of MPP Building at  Nadigudem</v>
          </cell>
        </row>
        <row r="3">
          <cell r="A3">
            <v>2</v>
          </cell>
          <cell r="B3" t="str">
            <v>Est.cost</v>
          </cell>
          <cell r="C3">
            <v>17</v>
          </cell>
        </row>
        <row r="4">
          <cell r="A4">
            <v>3</v>
          </cell>
          <cell r="B4" t="str">
            <v>Grant</v>
          </cell>
          <cell r="C4" t="str">
            <v>MPP</v>
          </cell>
        </row>
        <row r="5">
          <cell r="A5">
            <v>4</v>
          </cell>
          <cell r="B5" t="str">
            <v>Soils</v>
          </cell>
          <cell r="C5" t="str">
            <v>og</v>
          </cell>
        </row>
        <row r="6">
          <cell r="A6">
            <v>5</v>
          </cell>
          <cell r="B6" t="str">
            <v>Cement</v>
          </cell>
          <cell r="D6">
            <v>2500</v>
          </cell>
          <cell r="E6" t="str">
            <v>/MT</v>
          </cell>
        </row>
        <row r="7">
          <cell r="A7">
            <v>6</v>
          </cell>
          <cell r="B7" t="str">
            <v>Steel</v>
          </cell>
          <cell r="D7">
            <v>15000</v>
          </cell>
          <cell r="E7" t="str">
            <v>/MT</v>
          </cell>
        </row>
        <row r="8">
          <cell r="A8">
            <v>7</v>
          </cell>
          <cell r="B8" t="str">
            <v>Metal lead</v>
          </cell>
          <cell r="C8" t="str">
            <v>Akupamula</v>
          </cell>
          <cell r="D8">
            <v>15</v>
          </cell>
          <cell r="E8" t="str">
            <v>KM</v>
          </cell>
        </row>
        <row r="9">
          <cell r="A9">
            <v>8</v>
          </cell>
          <cell r="B9" t="str">
            <v>Crushed meal lead</v>
          </cell>
          <cell r="C9" t="str">
            <v>Akupamula</v>
          </cell>
          <cell r="D9">
            <v>15</v>
          </cell>
          <cell r="E9" t="str">
            <v>KM</v>
          </cell>
        </row>
        <row r="10">
          <cell r="A10">
            <v>9</v>
          </cell>
          <cell r="B10" t="str">
            <v>Sand Lead</v>
          </cell>
          <cell r="C10" t="str">
            <v>Palair</v>
          </cell>
          <cell r="D10">
            <v>32</v>
          </cell>
          <cell r="E10" t="str">
            <v>KM</v>
          </cell>
        </row>
        <row r="11">
          <cell r="A11">
            <v>10</v>
          </cell>
          <cell r="B11" t="str">
            <v>Bricks lead</v>
          </cell>
          <cell r="C11" t="str">
            <v>Kishnavagu</v>
          </cell>
          <cell r="D11">
            <v>6</v>
          </cell>
          <cell r="E11" t="str">
            <v>KM</v>
          </cell>
        </row>
        <row r="12">
          <cell r="A12">
            <v>11</v>
          </cell>
          <cell r="B12" t="str">
            <v>Polished Shabad Stone lead</v>
          </cell>
          <cell r="C12" t="str">
            <v>Kodad</v>
          </cell>
          <cell r="D12">
            <v>22</v>
          </cell>
          <cell r="E12" t="str">
            <v>KM</v>
          </cell>
        </row>
        <row r="13">
          <cell r="A13">
            <v>12</v>
          </cell>
          <cell r="B13" t="str">
            <v>Village</v>
          </cell>
          <cell r="C13" t="str">
            <v>Nadigudem</v>
          </cell>
        </row>
        <row r="14">
          <cell r="A14">
            <v>13</v>
          </cell>
          <cell r="B14" t="str">
            <v>mandal code</v>
          </cell>
          <cell r="D14">
            <v>145</v>
          </cell>
        </row>
        <row r="15">
          <cell r="A15">
            <v>14</v>
          </cell>
          <cell r="B15" t="str">
            <v>Acco proof powder</v>
          </cell>
          <cell r="C15">
            <v>30</v>
          </cell>
          <cell r="D15" t="str">
            <v>per kg</v>
          </cell>
        </row>
        <row r="16">
          <cell r="A16">
            <v>15</v>
          </cell>
          <cell r="B16" t="str">
            <v>Mandal</v>
          </cell>
          <cell r="C16" t="str">
            <v>Kodad</v>
          </cell>
        </row>
        <row r="17">
          <cell r="A17">
            <v>16</v>
          </cell>
          <cell r="B17" t="str">
            <v>Sub-division</v>
          </cell>
          <cell r="C17" t="str">
            <v>Kodad</v>
          </cell>
        </row>
        <row r="18">
          <cell r="A18">
            <v>17</v>
          </cell>
          <cell r="B18" t="str">
            <v>Division</v>
          </cell>
          <cell r="C18" t="str">
            <v>Miryalaguda</v>
          </cell>
        </row>
        <row r="19">
          <cell r="A19">
            <v>18</v>
          </cell>
          <cell r="B19" t="str">
            <v>SO</v>
          </cell>
          <cell r="C19" t="str">
            <v>ae</v>
          </cell>
        </row>
        <row r="20">
          <cell r="A20">
            <v>19</v>
          </cell>
          <cell r="B20" t="str">
            <v>AE</v>
          </cell>
          <cell r="C20" t="str">
            <v>K.Ranadheer Reddy</v>
          </cell>
        </row>
        <row r="21">
          <cell r="A21">
            <v>20</v>
          </cell>
          <cell r="B21" t="str">
            <v>DEE</v>
          </cell>
          <cell r="C21" t="str">
            <v>D.Vijaya Kumar</v>
          </cell>
        </row>
        <row r="22">
          <cell r="A22">
            <v>21</v>
          </cell>
          <cell r="B22" t="str">
            <v>EE</v>
          </cell>
          <cell r="C22" t="str">
            <v>VVRAS Jagannatha Rao</v>
          </cell>
        </row>
      </sheetData>
      <sheetData sheetId="10" refreshError="1">
        <row r="1">
          <cell r="B1" t="str">
            <v>SNO</v>
          </cell>
          <cell r="C1" t="str">
            <v>SSITEMNO</v>
          </cell>
          <cell r="F1" t="str">
            <v>DETAILS</v>
          </cell>
          <cell r="G1" t="str">
            <v>Unit</v>
          </cell>
          <cell r="H1" t="str">
            <v>PER</v>
          </cell>
          <cell r="I1" t="str">
            <v>RATE</v>
          </cell>
        </row>
        <row r="2">
          <cell r="B2">
            <v>1</v>
          </cell>
          <cell r="C2" t="str">
            <v>1ab</v>
          </cell>
          <cell r="F2" t="str">
            <v>1st Class Mason</v>
          </cell>
          <cell r="G2">
            <v>1</v>
          </cell>
          <cell r="H2" t="str">
            <v>each</v>
          </cell>
          <cell r="I2">
            <v>86</v>
          </cell>
        </row>
        <row r="3">
          <cell r="B3">
            <v>26</v>
          </cell>
          <cell r="C3">
            <v>17</v>
          </cell>
          <cell r="F3" t="str">
            <v>Spl.grade Mason</v>
          </cell>
          <cell r="G3">
            <v>1</v>
          </cell>
          <cell r="H3" t="str">
            <v>each</v>
          </cell>
          <cell r="I3">
            <v>0</v>
          </cell>
        </row>
        <row r="4">
          <cell r="B4">
            <v>28</v>
          </cell>
          <cell r="C4" t="str">
            <v>1a</v>
          </cell>
          <cell r="F4" t="str">
            <v>2nd Class Mason</v>
          </cell>
          <cell r="G4">
            <v>1</v>
          </cell>
          <cell r="H4" t="str">
            <v>each</v>
          </cell>
          <cell r="I4">
            <v>75</v>
          </cell>
        </row>
        <row r="5">
          <cell r="B5">
            <v>53</v>
          </cell>
          <cell r="C5">
            <v>2</v>
          </cell>
          <cell r="F5" t="str">
            <v>Man Mazdoor</v>
          </cell>
          <cell r="G5">
            <v>1</v>
          </cell>
          <cell r="H5" t="str">
            <v>each</v>
          </cell>
          <cell r="I5">
            <v>55</v>
          </cell>
        </row>
        <row r="6">
          <cell r="B6">
            <v>54</v>
          </cell>
          <cell r="C6">
            <v>3</v>
          </cell>
          <cell r="F6" t="str">
            <v>Woman Mazdoor</v>
          </cell>
          <cell r="G6">
            <v>1</v>
          </cell>
          <cell r="H6" t="str">
            <v>each</v>
          </cell>
          <cell r="I6">
            <v>55</v>
          </cell>
        </row>
        <row r="7">
          <cell r="B7">
            <v>60</v>
          </cell>
          <cell r="C7" t="str">
            <v>1a</v>
          </cell>
          <cell r="F7" t="str">
            <v>2nd Class Bricks</v>
          </cell>
          <cell r="G7">
            <v>1000</v>
          </cell>
          <cell r="H7" t="str">
            <v>Nos</v>
          </cell>
          <cell r="I7">
            <v>1200</v>
          </cell>
        </row>
        <row r="8">
          <cell r="B8">
            <v>67</v>
          </cell>
          <cell r="C8" t="str">
            <v>2c</v>
          </cell>
          <cell r="F8" t="str">
            <v>RR stone Granite Variety</v>
          </cell>
          <cell r="G8">
            <v>1</v>
          </cell>
          <cell r="H8" t="str">
            <v>cum</v>
          </cell>
          <cell r="I8">
            <v>75</v>
          </cell>
        </row>
        <row r="9">
          <cell r="B9">
            <v>72</v>
          </cell>
          <cell r="C9" t="str">
            <v>3a</v>
          </cell>
          <cell r="F9" t="str">
            <v>CR stone Granite Variety</v>
          </cell>
          <cell r="G9">
            <v>1</v>
          </cell>
          <cell r="H9" t="str">
            <v>cum</v>
          </cell>
          <cell r="I9">
            <v>109</v>
          </cell>
        </row>
        <row r="10">
          <cell r="B10">
            <v>80</v>
          </cell>
          <cell r="F10" t="str">
            <v>6 mm SS</v>
          </cell>
          <cell r="G10">
            <v>1</v>
          </cell>
          <cell r="H10" t="str">
            <v>cum</v>
          </cell>
          <cell r="I10">
            <v>170</v>
          </cell>
        </row>
        <row r="11">
          <cell r="B11">
            <v>81</v>
          </cell>
          <cell r="F11" t="str">
            <v>5 to 7 mm IRC</v>
          </cell>
          <cell r="G11">
            <v>1</v>
          </cell>
          <cell r="H11" t="str">
            <v>cum</v>
          </cell>
          <cell r="I11">
            <v>170</v>
          </cell>
        </row>
        <row r="12">
          <cell r="B12">
            <v>82</v>
          </cell>
          <cell r="F12" t="str">
            <v>10 mm SS</v>
          </cell>
          <cell r="G12">
            <v>1</v>
          </cell>
          <cell r="H12" t="str">
            <v>cum</v>
          </cell>
          <cell r="I12">
            <v>250</v>
          </cell>
        </row>
        <row r="13">
          <cell r="B13">
            <v>83</v>
          </cell>
          <cell r="F13" t="str">
            <v>10 to 11.2 IRC</v>
          </cell>
          <cell r="G13">
            <v>1</v>
          </cell>
          <cell r="H13" t="str">
            <v>cum</v>
          </cell>
          <cell r="I13">
            <v>250</v>
          </cell>
        </row>
        <row r="14">
          <cell r="B14">
            <v>84</v>
          </cell>
          <cell r="F14" t="str">
            <v>12 mm SS</v>
          </cell>
          <cell r="G14">
            <v>1</v>
          </cell>
          <cell r="H14" t="str">
            <v>cum</v>
          </cell>
          <cell r="I14">
            <v>300</v>
          </cell>
        </row>
        <row r="15">
          <cell r="B15">
            <v>85</v>
          </cell>
          <cell r="F15" t="str">
            <v>12 to 14 mm IRC</v>
          </cell>
          <cell r="G15">
            <v>1</v>
          </cell>
          <cell r="H15" t="str">
            <v>cum</v>
          </cell>
          <cell r="I15">
            <v>300</v>
          </cell>
        </row>
        <row r="16">
          <cell r="B16">
            <v>86</v>
          </cell>
          <cell r="F16" t="str">
            <v>20 mm SS</v>
          </cell>
          <cell r="G16">
            <v>1</v>
          </cell>
          <cell r="H16" t="str">
            <v>cum</v>
          </cell>
          <cell r="I16">
            <v>380</v>
          </cell>
        </row>
        <row r="17">
          <cell r="B17">
            <v>87</v>
          </cell>
          <cell r="F17" t="str">
            <v>20 to 22 mm IRC</v>
          </cell>
          <cell r="G17">
            <v>1</v>
          </cell>
          <cell r="H17" t="str">
            <v>cum</v>
          </cell>
          <cell r="I17">
            <v>375</v>
          </cell>
        </row>
        <row r="18">
          <cell r="B18">
            <v>88</v>
          </cell>
          <cell r="F18" t="str">
            <v>25 mm SS</v>
          </cell>
          <cell r="G18">
            <v>1</v>
          </cell>
          <cell r="H18" t="str">
            <v>cum</v>
          </cell>
          <cell r="I18">
            <v>300</v>
          </cell>
        </row>
        <row r="19">
          <cell r="B19">
            <v>89</v>
          </cell>
          <cell r="F19" t="str">
            <v>25 to 27 mm IRC</v>
          </cell>
          <cell r="G19">
            <v>1</v>
          </cell>
          <cell r="H19" t="str">
            <v>cum</v>
          </cell>
          <cell r="I19">
            <v>300</v>
          </cell>
        </row>
        <row r="20">
          <cell r="B20">
            <v>90</v>
          </cell>
          <cell r="F20" t="str">
            <v>40 mm SS</v>
          </cell>
          <cell r="G20">
            <v>1</v>
          </cell>
          <cell r="H20" t="str">
            <v>cum</v>
          </cell>
          <cell r="I20">
            <v>215</v>
          </cell>
        </row>
        <row r="21">
          <cell r="B21">
            <v>91</v>
          </cell>
          <cell r="F21" t="str">
            <v>40 to 45 mm IRC</v>
          </cell>
          <cell r="G21">
            <v>1</v>
          </cell>
          <cell r="H21" t="str">
            <v>cum</v>
          </cell>
          <cell r="I21">
            <v>200</v>
          </cell>
        </row>
        <row r="22">
          <cell r="B22">
            <v>92</v>
          </cell>
          <cell r="F22" t="str">
            <v>50 mm SS</v>
          </cell>
          <cell r="G22">
            <v>1</v>
          </cell>
          <cell r="H22" t="str">
            <v>cum</v>
          </cell>
          <cell r="I22">
            <v>150</v>
          </cell>
        </row>
        <row r="23">
          <cell r="B23">
            <v>93</v>
          </cell>
          <cell r="F23" t="str">
            <v>50 to 55mm IRC</v>
          </cell>
          <cell r="G23">
            <v>1</v>
          </cell>
          <cell r="H23" t="str">
            <v>cum</v>
          </cell>
          <cell r="I23">
            <v>120</v>
          </cell>
        </row>
        <row r="24">
          <cell r="B24">
            <v>94</v>
          </cell>
          <cell r="F24" t="str">
            <v>60 mm SS</v>
          </cell>
          <cell r="G24">
            <v>1</v>
          </cell>
          <cell r="H24" t="str">
            <v>cum</v>
          </cell>
          <cell r="I24">
            <v>150</v>
          </cell>
        </row>
        <row r="25">
          <cell r="B25">
            <v>95</v>
          </cell>
          <cell r="F25" t="str">
            <v>60 to 63 mm IRC</v>
          </cell>
          <cell r="G25">
            <v>1</v>
          </cell>
          <cell r="H25" t="str">
            <v>cum</v>
          </cell>
          <cell r="I25">
            <v>110</v>
          </cell>
        </row>
        <row r="26">
          <cell r="B26">
            <v>96</v>
          </cell>
          <cell r="F26" t="str">
            <v>65 mm SS</v>
          </cell>
          <cell r="G26">
            <v>1</v>
          </cell>
          <cell r="H26" t="str">
            <v>cum</v>
          </cell>
          <cell r="I26">
            <v>150</v>
          </cell>
        </row>
        <row r="27">
          <cell r="B27">
            <v>97</v>
          </cell>
          <cell r="F27" t="str">
            <v>65 mm IRC</v>
          </cell>
          <cell r="G27">
            <v>1</v>
          </cell>
          <cell r="H27" t="str">
            <v>cum</v>
          </cell>
          <cell r="I27">
            <v>120</v>
          </cell>
        </row>
        <row r="28">
          <cell r="B28">
            <v>98</v>
          </cell>
          <cell r="F28" t="str">
            <v>75 mm SS</v>
          </cell>
          <cell r="G28">
            <v>1</v>
          </cell>
          <cell r="H28" t="str">
            <v>cum</v>
          </cell>
          <cell r="I28">
            <v>95</v>
          </cell>
        </row>
        <row r="29">
          <cell r="B29">
            <v>99</v>
          </cell>
          <cell r="F29" t="str">
            <v>75 mm IRC</v>
          </cell>
          <cell r="G29">
            <v>1</v>
          </cell>
          <cell r="H29" t="str">
            <v>cum</v>
          </cell>
          <cell r="I29">
            <v>95</v>
          </cell>
        </row>
        <row r="30">
          <cell r="B30">
            <v>100</v>
          </cell>
          <cell r="F30" t="str">
            <v>Blasting</v>
          </cell>
          <cell r="G30">
            <v>1</v>
          </cell>
          <cell r="H30" t="str">
            <v>cum</v>
          </cell>
          <cell r="I30">
            <v>40</v>
          </cell>
        </row>
        <row r="31">
          <cell r="B31">
            <v>101</v>
          </cell>
          <cell r="F31" t="str">
            <v>Metal Crushing</v>
          </cell>
          <cell r="G31">
            <v>1</v>
          </cell>
          <cell r="H31" t="str">
            <v>cum</v>
          </cell>
          <cell r="I31">
            <v>0.25</v>
          </cell>
        </row>
        <row r="32">
          <cell r="B32">
            <v>127</v>
          </cell>
          <cell r="C32">
            <v>9</v>
          </cell>
          <cell r="F32" t="str">
            <v>Gravel</v>
          </cell>
          <cell r="G32">
            <v>1</v>
          </cell>
          <cell r="H32" t="str">
            <v>cum</v>
          </cell>
          <cell r="I32">
            <v>25</v>
          </cell>
        </row>
        <row r="33">
          <cell r="B33">
            <v>128</v>
          </cell>
          <cell r="F33" t="str">
            <v>Quarry rubbish</v>
          </cell>
          <cell r="G33">
            <v>1</v>
          </cell>
          <cell r="H33" t="str">
            <v>cum</v>
          </cell>
          <cell r="I33">
            <v>11</v>
          </cell>
        </row>
        <row r="34">
          <cell r="B34">
            <v>129</v>
          </cell>
          <cell r="F34" t="str">
            <v>Sand for Mortar, Seal coat</v>
          </cell>
          <cell r="G34">
            <v>1</v>
          </cell>
          <cell r="H34" t="str">
            <v>cum</v>
          </cell>
          <cell r="I34">
            <v>50</v>
          </cell>
        </row>
        <row r="35">
          <cell r="B35">
            <v>130</v>
          </cell>
          <cell r="F35" t="str">
            <v>Sand for Filling, Blindage</v>
          </cell>
          <cell r="G35">
            <v>1</v>
          </cell>
          <cell r="H35" t="str">
            <v>cum</v>
          </cell>
          <cell r="I35">
            <v>20</v>
          </cell>
        </row>
        <row r="36">
          <cell r="B36">
            <v>133</v>
          </cell>
          <cell r="C36">
            <v>15</v>
          </cell>
          <cell r="F36" t="str">
            <v>40 mm thick 0.762 m x.457 m</v>
          </cell>
          <cell r="G36">
            <v>1</v>
          </cell>
          <cell r="H36" t="str">
            <v>sqm</v>
          </cell>
          <cell r="I36">
            <v>70</v>
          </cell>
        </row>
        <row r="37">
          <cell r="B37">
            <v>134</v>
          </cell>
          <cell r="C37">
            <v>16</v>
          </cell>
          <cell r="F37" t="str">
            <v>50 mm thick 0.762 m x.457 m</v>
          </cell>
          <cell r="G37">
            <v>1</v>
          </cell>
          <cell r="H37" t="str">
            <v>sqm</v>
          </cell>
          <cell r="I37">
            <v>80</v>
          </cell>
        </row>
        <row r="38">
          <cell r="B38">
            <v>136</v>
          </cell>
          <cell r="F38" t="str">
            <v>25.4 mm thick White</v>
          </cell>
          <cell r="G38">
            <v>10</v>
          </cell>
          <cell r="H38" t="str">
            <v>sqm</v>
          </cell>
          <cell r="I38">
            <v>550</v>
          </cell>
        </row>
        <row r="39">
          <cell r="B39">
            <v>137</v>
          </cell>
          <cell r="F39" t="str">
            <v>25.4 mm thick Blue</v>
          </cell>
          <cell r="G39">
            <v>10</v>
          </cell>
          <cell r="H39" t="str">
            <v>sqm</v>
          </cell>
          <cell r="I39">
            <v>600</v>
          </cell>
        </row>
        <row r="40">
          <cell r="B40">
            <v>138</v>
          </cell>
          <cell r="F40" t="str">
            <v>25.4 mm thick White</v>
          </cell>
          <cell r="G40">
            <v>10</v>
          </cell>
          <cell r="H40" t="str">
            <v>sqm</v>
          </cell>
          <cell r="I40">
            <v>600</v>
          </cell>
        </row>
        <row r="41">
          <cell r="B41">
            <v>139</v>
          </cell>
          <cell r="F41" t="str">
            <v>25.4 mm thick Blue</v>
          </cell>
          <cell r="G41">
            <v>10</v>
          </cell>
          <cell r="H41" t="str">
            <v>sqm</v>
          </cell>
          <cell r="I41">
            <v>700</v>
          </cell>
        </row>
        <row r="42">
          <cell r="B42">
            <v>140</v>
          </cell>
          <cell r="F42" t="str">
            <v>25.4 mm thick White  0.457mx0.457 m</v>
          </cell>
          <cell r="G42">
            <v>10</v>
          </cell>
          <cell r="H42" t="str">
            <v>sqm</v>
          </cell>
          <cell r="I42">
            <v>1000</v>
          </cell>
        </row>
        <row r="43">
          <cell r="B43">
            <v>141</v>
          </cell>
          <cell r="F43" t="str">
            <v>25.4 mm thick Blue  0.457mx0.457 m</v>
          </cell>
          <cell r="G43">
            <v>10</v>
          </cell>
          <cell r="H43" t="str">
            <v>sqm</v>
          </cell>
          <cell r="I43">
            <v>1150</v>
          </cell>
        </row>
        <row r="44">
          <cell r="B44">
            <v>142</v>
          </cell>
          <cell r="C44">
            <v>20</v>
          </cell>
          <cell r="F44" t="str">
            <v>25.4 mm thick   0.457mx0.457 m</v>
          </cell>
          <cell r="G44">
            <v>10</v>
          </cell>
          <cell r="H44" t="str">
            <v>sqm</v>
          </cell>
          <cell r="I44">
            <v>900</v>
          </cell>
        </row>
        <row r="45">
          <cell r="B45">
            <v>143</v>
          </cell>
          <cell r="C45">
            <v>21</v>
          </cell>
          <cell r="F45" t="str">
            <v>25.4 mm thick 0.254mx0.254 m White</v>
          </cell>
          <cell r="G45">
            <v>10</v>
          </cell>
          <cell r="H45" t="str">
            <v>sqm</v>
          </cell>
          <cell r="I45">
            <v>2700</v>
          </cell>
        </row>
        <row r="46">
          <cell r="B46">
            <v>168</v>
          </cell>
          <cell r="F46" t="str">
            <v>Cement Mortar</v>
          </cell>
          <cell r="G46">
            <v>1</v>
          </cell>
          <cell r="H46" t="str">
            <v>cum</v>
          </cell>
          <cell r="I46">
            <v>15</v>
          </cell>
        </row>
        <row r="47">
          <cell r="B47">
            <v>169</v>
          </cell>
          <cell r="F47" t="str">
            <v>By Machine</v>
          </cell>
          <cell r="G47">
            <v>1</v>
          </cell>
          <cell r="H47" t="str">
            <v>cum</v>
          </cell>
          <cell r="I47">
            <v>25</v>
          </cell>
        </row>
        <row r="48">
          <cell r="B48">
            <v>175</v>
          </cell>
          <cell r="F48" t="str">
            <v>White Cement</v>
          </cell>
          <cell r="G48">
            <v>1</v>
          </cell>
          <cell r="H48" t="str">
            <v>kg</v>
          </cell>
          <cell r="I48">
            <v>9</v>
          </cell>
        </row>
        <row r="49">
          <cell r="B49">
            <v>176</v>
          </cell>
          <cell r="F49" t="str">
            <v xml:space="preserve">Scantling below 2m </v>
          </cell>
          <cell r="G49">
            <v>1</v>
          </cell>
          <cell r="H49" t="str">
            <v>cum</v>
          </cell>
          <cell r="I49">
            <v>50000</v>
          </cell>
        </row>
        <row r="50">
          <cell r="B50">
            <v>177</v>
          </cell>
          <cell r="F50" t="str">
            <v xml:space="preserve">Scantling above 2m </v>
          </cell>
          <cell r="G50">
            <v>1</v>
          </cell>
          <cell r="H50" t="str">
            <v>cum</v>
          </cell>
          <cell r="I50">
            <v>52000</v>
          </cell>
        </row>
        <row r="51">
          <cell r="B51">
            <v>178</v>
          </cell>
          <cell r="F51" t="str">
            <v>Planks of all sizes</v>
          </cell>
          <cell r="G51">
            <v>1</v>
          </cell>
          <cell r="H51" t="str">
            <v>cum</v>
          </cell>
          <cell r="I51">
            <v>55000</v>
          </cell>
        </row>
        <row r="52">
          <cell r="B52">
            <v>176</v>
          </cell>
          <cell r="F52" t="str">
            <v xml:space="preserve">Scantling below 2m </v>
          </cell>
          <cell r="G52">
            <v>1</v>
          </cell>
          <cell r="H52" t="str">
            <v>cum</v>
          </cell>
          <cell r="I52">
            <v>40000</v>
          </cell>
        </row>
        <row r="53">
          <cell r="B53">
            <v>177</v>
          </cell>
          <cell r="F53" t="str">
            <v xml:space="preserve">Scantling above 2m </v>
          </cell>
          <cell r="G53">
            <v>1</v>
          </cell>
          <cell r="H53" t="str">
            <v>cum</v>
          </cell>
          <cell r="I53">
            <v>42000</v>
          </cell>
        </row>
        <row r="54">
          <cell r="B54">
            <v>178</v>
          </cell>
          <cell r="F54" t="str">
            <v>Planks of all sizes</v>
          </cell>
          <cell r="G54">
            <v>1</v>
          </cell>
          <cell r="H54" t="str">
            <v>cum</v>
          </cell>
          <cell r="I54">
            <v>45000</v>
          </cell>
        </row>
        <row r="55">
          <cell r="B55">
            <v>187</v>
          </cell>
          <cell r="F55" t="str">
            <v>Steel fabrication</v>
          </cell>
          <cell r="G55">
            <v>1</v>
          </cell>
          <cell r="H55" t="str">
            <v>kg</v>
          </cell>
          <cell r="I55">
            <v>3.25</v>
          </cell>
        </row>
        <row r="56">
          <cell r="B56">
            <v>234</v>
          </cell>
          <cell r="F56" t="str">
            <v>25 mm thick</v>
          </cell>
          <cell r="G56">
            <v>1</v>
          </cell>
          <cell r="H56" t="str">
            <v>sqm</v>
          </cell>
          <cell r="I56">
            <v>80</v>
          </cell>
        </row>
        <row r="57">
          <cell r="B57">
            <v>235</v>
          </cell>
          <cell r="F57" t="str">
            <v>40 mm thick</v>
          </cell>
          <cell r="G57">
            <v>1</v>
          </cell>
          <cell r="H57" t="str">
            <v>sqm</v>
          </cell>
          <cell r="I57">
            <v>105</v>
          </cell>
        </row>
        <row r="58">
          <cell r="B58">
            <v>236</v>
          </cell>
          <cell r="F58" t="str">
            <v>50 mm thick</v>
          </cell>
          <cell r="G58">
            <v>1</v>
          </cell>
          <cell r="H58" t="str">
            <v>sqm</v>
          </cell>
          <cell r="I58">
            <v>140</v>
          </cell>
        </row>
        <row r="59">
          <cell r="B59">
            <v>239</v>
          </cell>
          <cell r="F59" t="str">
            <v>Dry powder Distemper</v>
          </cell>
          <cell r="G59">
            <v>1</v>
          </cell>
          <cell r="H59" t="str">
            <v>kg</v>
          </cell>
          <cell r="I59">
            <v>20</v>
          </cell>
        </row>
        <row r="60">
          <cell r="B60">
            <v>240</v>
          </cell>
          <cell r="F60" t="str">
            <v>Oil bound washable Distemper</v>
          </cell>
          <cell r="G60">
            <v>1</v>
          </cell>
          <cell r="H60" t="str">
            <v>kg</v>
          </cell>
          <cell r="I60">
            <v>60</v>
          </cell>
        </row>
        <row r="61">
          <cell r="B61">
            <v>245</v>
          </cell>
          <cell r="F61" t="str">
            <v>Alluminium paint 1st grade</v>
          </cell>
          <cell r="G61">
            <v>1</v>
          </cell>
          <cell r="H61" t="str">
            <v>litre</v>
          </cell>
          <cell r="I61">
            <v>176</v>
          </cell>
        </row>
        <row r="62">
          <cell r="B62">
            <v>246</v>
          </cell>
          <cell r="F62" t="str">
            <v>Anti corrosive bitument pain (Black) grade -1</v>
          </cell>
          <cell r="G62">
            <v>1</v>
          </cell>
          <cell r="H62" t="str">
            <v>litre</v>
          </cell>
          <cell r="I62">
            <v>250</v>
          </cell>
        </row>
        <row r="63">
          <cell r="B63">
            <v>247</v>
          </cell>
          <cell r="F63" t="str">
            <v>Red oxide Primer Paint grade-I</v>
          </cell>
          <cell r="G63">
            <v>1</v>
          </cell>
          <cell r="H63" t="str">
            <v>litre</v>
          </cell>
          <cell r="I63">
            <v>55</v>
          </cell>
        </row>
        <row r="64">
          <cell r="B64">
            <v>248</v>
          </cell>
          <cell r="F64" t="str">
            <v>Red oxide Primer Paint grade-II</v>
          </cell>
          <cell r="G64">
            <v>1</v>
          </cell>
          <cell r="H64" t="str">
            <v>litre</v>
          </cell>
          <cell r="I64">
            <v>45</v>
          </cell>
        </row>
        <row r="65">
          <cell r="B65">
            <v>249</v>
          </cell>
          <cell r="F65" t="str">
            <v>Synthetic enamel paints in all shades grade-I</v>
          </cell>
          <cell r="G65">
            <v>1</v>
          </cell>
          <cell r="H65" t="str">
            <v>litre</v>
          </cell>
          <cell r="I65">
            <v>130</v>
          </cell>
        </row>
        <row r="66">
          <cell r="B66">
            <v>250</v>
          </cell>
          <cell r="F66" t="str">
            <v>Synthetic enamel paints in all shades grade-II</v>
          </cell>
          <cell r="G66">
            <v>1</v>
          </cell>
          <cell r="H66" t="str">
            <v>litre</v>
          </cell>
          <cell r="I66">
            <v>95</v>
          </cell>
        </row>
        <row r="67">
          <cell r="B67">
            <v>251</v>
          </cell>
          <cell r="F67" t="str">
            <v>Plastic emultion paint grade-I</v>
          </cell>
          <cell r="G67">
            <v>1</v>
          </cell>
          <cell r="H67" t="str">
            <v>litre</v>
          </cell>
          <cell r="I67">
            <v>200</v>
          </cell>
        </row>
        <row r="68">
          <cell r="B68">
            <v>252</v>
          </cell>
          <cell r="C68">
            <v>63</v>
          </cell>
          <cell r="F68" t="str">
            <v>Oil Bound Distemper</v>
          </cell>
          <cell r="G68">
            <v>1</v>
          </cell>
          <cell r="H68" t="str">
            <v>kg</v>
          </cell>
          <cell r="I68">
            <v>40</v>
          </cell>
        </row>
        <row r="69">
          <cell r="B69">
            <v>253</v>
          </cell>
          <cell r="C69">
            <v>64</v>
          </cell>
          <cell r="F69" t="str">
            <v>Water proof cement paint of Superior Quality</v>
          </cell>
          <cell r="G69">
            <v>1</v>
          </cell>
          <cell r="H69" t="str">
            <v>kg</v>
          </cell>
          <cell r="I69">
            <v>30</v>
          </cell>
        </row>
        <row r="70">
          <cell r="B70">
            <v>254</v>
          </cell>
          <cell r="C70">
            <v>65</v>
          </cell>
          <cell r="F70" t="str">
            <v>White lead</v>
          </cell>
          <cell r="G70">
            <v>1</v>
          </cell>
          <cell r="H70" t="str">
            <v>kg</v>
          </cell>
          <cell r="I70">
            <v>50</v>
          </cell>
        </row>
        <row r="71">
          <cell r="B71">
            <v>255</v>
          </cell>
          <cell r="C71">
            <v>66</v>
          </cell>
          <cell r="F71" t="str">
            <v>Marble powder</v>
          </cell>
          <cell r="G71">
            <v>1</v>
          </cell>
          <cell r="H71" t="str">
            <v>kg</v>
          </cell>
          <cell r="I71">
            <v>12.5</v>
          </cell>
        </row>
        <row r="72">
          <cell r="B72">
            <v>256</v>
          </cell>
          <cell r="C72">
            <v>67</v>
          </cell>
          <cell r="F72" t="str">
            <v>Cement Primer grade-I</v>
          </cell>
          <cell r="G72">
            <v>1</v>
          </cell>
          <cell r="H72" t="str">
            <v>kg</v>
          </cell>
          <cell r="I72">
            <v>65</v>
          </cell>
        </row>
        <row r="73">
          <cell r="B73">
            <v>257</v>
          </cell>
          <cell r="F73" t="str">
            <v>Cement Primer grade-II</v>
          </cell>
          <cell r="G73">
            <v>1</v>
          </cell>
          <cell r="H73" t="str">
            <v>kg</v>
          </cell>
          <cell r="I73">
            <v>50</v>
          </cell>
        </row>
        <row r="74">
          <cell r="B74">
            <v>274</v>
          </cell>
          <cell r="D74" t="str">
            <v>b</v>
          </cell>
          <cell r="F74" t="str">
            <v>Fevicol</v>
          </cell>
          <cell r="G74">
            <v>1</v>
          </cell>
          <cell r="H74" t="str">
            <v>kg</v>
          </cell>
          <cell r="I74">
            <v>100</v>
          </cell>
        </row>
        <row r="75">
          <cell r="B75">
            <v>352</v>
          </cell>
          <cell r="D75" t="str">
            <v>a</v>
          </cell>
          <cell r="F75" t="str">
            <v>Clearing heavy jungle</v>
          </cell>
          <cell r="G75">
            <v>10</v>
          </cell>
          <cell r="H75" t="str">
            <v>sqm</v>
          </cell>
          <cell r="I75">
            <v>6</v>
          </cell>
        </row>
        <row r="76">
          <cell r="B76">
            <v>353</v>
          </cell>
          <cell r="D76" t="str">
            <v>b</v>
          </cell>
          <cell r="F76" t="str">
            <v>Clearing Light jungle</v>
          </cell>
          <cell r="G76">
            <v>10</v>
          </cell>
          <cell r="H76" t="str">
            <v>sqm</v>
          </cell>
          <cell r="I76">
            <v>5</v>
          </cell>
        </row>
        <row r="77">
          <cell r="B77">
            <v>354</v>
          </cell>
          <cell r="D77" t="str">
            <v>c</v>
          </cell>
          <cell r="F77" t="str">
            <v>Clearing Scrub jungle</v>
          </cell>
          <cell r="G77">
            <v>10</v>
          </cell>
          <cell r="H77" t="str">
            <v>sqm</v>
          </cell>
          <cell r="I77">
            <v>3</v>
          </cell>
        </row>
        <row r="78">
          <cell r="B78">
            <v>355</v>
          </cell>
          <cell r="D78" t="str">
            <v>d</v>
          </cell>
          <cell r="F78" t="str">
            <v xml:space="preserve">Cleaing Julie flora </v>
          </cell>
          <cell r="G78">
            <v>10</v>
          </cell>
          <cell r="H78" t="str">
            <v>sqm</v>
          </cell>
          <cell r="I78">
            <v>14</v>
          </cell>
        </row>
        <row r="79">
          <cell r="B79">
            <v>408</v>
          </cell>
          <cell r="D79" t="str">
            <v>a</v>
          </cell>
          <cell r="F79" t="str">
            <v>Loamy &amp; Clay soils like BC soils, Red earth &amp; OG SS 302 &amp; 303</v>
          </cell>
          <cell r="G79">
            <v>10</v>
          </cell>
          <cell r="H79" t="str">
            <v>cum</v>
          </cell>
          <cell r="I79">
            <v>235</v>
          </cell>
        </row>
        <row r="80">
          <cell r="B80">
            <v>409</v>
          </cell>
          <cell r="F80" t="str">
            <v>Loamy &amp; Clay soils like BC soils, Red earth &amp; OG SS 301</v>
          </cell>
          <cell r="G80">
            <v>10</v>
          </cell>
          <cell r="H80" t="str">
            <v>cum</v>
          </cell>
          <cell r="I80">
            <v>215</v>
          </cell>
        </row>
        <row r="81">
          <cell r="B81">
            <v>412</v>
          </cell>
          <cell r="F81" t="str">
            <v>Hard Gravelly Soils SS 302 &amp; 303</v>
          </cell>
          <cell r="G81">
            <v>10</v>
          </cell>
          <cell r="H81" t="str">
            <v>cum</v>
          </cell>
          <cell r="I81">
            <v>250</v>
          </cell>
        </row>
        <row r="82">
          <cell r="B82">
            <v>413</v>
          </cell>
          <cell r="F82" t="str">
            <v>Hard Gravelly Soils SS 301</v>
          </cell>
          <cell r="G82">
            <v>10</v>
          </cell>
          <cell r="H82" t="str">
            <v>cum</v>
          </cell>
          <cell r="I82">
            <v>230</v>
          </cell>
        </row>
        <row r="83">
          <cell r="B83">
            <v>459</v>
          </cell>
          <cell r="C83">
            <v>35</v>
          </cell>
          <cell r="F83" t="str">
            <v>Vibrating Concrete</v>
          </cell>
          <cell r="G83">
            <v>1</v>
          </cell>
          <cell r="H83" t="str">
            <v>cum</v>
          </cell>
          <cell r="I83">
            <v>22.4</v>
          </cell>
        </row>
        <row r="84">
          <cell r="B84">
            <v>460</v>
          </cell>
          <cell r="C84">
            <v>36</v>
          </cell>
          <cell r="F84" t="str">
            <v>Machine mixing Concrete</v>
          </cell>
          <cell r="G84">
            <v>1</v>
          </cell>
          <cell r="H84" t="str">
            <v>cum</v>
          </cell>
          <cell r="I84">
            <v>21.8</v>
          </cell>
        </row>
        <row r="85">
          <cell r="B85">
            <v>461</v>
          </cell>
          <cell r="C85">
            <v>37</v>
          </cell>
          <cell r="F85" t="str">
            <v>Power for Mixer</v>
          </cell>
          <cell r="G85">
            <v>1</v>
          </cell>
          <cell r="H85" t="str">
            <v>cum</v>
          </cell>
          <cell r="I85">
            <v>14.5</v>
          </cell>
        </row>
        <row r="86">
          <cell r="B86">
            <v>495</v>
          </cell>
          <cell r="C86">
            <v>40</v>
          </cell>
          <cell r="D86" t="str">
            <v>a</v>
          </cell>
          <cell r="F86" t="str">
            <v>First Floor</v>
          </cell>
          <cell r="G86">
            <v>1</v>
          </cell>
          <cell r="H86" t="str">
            <v>cum</v>
          </cell>
          <cell r="I86">
            <v>22</v>
          </cell>
        </row>
        <row r="87">
          <cell r="B87">
            <v>496</v>
          </cell>
          <cell r="D87" t="str">
            <v>b</v>
          </cell>
          <cell r="F87" t="str">
            <v>Second Floor</v>
          </cell>
          <cell r="G87">
            <v>1</v>
          </cell>
          <cell r="H87" t="str">
            <v>cum</v>
          </cell>
          <cell r="I87">
            <v>27</v>
          </cell>
        </row>
        <row r="88">
          <cell r="B88">
            <v>497</v>
          </cell>
          <cell r="D88" t="str">
            <v>c</v>
          </cell>
          <cell r="F88" t="str">
            <v>Third Floor</v>
          </cell>
          <cell r="G88">
            <v>1</v>
          </cell>
          <cell r="H88" t="str">
            <v>cum</v>
          </cell>
          <cell r="I88">
            <v>37</v>
          </cell>
        </row>
        <row r="89">
          <cell r="B89">
            <v>498</v>
          </cell>
          <cell r="D89" t="str">
            <v>d</v>
          </cell>
          <cell r="F89" t="str">
            <v>Each Additional Floor</v>
          </cell>
          <cell r="G89">
            <v>1</v>
          </cell>
          <cell r="H89" t="str">
            <v>cum</v>
          </cell>
          <cell r="I89">
            <v>16</v>
          </cell>
        </row>
        <row r="90">
          <cell r="B90">
            <v>499</v>
          </cell>
          <cell r="D90" t="str">
            <v>a</v>
          </cell>
          <cell r="F90" t="str">
            <v>1st &amp; 2nd Floor</v>
          </cell>
          <cell r="G90">
            <v>10</v>
          </cell>
          <cell r="H90" t="str">
            <v>sqm</v>
          </cell>
          <cell r="I90">
            <v>25</v>
          </cell>
        </row>
        <row r="91">
          <cell r="B91">
            <v>500</v>
          </cell>
          <cell r="D91" t="str">
            <v>b</v>
          </cell>
          <cell r="F91" t="str">
            <v>2nd &amp; 3rd Floor</v>
          </cell>
          <cell r="G91">
            <v>10</v>
          </cell>
          <cell r="H91" t="str">
            <v>sqm</v>
          </cell>
          <cell r="I91">
            <v>50</v>
          </cell>
        </row>
        <row r="92">
          <cell r="B92">
            <v>501</v>
          </cell>
          <cell r="D92" t="str">
            <v>c</v>
          </cell>
          <cell r="F92" t="str">
            <v>3rd &amp; 4th Floor</v>
          </cell>
          <cell r="G92">
            <v>10</v>
          </cell>
          <cell r="H92" t="str">
            <v>sqm</v>
          </cell>
          <cell r="I92">
            <v>75</v>
          </cell>
        </row>
        <row r="93">
          <cell r="B93">
            <v>502</v>
          </cell>
          <cell r="D93" t="str">
            <v>d</v>
          </cell>
          <cell r="F93" t="str">
            <v>Each Additional Floor</v>
          </cell>
          <cell r="G93">
            <v>10</v>
          </cell>
          <cell r="H93" t="str">
            <v>sqm</v>
          </cell>
          <cell r="I93">
            <v>18</v>
          </cell>
        </row>
        <row r="94">
          <cell r="B94">
            <v>503</v>
          </cell>
          <cell r="D94" t="str">
            <v>a</v>
          </cell>
          <cell r="F94" t="str">
            <v>upto 150 mm depth</v>
          </cell>
          <cell r="G94">
            <v>10</v>
          </cell>
          <cell r="H94" t="str">
            <v>sqm</v>
          </cell>
          <cell r="I94">
            <v>525</v>
          </cell>
        </row>
        <row r="95">
          <cell r="B95">
            <v>504</v>
          </cell>
          <cell r="D95" t="str">
            <v>b</v>
          </cell>
          <cell r="F95" t="str">
            <v>above 150 mm depth and upto 300 mm depth</v>
          </cell>
          <cell r="G95">
            <v>10</v>
          </cell>
          <cell r="H95" t="str">
            <v>sqm</v>
          </cell>
          <cell r="I95">
            <v>850</v>
          </cell>
        </row>
        <row r="96">
          <cell r="B96">
            <v>510</v>
          </cell>
          <cell r="D96" t="str">
            <v>g</v>
          </cell>
          <cell r="E96" t="str">
            <v xml:space="preserve">i </v>
          </cell>
          <cell r="F96" t="str">
            <v>0.60 m width</v>
          </cell>
          <cell r="G96">
            <v>1</v>
          </cell>
          <cell r="H96" t="str">
            <v>rmt</v>
          </cell>
          <cell r="I96">
            <v>25</v>
          </cell>
        </row>
        <row r="97">
          <cell r="B97">
            <v>511</v>
          </cell>
          <cell r="D97" t="str">
            <v>g</v>
          </cell>
          <cell r="E97" t="str">
            <v>ii</v>
          </cell>
          <cell r="F97" t="str">
            <v>0.80 m width</v>
          </cell>
          <cell r="G97">
            <v>1</v>
          </cell>
          <cell r="H97" t="str">
            <v>rmt</v>
          </cell>
          <cell r="I97">
            <v>30</v>
          </cell>
        </row>
        <row r="98">
          <cell r="B98">
            <v>512</v>
          </cell>
          <cell r="D98" t="str">
            <v>g</v>
          </cell>
          <cell r="E98" t="str">
            <v>iii</v>
          </cell>
          <cell r="F98" t="str">
            <v>1.00 m width</v>
          </cell>
          <cell r="G98">
            <v>1</v>
          </cell>
          <cell r="H98" t="str">
            <v>rmt</v>
          </cell>
          <cell r="I98">
            <v>35</v>
          </cell>
        </row>
        <row r="99">
          <cell r="B99">
            <v>513</v>
          </cell>
          <cell r="D99" t="str">
            <v>h</v>
          </cell>
          <cell r="F99" t="str">
            <v>T.Beams</v>
          </cell>
          <cell r="G99">
            <v>1</v>
          </cell>
          <cell r="H99" t="str">
            <v>cum</v>
          </cell>
          <cell r="I99">
            <v>650</v>
          </cell>
        </row>
        <row r="100">
          <cell r="B100">
            <v>514</v>
          </cell>
          <cell r="F100" t="str">
            <v>Columns, Rectangular beams, L.Beams</v>
          </cell>
          <cell r="G100">
            <v>1</v>
          </cell>
          <cell r="H100" t="str">
            <v>cum</v>
          </cell>
          <cell r="I100">
            <v>550</v>
          </cell>
        </row>
        <row r="101">
          <cell r="B101">
            <v>515</v>
          </cell>
          <cell r="F101" t="str">
            <v>Templates, Bed blocks,Footings</v>
          </cell>
          <cell r="G101">
            <v>1</v>
          </cell>
          <cell r="H101" t="str">
            <v>cum</v>
          </cell>
          <cell r="I101">
            <v>330</v>
          </cell>
        </row>
        <row r="102">
          <cell r="B102">
            <v>518</v>
          </cell>
          <cell r="F102" t="str">
            <v>Lintels, Plinth Beams</v>
          </cell>
          <cell r="G102">
            <v>1</v>
          </cell>
          <cell r="H102" t="str">
            <v>cum</v>
          </cell>
          <cell r="I102">
            <v>450</v>
          </cell>
        </row>
        <row r="103">
          <cell r="B103">
            <v>519</v>
          </cell>
          <cell r="F103" t="str">
            <v>Slabs above 300 mm depth</v>
          </cell>
          <cell r="G103">
            <v>1</v>
          </cell>
          <cell r="H103" t="str">
            <v>cum</v>
          </cell>
          <cell r="I103">
            <v>520</v>
          </cell>
        </row>
        <row r="104">
          <cell r="B104">
            <v>521</v>
          </cell>
          <cell r="D104" t="str">
            <v>a</v>
          </cell>
          <cell r="F104" t="str">
            <v>For mass concrete Piers, Abutments and steining well curb well caps etc.,</v>
          </cell>
          <cell r="G104">
            <v>1</v>
          </cell>
          <cell r="H104" t="str">
            <v>cum</v>
          </cell>
          <cell r="I104">
            <v>380</v>
          </cell>
        </row>
        <row r="105">
          <cell r="B105">
            <v>522</v>
          </cell>
          <cell r="F105" t="str">
            <v>For RCC Piers, Abutments, Wings, Well steining weel curbs, well Caps etc.,</v>
          </cell>
          <cell r="G105">
            <v>1</v>
          </cell>
          <cell r="H105" t="str">
            <v>cum</v>
          </cell>
          <cell r="I105">
            <v>500</v>
          </cell>
        </row>
        <row r="106">
          <cell r="B106">
            <v>523</v>
          </cell>
          <cell r="F106" t="str">
            <v>For RCC Deck Slabs</v>
          </cell>
          <cell r="G106">
            <v>1</v>
          </cell>
          <cell r="H106" t="str">
            <v>cum</v>
          </cell>
          <cell r="I106">
            <v>950</v>
          </cell>
        </row>
        <row r="107">
          <cell r="B107">
            <v>524</v>
          </cell>
          <cell r="F107" t="str">
            <v>For RCC beams</v>
          </cell>
          <cell r="G107">
            <v>1</v>
          </cell>
          <cell r="H107" t="str">
            <v>cum</v>
          </cell>
          <cell r="I107">
            <v>1150</v>
          </cell>
        </row>
        <row r="108">
          <cell r="B108">
            <v>525</v>
          </cell>
          <cell r="F108" t="str">
            <v>RCC hand rails</v>
          </cell>
          <cell r="G108">
            <v>1</v>
          </cell>
          <cell r="H108" t="str">
            <v>cum</v>
          </cell>
          <cell r="I108">
            <v>1250</v>
          </cell>
        </row>
        <row r="109">
          <cell r="B109">
            <v>526</v>
          </cell>
          <cell r="F109" t="str">
            <v>CC pavements, Wearing Coats, approach slabs guide stone JM stone etc.</v>
          </cell>
          <cell r="G109">
            <v>1</v>
          </cell>
          <cell r="H109" t="str">
            <v>cum</v>
          </cell>
          <cell r="I109">
            <v>95</v>
          </cell>
        </row>
        <row r="110">
          <cell r="B110">
            <v>555</v>
          </cell>
          <cell r="D110" t="str">
            <v>a</v>
          </cell>
          <cell r="F110" t="str">
            <v>250 mm dia</v>
          </cell>
          <cell r="G110">
            <v>1</v>
          </cell>
          <cell r="H110" t="str">
            <v>rmt</v>
          </cell>
          <cell r="I110">
            <v>8</v>
          </cell>
        </row>
        <row r="111">
          <cell r="B111">
            <v>556</v>
          </cell>
          <cell r="D111" t="str">
            <v>b</v>
          </cell>
          <cell r="F111" t="str">
            <v>300 mm dia</v>
          </cell>
          <cell r="G111">
            <v>1</v>
          </cell>
          <cell r="H111" t="str">
            <v>rmt</v>
          </cell>
          <cell r="I111">
            <v>11</v>
          </cell>
        </row>
        <row r="112">
          <cell r="B112">
            <v>557</v>
          </cell>
          <cell r="D112" t="str">
            <v>c</v>
          </cell>
          <cell r="F112" t="str">
            <v>450 mm dia</v>
          </cell>
          <cell r="G112">
            <v>1</v>
          </cell>
          <cell r="H112" t="str">
            <v>rmt</v>
          </cell>
          <cell r="I112">
            <v>15</v>
          </cell>
        </row>
        <row r="113">
          <cell r="B113">
            <v>558</v>
          </cell>
          <cell r="D113" t="str">
            <v>d</v>
          </cell>
          <cell r="F113" t="str">
            <v>600 mm dia</v>
          </cell>
          <cell r="G113">
            <v>1</v>
          </cell>
          <cell r="H113" t="str">
            <v>rmt</v>
          </cell>
          <cell r="I113">
            <v>25</v>
          </cell>
        </row>
        <row r="114">
          <cell r="B114">
            <v>559</v>
          </cell>
          <cell r="D114" t="str">
            <v>e</v>
          </cell>
          <cell r="F114" t="str">
            <v>750 mm dia</v>
          </cell>
          <cell r="G114">
            <v>1</v>
          </cell>
          <cell r="H114" t="str">
            <v>rmt</v>
          </cell>
          <cell r="I114">
            <v>30</v>
          </cell>
        </row>
        <row r="115">
          <cell r="B115">
            <v>560</v>
          </cell>
          <cell r="D115" t="str">
            <v>f</v>
          </cell>
          <cell r="F115" t="str">
            <v>800 mm dia</v>
          </cell>
          <cell r="G115">
            <v>1</v>
          </cell>
          <cell r="H115" t="str">
            <v>rmt</v>
          </cell>
          <cell r="I115">
            <v>35</v>
          </cell>
        </row>
        <row r="116">
          <cell r="B116">
            <v>561</v>
          </cell>
          <cell r="D116" t="str">
            <v>g</v>
          </cell>
          <cell r="F116" t="str">
            <v>1000 mm dia</v>
          </cell>
          <cell r="G116">
            <v>1</v>
          </cell>
          <cell r="H116" t="str">
            <v>rmt</v>
          </cell>
          <cell r="I116">
            <v>40</v>
          </cell>
        </row>
        <row r="117">
          <cell r="B117">
            <v>562</v>
          </cell>
          <cell r="D117" t="str">
            <v>h</v>
          </cell>
          <cell r="F117" t="str">
            <v>1220 mm dia</v>
          </cell>
          <cell r="G117">
            <v>1</v>
          </cell>
          <cell r="H117" t="str">
            <v>rmt</v>
          </cell>
          <cell r="I117">
            <v>50</v>
          </cell>
        </row>
        <row r="118">
          <cell r="B118">
            <v>563</v>
          </cell>
          <cell r="D118" t="str">
            <v>a</v>
          </cell>
          <cell r="F118" t="str">
            <v>40 mm</v>
          </cell>
          <cell r="G118">
            <v>1</v>
          </cell>
          <cell r="H118" t="str">
            <v>sqm</v>
          </cell>
          <cell r="I118">
            <v>29</v>
          </cell>
        </row>
        <row r="119">
          <cell r="B119">
            <v>564</v>
          </cell>
          <cell r="D119" t="str">
            <v>b</v>
          </cell>
          <cell r="F119" t="str">
            <v>50 mm</v>
          </cell>
          <cell r="G119">
            <v>1</v>
          </cell>
          <cell r="H119" t="str">
            <v>sqm</v>
          </cell>
          <cell r="I119">
            <v>31</v>
          </cell>
        </row>
        <row r="120">
          <cell r="B120">
            <v>565</v>
          </cell>
          <cell r="D120" t="str">
            <v>c</v>
          </cell>
          <cell r="F120" t="str">
            <v>75 mm</v>
          </cell>
          <cell r="G120">
            <v>1</v>
          </cell>
          <cell r="H120" t="str">
            <v>sqm</v>
          </cell>
          <cell r="I120">
            <v>34</v>
          </cell>
        </row>
        <row r="121">
          <cell r="B121">
            <v>566</v>
          </cell>
          <cell r="D121" t="str">
            <v>d</v>
          </cell>
          <cell r="F121" t="str">
            <v>100 mm</v>
          </cell>
          <cell r="G121">
            <v>1</v>
          </cell>
          <cell r="H121" t="str">
            <v>sqm</v>
          </cell>
          <cell r="I121">
            <v>36</v>
          </cell>
        </row>
        <row r="122">
          <cell r="B122">
            <v>570</v>
          </cell>
          <cell r="C122">
            <v>52</v>
          </cell>
          <cell r="F122" t="str">
            <v>Picking 50mm to 100mm old metalled surface and sectioning</v>
          </cell>
          <cell r="G122">
            <v>10</v>
          </cell>
          <cell r="H122" t="str">
            <v>sqm</v>
          </cell>
          <cell r="I122">
            <v>10</v>
          </cell>
        </row>
        <row r="123">
          <cell r="B123">
            <v>571</v>
          </cell>
          <cell r="C123">
            <v>53</v>
          </cell>
          <cell r="F123" t="str">
            <v>Picking gravelled surface 25mm deep and levelling and sectioning</v>
          </cell>
          <cell r="G123">
            <v>10</v>
          </cell>
          <cell r="H123" t="str">
            <v>sqm</v>
          </cell>
          <cell r="I123">
            <v>2.5</v>
          </cell>
        </row>
        <row r="124">
          <cell r="B124">
            <v>572</v>
          </cell>
          <cell r="C124">
            <v>54</v>
          </cell>
          <cell r="F124" t="str">
            <v>Picking existing BT survace and removal of chips</v>
          </cell>
          <cell r="G124">
            <v>10</v>
          </cell>
          <cell r="H124" t="str">
            <v>sqm</v>
          </cell>
          <cell r="I124">
            <v>9.5</v>
          </cell>
        </row>
      </sheetData>
      <sheetData sheetId="11"/>
      <sheetData sheetId="12" refreshError="1"/>
      <sheetData sheetId="13" refreshError="1"/>
    </sheetDataSet>
  </externalBook>
</externalLink>
</file>

<file path=xl/externalLinks/externalLink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impRoaddam"/>
      <sheetName val="rdamdata"/>
      <sheetName val="CDdata (2)"/>
      <sheetName val="1v600stone"/>
      <sheetName val="2v900stone"/>
      <sheetName val="3v900stone"/>
      <sheetName val="CDdata"/>
      <sheetName val="F7hp600"/>
      <sheetName val="1v900"/>
      <sheetName val="cwaydata (2)"/>
      <sheetName val="LLCWay"/>
      <sheetName val="1v900stone"/>
      <sheetName val="lead-st"/>
      <sheetName val="CDdata (3)"/>
      <sheetName val="F7hp1v900"/>
      <sheetName val="F7hp2v900"/>
      <sheetName val="F7hp3v900"/>
      <sheetName val="Hydra"/>
    </sheetNames>
    <sheetDataSet>
      <sheetData sheetId="0"/>
      <sheetData sheetId="1" refreshError="1">
        <row r="6">
          <cell r="J6">
            <v>336.1</v>
          </cell>
        </row>
        <row r="7">
          <cell r="J7">
            <v>640.6</v>
          </cell>
        </row>
        <row r="8">
          <cell r="J8">
            <v>528.1</v>
          </cell>
        </row>
        <row r="9">
          <cell r="J9">
            <v>181.1</v>
          </cell>
        </row>
        <row r="10">
          <cell r="J10">
            <v>226.1</v>
          </cell>
        </row>
        <row r="11">
          <cell r="J11">
            <v>90.1</v>
          </cell>
        </row>
        <row r="12">
          <cell r="J12">
            <v>94.4</v>
          </cell>
        </row>
      </sheetData>
      <sheetData sheetId="2"/>
      <sheetData sheetId="3"/>
      <sheetData sheetId="4"/>
      <sheetData sheetId="5"/>
      <sheetData sheetId="6"/>
      <sheetData sheetId="7"/>
      <sheetData sheetId="8"/>
      <sheetData sheetId="9"/>
      <sheetData sheetId="10"/>
      <sheetData sheetId="11"/>
      <sheetData sheetId="12" refreshError="1">
        <row r="7">
          <cell r="L7">
            <v>470</v>
          </cell>
        </row>
        <row r="8">
          <cell r="L8">
            <v>774.5</v>
          </cell>
        </row>
        <row r="9">
          <cell r="L9">
            <v>662</v>
          </cell>
        </row>
        <row r="10">
          <cell r="L10">
            <v>252.79999999999998</v>
          </cell>
        </row>
        <row r="11">
          <cell r="L11">
            <v>315</v>
          </cell>
        </row>
        <row r="12">
          <cell r="L12">
            <v>360</v>
          </cell>
        </row>
        <row r="13">
          <cell r="L13">
            <v>162.1</v>
          </cell>
        </row>
      </sheetData>
      <sheetData sheetId="13"/>
      <sheetData sheetId="14"/>
      <sheetData sheetId="15"/>
      <sheetData sheetId="16"/>
      <sheetData sheetId="17"/>
    </sheetDataSet>
  </externalBook>
</externalLink>
</file>

<file path=xl/externalLinks/externalLink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ART-I (2)"/>
      <sheetName val="ANALY-BOQ"/>
      <sheetName val="ANALYS-LS"/>
      <sheetName val="BOQ"/>
      <sheetName val="PART-I"/>
      <sheetName val="I-11"/>
      <sheetName val="I-15"/>
      <sheetName val="sumps"/>
      <sheetName val="GATES(21,22)"/>
      <sheetName val="final abstract"/>
      <sheetName val="Bed Class"/>
      <sheetName val="Cd"/>
      <sheetName val="Rates"/>
      <sheetName val="PH data"/>
      <sheetName val="labour"/>
      <sheetName val="Details (3)"/>
      <sheetName val="Basement Budget"/>
      <sheetName val="RECAPITULATION"/>
      <sheetName val="Rate analysis"/>
      <sheetName val="Break up Sheet"/>
      <sheetName val="TBAL9697 -group wise  sdpl"/>
      <sheetName val="B &amp; C - M - ccp"/>
      <sheetName val="Fee Rate Summary"/>
      <sheetName val="Old"/>
      <sheetName val="Materials Cost"/>
      <sheetName val="10. &amp; 11. Rate Code &amp; BQ"/>
      <sheetName val="Main-Material"/>
      <sheetName val="COLUMN"/>
      <sheetName val="RES STEEL TO"/>
      <sheetName val="SUmmary-RMZ"/>
      <sheetName val="RMZ Summary"/>
      <sheetName val="sept-plan"/>
      <sheetName val="Site Dev BOQ"/>
      <sheetName val="Costing"/>
      <sheetName val="Staff Forecast spread"/>
      <sheetName val="Fin Sum"/>
      <sheetName val="Lead"/>
      <sheetName val="Estimate "/>
      <sheetName val="A"/>
      <sheetName val="Field Values"/>
      <sheetName val="Rates-May-14"/>
      <sheetName val="rdamdata"/>
      <sheetName val="HDPE"/>
      <sheetName val="Load Details(B1)"/>
      <sheetName val="RA-markate"/>
      <sheetName val="Structure Bills Qty"/>
      <sheetName val="Fill this out first..."/>
      <sheetName val="Micro"/>
      <sheetName val="Macro"/>
      <sheetName val="Scaff-Rose"/>
      <sheetName val="Builtup Area"/>
      <sheetName val="analysis"/>
      <sheetName val="Headings"/>
      <sheetName val="MASTER_RATE ANALYSIS"/>
      <sheetName val="cubes_M20"/>
      <sheetName val="Cop -VGN"/>
      <sheetName val="CASHFLOWS"/>
      <sheetName val="SUMMARY"/>
      <sheetName val="Sheet2"/>
      <sheetName val="dyes"/>
      <sheetName val="Sheet3"/>
      <sheetName val="UTILITY"/>
      <sheetName val="경비공통"/>
      <sheetName val="Input"/>
      <sheetName val="Activity"/>
      <sheetName val="Crew"/>
      <sheetName val="Piping"/>
      <sheetName val="Pipe Supports"/>
      <sheetName val="S1BOQ"/>
      <sheetName val="2gii"/>
      <sheetName val="Manpower"/>
      <sheetName val="HPL"/>
      <sheetName val="월선수금"/>
      <sheetName val="Materials "/>
      <sheetName val="strand"/>
      <sheetName val="BOQ_Direct_selling cost"/>
      <sheetName val="Stress Calculation"/>
      <sheetName val="VIWSCo1"/>
      <sheetName val="IO List"/>
      <sheetName val="MN T.B."/>
      <sheetName val="database"/>
      <sheetName val="Coalmine"/>
      <sheetName val="A1-Continuous"/>
      <sheetName val="starter"/>
      <sheetName val="Preside"/>
      <sheetName val="Summary_Local"/>
      <sheetName val="factor sheet"/>
      <sheetName val="RA"/>
      <sheetName val="Factor_Sheet"/>
      <sheetName val="Exp."/>
      <sheetName val="Factors"/>
      <sheetName val="INDIGINEOUS ITEMS "/>
      <sheetName val="BLK2"/>
      <sheetName val="BLK3"/>
      <sheetName val="E &amp; R"/>
      <sheetName val="radar"/>
      <sheetName val="UG"/>
      <sheetName val="Sheet1"/>
      <sheetName val="Usage"/>
      <sheetName val="Common "/>
      <sheetName val="General"/>
      <sheetName val="Config"/>
      <sheetName val="Break Dw"/>
      <sheetName val="THK"/>
      <sheetName val="Data"/>
      <sheetName val="Analy_7-10"/>
      <sheetName val="INDORAMA Group June 02"/>
      <sheetName val="SPT vs PHI"/>
      <sheetName val="Civil Boq"/>
      <sheetName val="Design"/>
      <sheetName val="Debits as on 12.04.08"/>
      <sheetName val="FitOutConfCentre"/>
      <sheetName val="DI"/>
      <sheetName val="pvc"/>
      <sheetName val="r"/>
      <sheetName val="BOQ (2)"/>
      <sheetName val="GBW"/>
      <sheetName val="WBS01"/>
      <sheetName val="WBS10"/>
      <sheetName val="WBS11"/>
      <sheetName val="WBS12"/>
      <sheetName val="WBS13"/>
      <sheetName val="WBS14"/>
      <sheetName val="WBS15"/>
      <sheetName val="WBS16"/>
      <sheetName val="WBS17"/>
      <sheetName val="WBS18"/>
      <sheetName val="WBS19"/>
      <sheetName val="WBS02"/>
      <sheetName val="WBS20"/>
      <sheetName val="WBS03"/>
      <sheetName val="WBS04"/>
      <sheetName val="WBS05"/>
      <sheetName val="WBS06"/>
      <sheetName val="WBS07"/>
      <sheetName val="WBS08"/>
      <sheetName val="WBS09"/>
      <sheetName val="MES-SEC"/>
      <sheetName val="PART-I_(2)"/>
      <sheetName val="final_abstract"/>
      <sheetName val="PA- Consutant "/>
      <sheetName val="Sheet3 (2)"/>
      <sheetName val="VCH-SLC"/>
      <sheetName val="Supplier"/>
      <sheetName val="INPUT-DATA1"/>
      <sheetName val="For Bill-04 PS"/>
      <sheetName val="대외공문"/>
      <sheetName val="Build-up"/>
      <sheetName val="FORM7"/>
      <sheetName val="RCC,Ret. Wall"/>
      <sheetName val="RA 4 Challan Summary "/>
      <sheetName val="p&amp;m"/>
      <sheetName val="Labour productivity"/>
      <sheetName val="labour coeff"/>
      <sheetName val="COST"/>
      <sheetName val="Formulas"/>
      <sheetName val="Desgn(zone I)"/>
      <sheetName val="M B-QtyRecn"/>
      <sheetName val="Sqn _Main_ Abs"/>
      <sheetName val="Quotation"/>
      <sheetName val="ORDER BOOKING"/>
      <sheetName val="Mat.Cost"/>
      <sheetName val="Staff Acco."/>
      <sheetName val="Section Catalogue"/>
      <sheetName val="#REF!"/>
      <sheetName val="lookup"/>
      <sheetName val="Approved MTD Proj #'s"/>
      <sheetName val="col-reinft1"/>
      <sheetName val="Basement_Budget"/>
      <sheetName val="Rate_analysis"/>
      <sheetName val="Break_up_Sheet"/>
      <sheetName val="B_&amp;_C_-_M_-_ccp"/>
      <sheetName val="Fee_Rate_Summary"/>
      <sheetName val="Materials_Cost"/>
      <sheetName val="10__&amp;_11__Rate_Code_&amp;_BQ"/>
      <sheetName val="RES_STEEL_TO"/>
      <sheetName val="RMZ_Summary"/>
      <sheetName val="Fill_this_out_first___"/>
      <sheetName val="Cop_-VGN"/>
      <sheetName val="Field_Values"/>
      <sheetName val="Fin_Sum"/>
      <sheetName val="Materials_"/>
      <sheetName val="Structure_Bills_Qty"/>
      <sheetName val="Builtup_Area"/>
      <sheetName val="MASTER_RATE_ANALYSIS"/>
      <sheetName val="SPT_vs_PHI"/>
      <sheetName val="Delhi"/>
      <sheetName val="Measurements"/>
      <sheetName val="Tables"/>
      <sheetName val="Flooring"/>
      <sheetName val="Ceilings"/>
      <sheetName val="ACAD Finishes"/>
      <sheetName val="Site Details"/>
      <sheetName val="Chair"/>
      <sheetName val="Site Area Statement"/>
      <sheetName val="Doors"/>
      <sheetName val="Estimate"/>
      <sheetName val="Interior"/>
      <sheetName val="parametry"/>
      <sheetName val="VARIABLE"/>
      <sheetName val="#REF"/>
      <sheetName val="目录"/>
      <sheetName val="beam-reinft-IIInd floor"/>
      <sheetName val="BOQ civil"/>
      <sheetName val="v"/>
      <sheetName val="RES-PLANNING"/>
      <sheetName val="Site_Dev_BOQ"/>
      <sheetName val="Staff_Forecast_spread"/>
      <sheetName val="INDORAMA_Group_June_02"/>
      <sheetName val="Pipe_Supports"/>
      <sheetName val="RCC,Ret__Wall"/>
      <sheetName val="RA_4_Challan_Summary_"/>
      <sheetName val="Labour_productivity"/>
      <sheetName val="labour_coeff"/>
      <sheetName val="PART-I_(2)1"/>
      <sheetName val="final_abstract1"/>
      <sheetName val="Fee_Rate_Summary1"/>
      <sheetName val="Basement_Budget1"/>
      <sheetName val="Rate_analysis1"/>
      <sheetName val="Materials_Cost1"/>
      <sheetName val="Break_up_Sheet1"/>
      <sheetName val="RES_STEEL_TO1"/>
      <sheetName val="10__&amp;_11__Rate_Code_&amp;_BQ1"/>
      <sheetName val="B_&amp;_C_-_M_-_ccp1"/>
      <sheetName val="RMZ_Summary1"/>
      <sheetName val="Fin_Sum1"/>
      <sheetName val="Fill_this_out_first___1"/>
      <sheetName val="Site_Dev_BOQ1"/>
      <sheetName val="Staff_Forecast_spread1"/>
      <sheetName val="Field_Values1"/>
      <sheetName val="INDORAMA_Group_June_021"/>
      <sheetName val="Pipe_Supports1"/>
      <sheetName val="RCC,Ret__Wall1"/>
      <sheetName val="RA_4_Challan_Summary_1"/>
      <sheetName val="Labour_productivity1"/>
      <sheetName val="labour_coeff1"/>
      <sheetName val="BOQ_Direct_selling_cost"/>
      <sheetName val="Stress_Calculation"/>
      <sheetName val="IO_List"/>
      <sheetName val="MN_T_B_"/>
      <sheetName val="Exp_"/>
      <sheetName val="INDIGINEOUS_ITEMS_"/>
      <sheetName val="E_&amp;_R"/>
      <sheetName val="Civil_Boq"/>
      <sheetName val="CABLE DATA"/>
      <sheetName val="gen"/>
      <sheetName val="Lowside"/>
      <sheetName val="Material "/>
      <sheetName val="std.wt."/>
      <sheetName val="BOQ-Tower"/>
      <sheetName val="PACK (B)"/>
      <sheetName val="TBAL9697_-group_wise__sdpl"/>
      <sheetName val="Break_Dw"/>
      <sheetName val="Load_Details(B1)"/>
      <sheetName val="PA-_Consutant_"/>
      <sheetName val="Debits_as_on_12_04_08"/>
      <sheetName val="Desgn(zone_I)"/>
      <sheetName val="Bed_Class"/>
      <sheetName val="PART-I_(2)2"/>
      <sheetName val="final_abstract2"/>
      <sheetName val="Structure_Bills_Qty1"/>
      <sheetName val="Builtup_Area1"/>
      <sheetName val="MASTER_RATE_ANALYSIS1"/>
      <sheetName val="Cop_-VGN1"/>
      <sheetName val="Materials_1"/>
      <sheetName val="MN_T_B_1"/>
      <sheetName val="BOQ_Direct_selling_cost1"/>
      <sheetName val="Stress_Calculation1"/>
      <sheetName val="IO_List1"/>
      <sheetName val="E_&amp;_R1"/>
      <sheetName val="Exp_1"/>
      <sheetName val="INDIGINEOUS_ITEMS_1"/>
      <sheetName val="TBAL9697_-group_wise__sdpl1"/>
      <sheetName val="Break_Dw1"/>
      <sheetName val="Load_Details(B1)1"/>
      <sheetName val="SPT_vs_PHI1"/>
      <sheetName val="Civil_Boq1"/>
      <sheetName val="PA-_Consutant_1"/>
      <sheetName val="Debits_as_on_12_04_081"/>
      <sheetName val="Desgn(zone_I)1"/>
      <sheetName val="Bed_Class1"/>
      <sheetName val="PART-I_(2)3"/>
      <sheetName val="final_abstract3"/>
      <sheetName val="Fee_Rate_Summary2"/>
      <sheetName val="Basement_Budget2"/>
      <sheetName val="Rate_analysis2"/>
      <sheetName val="Materials_Cost2"/>
      <sheetName val="10__&amp;_11__Rate_Code_&amp;_BQ2"/>
      <sheetName val="Break_up_Sheet2"/>
      <sheetName val="B_&amp;_C_-_M_-_ccp2"/>
      <sheetName val="RES_STEEL_TO2"/>
      <sheetName val="RMZ_Summary2"/>
      <sheetName val="Pipe_Supports2"/>
      <sheetName val="Field_Values2"/>
      <sheetName val="Fin_Sum2"/>
      <sheetName val="Fill_this_out_first___2"/>
      <sheetName val="Site_Dev_BOQ2"/>
      <sheetName val="Staff_Forecast_spread2"/>
      <sheetName val="Structure_Bills_Qty2"/>
      <sheetName val="Builtup_Area2"/>
      <sheetName val="MASTER_RATE_ANALYSIS2"/>
      <sheetName val="Cop_-VGN2"/>
      <sheetName val="Materials_2"/>
      <sheetName val="MN_T_B_2"/>
      <sheetName val="BOQ_Direct_selling_cost2"/>
      <sheetName val="Stress_Calculation2"/>
      <sheetName val="IO_List2"/>
      <sheetName val="E_&amp;_R2"/>
      <sheetName val="factor_sheet1"/>
      <sheetName val="Exp_2"/>
      <sheetName val="INDIGINEOUS_ITEMS_2"/>
      <sheetName val="TBAL9697_-group_wise__sdpl2"/>
      <sheetName val="Break_Dw2"/>
      <sheetName val="Load_Details(B1)2"/>
      <sheetName val="SPT_vs_PHI2"/>
      <sheetName val="Civil_Boq2"/>
      <sheetName val="PA-_Consutant_2"/>
      <sheetName val="Debits_as_on_12_04_082"/>
      <sheetName val="INDORAMA_Group_June_022"/>
      <sheetName val="Desgn(zone_I)2"/>
      <sheetName val="Bed_Class2"/>
      <sheetName val="Voucher"/>
      <sheetName val="jobhist"/>
      <sheetName val="Aseet1998"/>
      <sheetName val="PART-I_(2)4"/>
      <sheetName val="final_abstract4"/>
      <sheetName val="Fee_Rate_Summary3"/>
      <sheetName val="Basement_Budget3"/>
      <sheetName val="Rate_analysis3"/>
      <sheetName val="Materials_Cost3"/>
      <sheetName val="10__&amp;_11__Rate_Code_&amp;_BQ3"/>
      <sheetName val="Break_up_Sheet3"/>
      <sheetName val="B_&amp;_C_-_M_-_ccp3"/>
      <sheetName val="RES_STEEL_TO3"/>
      <sheetName val="RMZ_Summary3"/>
      <sheetName val="Pipe_Supports3"/>
      <sheetName val="Field_Values3"/>
      <sheetName val="Fin_Sum3"/>
      <sheetName val="Fill_this_out_first___3"/>
      <sheetName val="Site_Dev_BOQ3"/>
      <sheetName val="Staff_Forecast_spread3"/>
      <sheetName val="Structure_Bills_Qty3"/>
      <sheetName val="Builtup_Area3"/>
      <sheetName val="MASTER_RATE_ANALYSIS3"/>
      <sheetName val="Cop_-VGN3"/>
      <sheetName val="Materials_3"/>
      <sheetName val="MN_T_B_3"/>
      <sheetName val="BOQ_Direct_selling_cost3"/>
      <sheetName val="Stress_Calculation3"/>
      <sheetName val="IO_List3"/>
      <sheetName val="E_&amp;_R3"/>
      <sheetName val="Exp_3"/>
      <sheetName val="INDIGINEOUS_ITEMS_3"/>
      <sheetName val="TBAL9697_-group_wise__sdpl3"/>
      <sheetName val="Break_Dw3"/>
      <sheetName val="Load_Details(B1)3"/>
      <sheetName val="SPT_vs_PHI3"/>
      <sheetName val="Civil_Boq3"/>
      <sheetName val="PA-_Consutant_3"/>
      <sheetName val="Debits_as_on_12_04_083"/>
      <sheetName val="INDORAMA_Group_June_023"/>
      <sheetName val="Desgn(zone_I)3"/>
      <sheetName val="Bed_Class3"/>
      <sheetName val="M_B-QtyRecn"/>
      <sheetName val="PART-I_(2)5"/>
      <sheetName val="final_abstract5"/>
      <sheetName val="Fee_Rate_Summary4"/>
      <sheetName val="Basement_Budget4"/>
      <sheetName val="Rate_analysis4"/>
      <sheetName val="Materials_Cost4"/>
      <sheetName val="10__&amp;_11__Rate_Code_&amp;_BQ4"/>
      <sheetName val="Break_up_Sheet4"/>
      <sheetName val="B_&amp;_C_-_M_-_ccp4"/>
      <sheetName val="RES_STEEL_TO4"/>
      <sheetName val="RMZ_Summary4"/>
      <sheetName val="Pipe_Supports4"/>
      <sheetName val="Field_Values4"/>
      <sheetName val="Fin_Sum4"/>
      <sheetName val="Fill_this_out_first___4"/>
      <sheetName val="Site_Dev_BOQ4"/>
      <sheetName val="Staff_Forecast_spread4"/>
      <sheetName val="Structure_Bills_Qty4"/>
      <sheetName val="Builtup_Area4"/>
      <sheetName val="MASTER_RATE_ANALYSIS4"/>
      <sheetName val="Cop_-VGN4"/>
      <sheetName val="Materials_4"/>
      <sheetName val="MN_T_B_4"/>
      <sheetName val="BOQ_Direct_selling_cost4"/>
      <sheetName val="Stress_Calculation4"/>
      <sheetName val="IO_List4"/>
      <sheetName val="E_&amp;_R4"/>
      <sheetName val="factor_sheet2"/>
      <sheetName val="Exp_4"/>
      <sheetName val="INDIGINEOUS_ITEMS_4"/>
      <sheetName val="TBAL9697_-group_wise__sdpl4"/>
      <sheetName val="Break_Dw4"/>
      <sheetName val="Load_Details(B1)4"/>
      <sheetName val="SPT_vs_PHI4"/>
      <sheetName val="Civil_Boq4"/>
      <sheetName val="PA-_Consutant_4"/>
      <sheetName val="Debits_as_on_12_04_084"/>
      <sheetName val="INDORAMA_Group_June_024"/>
      <sheetName val="Desgn(zone_I)4"/>
      <sheetName val="Bed_Class4"/>
      <sheetName val="M_B-QtyRecn1"/>
      <sheetName val="det_est"/>
      <sheetName val="GR.slab-reinft"/>
      <sheetName val="SCHEDULE"/>
      <sheetName val="M-Book for Conc"/>
      <sheetName val="M-Book for FW"/>
      <sheetName val="Lead statement"/>
      <sheetName val="PRECAST lightconc-II"/>
      <sheetName val="선수금"/>
      <sheetName val="Code"/>
      <sheetName val="Set"/>
      <sheetName val="Summary_Bank"/>
      <sheetName val="Staircase "/>
      <sheetName val="concrete"/>
      <sheetName val="NLD - Assum"/>
      <sheetName val="Capex-fixed"/>
      <sheetName val="schedule nos"/>
      <sheetName val="CPIPE"/>
      <sheetName val="bill 2"/>
      <sheetName val="office"/>
      <sheetName val="Lab"/>
      <sheetName val="Material&amp;equipment"/>
      <sheetName val="purpose&amp;input"/>
      <sheetName val="INPUT SHEET"/>
      <sheetName val="Register"/>
      <sheetName val="Cable-data"/>
      <sheetName val="Labour &amp; Plant"/>
      <sheetName val="Flight-1"/>
      <sheetName val="Data.F8.BTR"/>
      <sheetName val="ssr-rates"/>
      <sheetName val="leads"/>
      <sheetName val="DATA-2005-06"/>
      <sheetName val="BOM"/>
      <sheetName val="Price Schedule"/>
      <sheetName val="Mat_Cost"/>
      <sheetName val="Cost_Any."/>
      <sheetName val="Ratio"/>
      <sheetName val="S &amp; A"/>
      <sheetName val="Mat_Cost1"/>
      <sheetName val="Price_Schedule"/>
      <sheetName val="S_&amp;_A"/>
      <sheetName val="Cost_Any_"/>
      <sheetName val="PointNo.5"/>
      <sheetName val="Mat_Cost2"/>
      <sheetName val="Price_Schedule1"/>
      <sheetName val="S_&amp;_A1"/>
      <sheetName val="Cost_Any_1"/>
      <sheetName val="Cost_any"/>
      <sheetName val="d-safe specs"/>
      <sheetName val="d-safe DELUXE"/>
      <sheetName val="Diawise steel abstract"/>
      <sheetName val="SUMMARY-client"/>
      <sheetName val="Rising Main"/>
      <sheetName val="LTG-STG"/>
      <sheetName val="CCTV_EST1"/>
      <sheetName val="SOR"/>
      <sheetName val="train cash"/>
      <sheetName val="accom cash"/>
      <sheetName val="Column Steel-R2"/>
      <sheetName val="beam-reinft-machine rm"/>
      <sheetName val="QS Name"/>
      <sheetName val="CANDY BOQ"/>
      <sheetName val="BOQ_(2)"/>
      <sheetName val="ACAD_Finishes"/>
      <sheetName val="Site_Details"/>
      <sheetName val="Site_Area_Statement"/>
      <sheetName val="hdpe_basic"/>
      <sheetName val="pvc_basic"/>
      <sheetName val="Estimate 10.00 Lakhs "/>
      <sheetName val="mlead"/>
      <sheetName val="abs road"/>
      <sheetName val="coverpage"/>
      <sheetName val="RMR"/>
      <sheetName val="Road data"/>
      <sheetName val="R_Det"/>
      <sheetName val="DATA_PRG"/>
      <sheetName val="Ellis &amp; WS&amp;S"/>
      <sheetName val="Drip mould &amp; Elevation"/>
      <sheetName val="Trussess"/>
      <sheetName val="Hire"/>
      <sheetName val="MRATES"/>
      <sheetName val="wh_data_R"/>
      <sheetName val="Amendments"/>
      <sheetName val="Bld.SSR"/>
      <sheetName val="SSR -Sani "/>
      <sheetName val="Elec.SSR"/>
      <sheetName val="Irri-SSR"/>
      <sheetName val="PH- SSR"/>
      <sheetName val="R &amp; B.SSR"/>
      <sheetName val="RCC Pipes"/>
      <sheetName val="PH-HDPE"/>
      <sheetName val="PH-PVC"/>
      <sheetName val="DI-Pipes &amp; Spe"/>
      <sheetName val="CI.Spe"/>
      <sheetName val="DI-Valves"/>
      <sheetName val="CI-Valves"/>
      <sheetName val="Bolts&amp; rings"/>
      <sheetName val="MH-Covers"/>
      <sheetName val="Notes"/>
      <sheetName val="Dist.Lines-150-old"/>
      <sheetName val="NW-GA"/>
      <sheetName val="GA-GVMC -NW(Com) "/>
      <sheetName val="GA-GVMC -NW "/>
      <sheetName val="Dist.Lines-100"/>
      <sheetName val="Dist-Lines -500"/>
      <sheetName val="Dist-Lines"/>
      <sheetName val="Dist.Lines-150"/>
      <sheetName val="GA-GVMC -NW  (2)"/>
      <sheetName val="GA-GVMC -NW. "/>
      <sheetName val="Dist-Lines B-1 "/>
      <sheetName val="Dist-Lines-Final checked"/>
      <sheetName val="Pumping mains-"/>
      <sheetName val="Feeder main-old"/>
      <sheetName val="Dist-Lines -B-2"/>
      <sheetName val="Dist-Lines -B-3"/>
      <sheetName val="Dist-Lines B-4"/>
      <sheetName val="Dist-Lines B-5"/>
      <sheetName val="Dist-Lines -B-6"/>
      <sheetName val="Dist-Lines -B-7"/>
      <sheetName val="Dist-Lines -B-8"/>
      <sheetName val="Dist-Lines -B-9"/>
      <sheetName val="Dist-Lines -B-10"/>
      <sheetName val="Dist-Lines -B-11"/>
      <sheetName val="Dist-Lines -B-12"/>
      <sheetName val="Dist-Lines -B-13"/>
      <sheetName val="Dist-Lines -B-14"/>
      <sheetName val="Dist-Lines -B-15"/>
      <sheetName val="Dist-Lines -B-16"/>
      <sheetName val="Feeder mains- 1"/>
      <sheetName val="Feeder mains- 2"/>
      <sheetName val="Feeder mains- (1)"/>
      <sheetName val="Feeder mains-up to 800"/>
      <sheetName val="Pumping Main-800mm"/>
      <sheetName val="ELSR-600 KL-Z-2"/>
      <sheetName val="750 KL GLSR-Z-3"/>
      <sheetName val="ELSR-750 KL-Z-3"/>
      <sheetName val="ELSR-500 KL-Z-4"/>
      <sheetName val="500 KL GLSR-Z-4"/>
      <sheetName val="ELSR-200KL-Z-7"/>
      <sheetName val="ELSR-1850 KL-Z-8"/>
      <sheetName val="1850 KL GLSR-Z-8"/>
      <sheetName val="ELSR-200KL-Z-9"/>
      <sheetName val="800 KL GLSR-Z-11"/>
      <sheetName val="900 KL GLSR-Z-12"/>
      <sheetName val="ELSR-2500 KL-Z-13"/>
      <sheetName val="lead-st"/>
      <sheetName val="BS"/>
      <sheetName val="Capex"/>
      <sheetName val="SSR 2014-15 Rates"/>
      <sheetName val="ELSR-2400 KL-Z-14"/>
      <sheetName val="ELSR-1200 KL-Z-15"/>
      <sheetName val="ELSR-2000 KL-Z-16"/>
      <sheetName val="Pumping Main-500mm-(2)"/>
      <sheetName val="Pumping Main-450mm-(3)"/>
      <sheetName val="Pumping Main-(4)"/>
      <sheetName val="350 KL GLSR"/>
      <sheetName val="1000 KL Sump-"/>
      <sheetName val="1000 KL MBR"/>
      <sheetName val="MBR-1000 KL"/>
      <sheetName val="Pump room-12x8"/>
      <sheetName val="HSC"/>
      <sheetName val="B.F.Meters"/>
      <sheetName val="Pump sets"/>
      <sheetName val="Pump sets (2)"/>
      <sheetName val="Gen sets"/>
      <sheetName val="PR Valves"/>
      <sheetName val="W.man.Qrt-"/>
      <sheetName val="O &amp;M"/>
      <sheetName val="Generator Room-1"/>
      <sheetName val="200 KL GLSR-6 (2)"/>
      <sheetName val="500 KL Sump-(1)"/>
      <sheetName val="250 KL Sump-(3)"/>
      <sheetName val="Office - MBR"/>
      <sheetName val="HSC (2)"/>
      <sheetName val="O&amp;M"/>
      <sheetName val="Gen sets (2)"/>
      <sheetName val="Transfarmer"/>
      <sheetName val="C-Mat-Gen"/>
      <sheetName val="Convey"/>
      <sheetName val="Sheet1 (2)"/>
      <sheetName val="Mortars,"/>
      <sheetName val="Cent'g-1"/>
      <sheetName val="Cent'g-2"/>
      <sheetName val="Loading"/>
      <sheetName val="Dismantling"/>
      <sheetName val="DI pipes"/>
      <sheetName val="DI-Spe-1"/>
      <sheetName val="Wt.of DI Spe."/>
      <sheetName val="HDPE pipes"/>
      <sheetName val="HDPE-Spe"/>
      <sheetName val="RCC-PE"/>
      <sheetName val="RCC SS"/>
      <sheetName val="CI Spe."/>
      <sheetName val="PVC-WS"/>
      <sheetName val="ELSR-2"/>
      <sheetName val="data-ELSR "/>
      <sheetName val="Lowering"/>
      <sheetName val="data-Water Supply"/>
      <sheetName val="Sump &amp; ST"/>
      <sheetName val="Chamber-1"/>
      <sheetName val="Bld.Stnd,Data"/>
      <sheetName val="Bld up to 3F"/>
      <sheetName val="CC road"/>
      <sheetName val="EWE-Roads"/>
      <sheetName val="Dist Lines"/>
      <sheetName val="Feeder mains-2"/>
      <sheetName val="Gravity Main-900mm"/>
      <sheetName val="550 KL Sump-1"/>
      <sheetName val="550 KL Sump-2"/>
      <sheetName val="ELSR-1200 KL"/>
      <sheetName val="650 KL GLSR (2)"/>
      <sheetName val="850 KL GLSR "/>
      <sheetName val="500 KL sump"/>
      <sheetName val="200 KL- ELSR Yelluru"/>
      <sheetName val="Dist-Zone-below 50000"/>
      <sheetName val="Data -O&amp;M"/>
      <sheetName val="Lengths-Tandur"/>
      <sheetName val="Bld-Total"/>
      <sheetName val="Pumping main-350mm"/>
      <sheetName val="Details"/>
      <sheetName val="Dist-est"/>
      <sheetName val="info-1"/>
      <sheetName val="Inf.Well"/>
      <sheetName val="Approah road to MBR"/>
      <sheetName val="Approach Roads-Source"/>
      <sheetName val="Dist-Zone-1"/>
      <sheetName val="400mm-P.Main"/>
      <sheetName val="Rates-ELSR,Filters"/>
      <sheetName val="13 Mld-WTP"/>
      <sheetName val="data-Intake well"/>
      <sheetName val="data-ELSR-"/>
      <sheetName val="Valves"/>
      <sheetName val="Model GLSR-"/>
      <sheetName val="Feeder main-1 (2)"/>
      <sheetName val="Dist &amp; Feeder mains  (2)"/>
      <sheetName val="BFlow meters"/>
      <sheetName val="DI-100-900"/>
      <sheetName val="O Nd M"/>
      <sheetName val="Pump room-6.59x6.00m"/>
      <sheetName val="data-MS-pipe"/>
      <sheetName val="GA-GVMC -Raiwada-BWSC"/>
      <sheetName val="BWSC-Pumping Main-1200mm"/>
      <sheetName val="GA-GVMC -Raiwada"/>
      <sheetName val="MS-Pumping Main-1300mm"/>
      <sheetName val="Thurst-F.mains"/>
      <sheetName val="Thrust-P.mains"/>
      <sheetName val="CI weights"/>
      <sheetName val="PH-BWSC"/>
      <sheetName val="BWSC-Rate"/>
      <sheetName val="BWSC-Cal"/>
      <sheetName val="C-data"/>
      <sheetName val="maya"/>
      <sheetName val="CIV INV&amp;EXP"/>
      <sheetName val="not req 3"/>
      <sheetName val="220Kv (2)"/>
      <sheetName val="COMPLEXALL"/>
      <sheetName val="Road Furniture-Data"/>
      <sheetName val="Data Road Rev"/>
      <sheetName val="Data New Tech"/>
      <sheetName val="furniture"/>
      <sheetName val="Works - Quote Sheet"/>
      <sheetName val="Balustrade"/>
      <sheetName val="CFForecast detail"/>
      <sheetName val="협조전"/>
      <sheetName val="Form 6"/>
      <sheetName val="Model (Not Merged)"/>
      <sheetName val="Meas.-Hotel Part"/>
      <sheetName val="Pay_Sep06"/>
      <sheetName val="PriceSummary"/>
      <sheetName val="IS"/>
      <sheetName val="Vind - BtB"/>
      <sheetName val="Detail"/>
      <sheetName val="B1"/>
      <sheetName val="Tender Summary"/>
      <sheetName val="Version"/>
      <sheetName val="newsales"/>
      <sheetName val="B3-B4-B5-B6"/>
      <sheetName val="WORK TABLE"/>
      <sheetName val="220 11  BS "/>
      <sheetName val="Intro."/>
      <sheetName val="SGS ACQ"/>
      <sheetName val="EDWise"/>
      <sheetName val="discounts_XP140"/>
      <sheetName val="Branch Power"/>
      <sheetName val="Distrib"/>
      <sheetName val="Emergency"/>
      <sheetName val="Equipment"/>
      <sheetName val="Lighting"/>
      <sheetName val="01"/>
      <sheetName val="AK-Offertstammblatt"/>
      <sheetName val="환율"/>
      <sheetName val="1"/>
      <sheetName val="Cash Flows &amp; IRR"/>
      <sheetName val="MFG"/>
      <sheetName val="QCEQPT-owned"/>
      <sheetName val="Assumptions"/>
      <sheetName val="P.Well( RCC)"/>
      <sheetName val="Template4444"/>
      <sheetName val="CONNECT"/>
      <sheetName val="Internet"/>
      <sheetName val="Introduction"/>
      <sheetName val="Operating Statistics"/>
      <sheetName val="Financials"/>
      <sheetName val="Detail In Door Stad"/>
      <sheetName val="BOQ Distribution"/>
      <sheetName val="intr stool brkup"/>
      <sheetName val="A.O.R."/>
      <sheetName val="sheeet7"/>
      <sheetName val="Material Rate"/>
      <sheetName val="Conc_Analysis"/>
      <sheetName val="upa"/>
      <sheetName val="P4-BOQ"/>
      <sheetName val="RAJU ASSO"/>
      <sheetName val="B"/>
      <sheetName val="PART-I_(2)6"/>
      <sheetName val="final_abstract6"/>
      <sheetName val="Basement_Budget5"/>
      <sheetName val="Fee_Rate_Summary5"/>
      <sheetName val="Rate_analysis5"/>
      <sheetName val="Materials_Cost5"/>
      <sheetName val="10__&amp;_11__Rate_Code_&amp;_BQ5"/>
      <sheetName val="RES_STEEL_TO5"/>
      <sheetName val="Break_up_Sheet5"/>
      <sheetName val="B_&amp;_C_-_M_-_ccp5"/>
      <sheetName val="RMZ_Summary5"/>
      <sheetName val="Fill_this_out_first___5"/>
      <sheetName val="TBAL9697_-group_wise__sdpl5"/>
      <sheetName val="Fin_Sum5"/>
      <sheetName val="Site_Dev_BOQ5"/>
      <sheetName val="Staff_Forecast_spread5"/>
      <sheetName val="Field_Values5"/>
      <sheetName val="Structure_Bills_Qty5"/>
      <sheetName val="Builtup_Area5"/>
      <sheetName val="MASTER_RATE_ANALYSIS5"/>
      <sheetName val="Cop_-VGN5"/>
      <sheetName val="IO_List5"/>
      <sheetName val="BOQ_Direct_selling_cost5"/>
      <sheetName val="Stress_Calculation5"/>
      <sheetName val="Pipe_Supports5"/>
      <sheetName val="Materials_5"/>
      <sheetName val="MN_T_B_5"/>
      <sheetName val="Exp_5"/>
      <sheetName val="report"/>
      <sheetName val="소상 &quot;1&quot;"/>
      <sheetName val="Discount &amp; Margin"/>
      <sheetName val="Proforma -II "/>
      <sheetName val="Pump se"/>
      <sheetName val="Pump seÑ"/>
      <sheetName val="DetEst"/>
      <sheetName val="basdat"/>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sheetData sheetId="159"/>
      <sheetData sheetId="160"/>
      <sheetData sheetId="161"/>
      <sheetData sheetId="162"/>
      <sheetData sheetId="163"/>
      <sheetData sheetId="164"/>
      <sheetData sheetId="165"/>
      <sheetData sheetId="166"/>
      <sheetData sheetId="167"/>
      <sheetData sheetId="168"/>
      <sheetData sheetId="169"/>
      <sheetData sheetId="170"/>
      <sheetData sheetId="171"/>
      <sheetData sheetId="172"/>
      <sheetData sheetId="173"/>
      <sheetData sheetId="174"/>
      <sheetData sheetId="175"/>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sheetData sheetId="207"/>
      <sheetData sheetId="208"/>
      <sheetData sheetId="209"/>
      <sheetData sheetId="210"/>
      <sheetData sheetId="211"/>
      <sheetData sheetId="212"/>
      <sheetData sheetId="213"/>
      <sheetData sheetId="214"/>
      <sheetData sheetId="215"/>
      <sheetData sheetId="216"/>
      <sheetData sheetId="217"/>
      <sheetData sheetId="218"/>
      <sheetData sheetId="219"/>
      <sheetData sheetId="220"/>
      <sheetData sheetId="221"/>
      <sheetData sheetId="222"/>
      <sheetData sheetId="223"/>
      <sheetData sheetId="224"/>
      <sheetData sheetId="225"/>
      <sheetData sheetId="226"/>
      <sheetData sheetId="227"/>
      <sheetData sheetId="228"/>
      <sheetData sheetId="229"/>
      <sheetData sheetId="230" refreshError="1"/>
      <sheetData sheetId="231"/>
      <sheetData sheetId="232"/>
      <sheetData sheetId="233"/>
      <sheetData sheetId="234"/>
      <sheetData sheetId="235"/>
      <sheetData sheetId="236"/>
      <sheetData sheetId="237"/>
      <sheetData sheetId="238"/>
      <sheetData sheetId="239"/>
      <sheetData sheetId="240"/>
      <sheetData sheetId="241"/>
      <sheetData sheetId="242"/>
      <sheetData sheetId="243"/>
      <sheetData sheetId="244" refreshError="1"/>
      <sheetData sheetId="245" refreshError="1"/>
      <sheetData sheetId="246" refreshError="1"/>
      <sheetData sheetId="247" refreshError="1"/>
      <sheetData sheetId="248" refreshError="1"/>
      <sheetData sheetId="249" refreshError="1"/>
      <sheetData sheetId="250"/>
      <sheetData sheetId="251"/>
      <sheetData sheetId="252"/>
      <sheetData sheetId="253"/>
      <sheetData sheetId="254"/>
      <sheetData sheetId="255"/>
      <sheetData sheetId="256"/>
      <sheetData sheetId="257"/>
      <sheetData sheetId="258"/>
      <sheetData sheetId="259"/>
      <sheetData sheetId="260"/>
      <sheetData sheetId="261"/>
      <sheetData sheetId="262"/>
      <sheetData sheetId="263"/>
      <sheetData sheetId="264"/>
      <sheetData sheetId="265"/>
      <sheetData sheetId="266"/>
      <sheetData sheetId="267"/>
      <sheetData sheetId="268"/>
      <sheetData sheetId="269"/>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Set>
  </externalBook>
</externalLink>
</file>

<file path=xl/externalLinks/externalLink1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mpp"/>
      <sheetName val="data_new"/>
      <sheetName val="lead-st"/>
      <sheetName val="v"/>
      <sheetName val="r"/>
      <sheetName val="l"/>
    </sheetNames>
    <sheetDataSet>
      <sheetData sheetId="0" refreshError="1"/>
      <sheetData sheetId="1" refreshError="1"/>
      <sheetData sheetId="2" refreshError="1"/>
      <sheetData sheetId="3" refreshError="1"/>
      <sheetData sheetId="4" refreshError="1">
        <row r="2">
          <cell r="F2">
            <v>100</v>
          </cell>
        </row>
        <row r="3">
          <cell r="F3">
            <v>90</v>
          </cell>
        </row>
        <row r="4">
          <cell r="F4">
            <v>65</v>
          </cell>
        </row>
        <row r="29">
          <cell r="F29">
            <v>44</v>
          </cell>
        </row>
        <row r="30">
          <cell r="F30">
            <v>0.25</v>
          </cell>
        </row>
        <row r="48">
          <cell r="F48">
            <v>10</v>
          </cell>
        </row>
      </sheetData>
      <sheetData sheetId="5" refreshError="1"/>
    </sheetDataSet>
  </externalBook>
</externalLink>
</file>

<file path=xl/externalLinks/externalLink1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Cover-MEstt."/>
      <sheetName val="ABST(PART B) "/>
      <sheetName val="F6-Gnrl Abstrt"/>
      <sheetName val="04-05"/>
      <sheetName val="Lead"/>
      <sheetName val="sub-data "/>
      <sheetName val="Data.F8.BTR"/>
      <sheetName val="F6-Estt"/>
      <sheetName val="sub estt"/>
      <sheetName val="Labour"/>
      <sheetName val="Machinery"/>
      <sheetName val="Sheet1"/>
      <sheetName val="lead-st"/>
      <sheetName val="rdamdata"/>
      <sheetName val="Data_F8_BTR"/>
      <sheetName val="Cover-MEstt_"/>
      <sheetName val="ABST(PART_B)_"/>
      <sheetName val="F6-Gnrl_Abstrt"/>
      <sheetName val="sub-data_"/>
      <sheetName val="sub_estt"/>
      <sheetName val="r"/>
      <sheetName val="Work_sheet"/>
      <sheetName val="Common "/>
      <sheetName val="Lead statement ss5"/>
      <sheetName val="Cover-MEstt_1"/>
      <sheetName val="ABST(PART_B)_1"/>
      <sheetName val="F6-Gnrl_Abstrt1"/>
      <sheetName val="sub-data_1"/>
      <sheetName val="Data_F8_BTR1"/>
      <sheetName val="sub_estt1"/>
      <sheetName val="Common_"/>
      <sheetName val="Material"/>
      <sheetName val="Plant &amp;  Machinery"/>
      <sheetName val="MRATES"/>
      <sheetName val="DATA_PRG"/>
      <sheetName val="leads"/>
      <sheetName val="CI"/>
      <sheetName val="DI"/>
      <sheetName val="G.R.P"/>
      <sheetName val="HDPE"/>
      <sheetName val="PSC REVISED"/>
      <sheetName val="pvc"/>
      <sheetName val="v"/>
      <sheetName val="m"/>
      <sheetName val="Levels"/>
      <sheetName val="segments-details"/>
      <sheetName val="int-Dia-hdpe"/>
      <sheetName val="habs-list"/>
      <sheetName val="int-Dia-pvc"/>
      <sheetName val="maya"/>
      <sheetName val="DATA"/>
      <sheetName val="Road data"/>
      <sheetName val="mlead"/>
      <sheetName val="abs road"/>
      <sheetName val="R_Det"/>
      <sheetName val="Works"/>
      <sheetName val="RMR"/>
      <sheetName val="General"/>
      <sheetName val="t_prsr"/>
      <sheetName val="id"/>
      <sheetName val="wh_data"/>
      <sheetName val="wh_data_R"/>
      <sheetName val="CPHEEO"/>
      <sheetName val="input"/>
      <sheetName val="Class IV Qtr. Ele"/>
      <sheetName val="coverpage"/>
      <sheetName val="Lead statement"/>
      <sheetName val="PUMP_DATA"/>
      <sheetName val="F6-Est4"/>
      <sheetName val="SUMP1420KL@HW"/>
      <sheetName val="Sheet2"/>
      <sheetName val="Cover"/>
      <sheetName val="GROUND FLOOR"/>
      <sheetName val="nodes"/>
      <sheetName val="int-Dia"/>
      <sheetName val="JAWAHAR-hyd-original"/>
      <sheetName val="Bitumen trunk"/>
      <sheetName val="Feeder"/>
      <sheetName val="R99 etc"/>
      <sheetName val="Trunk unpaved"/>
      <sheetName val="Specification"/>
      <sheetName val="Bridge Data 2005-06"/>
      <sheetName val="Data 07-08 "/>
      <sheetName val="Rate"/>
      <sheetName val="PM&amp;GM"/>
      <sheetName val="AV-PVC"/>
      <sheetName val="DI gate-DI"/>
      <sheetName val="DIgate_PVC "/>
      <sheetName val="sg-clay(d)"/>
      <sheetName val="LS"/>
      <sheetName val="BWSCPlt"/>
      <sheetName val="DATA-BASE"/>
      <sheetName val="DATA-ABSTRACT"/>
      <sheetName val="sub-dapa "/>
      <sheetName val="Plant 㫨  Machinery"/>
      <sheetName val="DATA_ENTRY"/>
      <sheetName val="Cover-MEstt_2"/>
      <sheetName val="ABST(PART_B)_2"/>
      <sheetName val="F6-Gnrl_Abstrt2"/>
      <sheetName val="sub-data_2"/>
      <sheetName val="Data_F8_BTR2"/>
      <sheetName val="sub_estt2"/>
      <sheetName val="Common_1"/>
      <sheetName val="Lead_statement_ss5"/>
      <sheetName val="G_R_P"/>
      <sheetName val="PSC_REVISED"/>
      <sheetName val="Plant_&amp;__Machinery"/>
      <sheetName val="Cover-MEstt_3"/>
      <sheetName val="ABST(PART_B)_3"/>
      <sheetName val="F6-Gnrl_Abstrt3"/>
      <sheetName val="sub-data_3"/>
      <sheetName val="Data_F8_BTR3"/>
      <sheetName val="sub_estt3"/>
      <sheetName val="Common_2"/>
      <sheetName val="Lead_statement_ss51"/>
      <sheetName val="G_R_P1"/>
      <sheetName val="PSC_REVISED1"/>
      <sheetName val="Plant_&amp;__Machinery1"/>
      <sheetName val="1V800"/>
      <sheetName val="Rates"/>
      <sheetName val="SSR 2015-16"/>
      <sheetName val="Avenue Plantation "/>
      <sheetName val="farmyard"/>
      <sheetName val="In put soft"/>
      <sheetName val="softscape data "/>
      <sheetName val="est input"/>
      <sheetName val="C-data  2)"/>
      <sheetName val="conveyance "/>
      <sheetName val="Civil SoR"/>
      <sheetName val="WS SoR "/>
      <sheetName val="C-data  for sub est"/>
      <sheetName val="Chain link mesh "/>
      <sheetName val="MS Grill CW"/>
      <sheetName val=" SS Gate (2)"/>
      <sheetName val=" Barbed wire (2)"/>
      <sheetName val="Genera Abstract Estimate "/>
      <sheetName val="Joinery"/>
      <sheetName val="WS Data"/>
      <sheetName val="Entrance Arch ( H )"/>
      <sheetName val="Entrance Arch ( CH )"/>
      <sheetName val="Soft Scape"/>
      <sheetName val="1.Hard Scape "/>
      <sheetName val="2"/>
      <sheetName val="Sliding Gate"/>
      <sheetName val="Boundary Wall"/>
      <sheetName val="Toilet 5X3m"/>
      <sheetName val="Shower Area 4X1.5m"/>
      <sheetName val="Cremains Room 5X5m"/>
      <sheetName val="Office Room 6X6m"/>
      <sheetName val="Security Room 3X3m"/>
      <sheetName val="Store Room 6X5.7m"/>
      <sheetName val="Mortury 6X6m"/>
      <sheetName val="Pre Ritual Area 8X8m"/>
      <sheetName val="Post Ritual Area 6X5m"/>
      <sheetName val="Electric Crematorioum 15X15m"/>
      <sheetName val="Conventional Crematorium6.2X5.2"/>
      <sheetName val="Office cum Security Room 7X4m"/>
      <sheetName val="Chain link mesh fencing "/>
      <sheetName val="hdpe_basic"/>
      <sheetName val="pvc_basic"/>
      <sheetName val="SPT vs PHI"/>
      <sheetName val="CPI"/>
      <sheetName val="WPI C"/>
      <sheetName val="WPI all"/>
      <sheetName val="WPI HM"/>
      <sheetName val="WPI S"/>
      <sheetName val="DATA SHEET FOR 2012 - 13"/>
      <sheetName val="Main sheet"/>
      <sheetName val="Nspt-smp-final-ORIGINAL"/>
      <sheetName val="Sorted"/>
      <sheetName val="ABS"/>
      <sheetName val="gen"/>
      <sheetName val="Sheet3"/>
      <sheetName val="Data rough"/>
      <sheetName val="Lead Distance"/>
      <sheetName val="bundqty"/>
      <sheetName val="Data-ELSR"/>
      <sheetName val="Mortars"/>
      <sheetName val="zone-8"/>
      <sheetName val="MHNO_LEV"/>
      <sheetName val=" Data -Valves"/>
      <sheetName val="detls"/>
      <sheetName val="habs-details"/>
      <sheetName val="hab-details"/>
      <sheetName val="INPUT-DATA"/>
      <sheetName val="DL CAL"/>
      <sheetName val="Specification report"/>
      <sheetName val="SSR 2014-15 Rates"/>
      <sheetName val="Flanged Beams"/>
      <sheetName val="Rectangular Beam"/>
      <sheetName val="not req 3"/>
      <sheetName val="ultmom"/>
      <sheetName val="dlvoid"/>
      <sheetName val="final abstract"/>
      <sheetName val="dump"/>
      <sheetName val="Data-2010-11"/>
      <sheetName val="detail'02"/>
      <sheetName val="Boq"/>
      <sheetName val="TBAL9697 -group wise  sdpl"/>
      <sheetName val="Process"/>
      <sheetName val="Sheet9"/>
      <sheetName val="ESTIMATE"/>
      <sheetName val="SSR 2010-11 Rates"/>
      <sheetName val="ssr-rates"/>
      <sheetName val="data existing_do not delete"/>
      <sheetName val="HDPE-pipe-rates"/>
      <sheetName val="pvc-pipe-rates"/>
      <sheetName val="p&amp;m"/>
      <sheetName val="BTR"/>
      <sheetName val="Line"/>
      <sheetName val="Rd.Est"/>
      <sheetName val="Convey"/>
      <sheetName val="BALAN1"/>
      <sheetName val="Lead_statement"/>
      <sheetName val="Road_data"/>
      <sheetName val="abs_road"/>
      <sheetName val="Class_IV_Qtr__Ele"/>
      <sheetName val="C.D.Abs.Est."/>
      <sheetName val="WATER-HAMMER"/>
      <sheetName val="20kL-design-final"/>
      <sheetName val="wh"/>
      <sheetName val="AV-HDPE"/>
      <sheetName val="Di_gate-HDPE"/>
      <sheetName val="Valves"/>
      <sheetName val="MS Rates"/>
      <sheetName val="AV-BWSC&amp;MS"/>
      <sheetName val="AV_AC"/>
      <sheetName val="di_Gate_AC"/>
      <sheetName val="Digate-BWSCP-MS"/>
      <sheetName val="DI_gate_di"/>
      <sheetName val="LEAD (2)"/>
      <sheetName val="water-hammar-strenght"/>
      <sheetName val="FORM7"/>
      <sheetName val="LOCAL RATES"/>
      <sheetName val="TOP SLAB-beams"/>
      <sheetName val="abst"/>
      <sheetName val="design"/>
      <sheetName val="crop water req.(Kh)  "/>
      <sheetName val="Bund"/>
      <sheetName val="hdpe weights"/>
      <sheetName val="m1"/>
      <sheetName val="co_5"/>
      <sheetName val="hdpe-rates"/>
      <sheetName val="pvc-rates"/>
      <sheetName val="Formulas"/>
      <sheetName val="SITE OVERHEADS"/>
      <sheetName val="conc-foot-gradeslab"/>
    </sheetNames>
    <sheetDataSet>
      <sheetData sheetId="0" refreshError="1"/>
      <sheetData sheetId="1" refreshError="1"/>
      <sheetData sheetId="2" refreshError="1"/>
      <sheetData sheetId="3" refreshError="1"/>
      <sheetData sheetId="4" refreshError="1"/>
      <sheetData sheetId="5" refreshError="1"/>
      <sheetData sheetId="6"/>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Set>
  </externalBook>
</externalLink>
</file>

<file path=xl/externalLinks/externalLink1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ROFORMAS"/>
      <sheetName val="CHECK-SLIP"/>
      <sheetName val="DESIGN NORMS"/>
      <sheetName val="DESIGN CALUCULATIONS"/>
      <sheetName val="ABSTRACT-DESIGN CALUCULATIONS"/>
      <sheetName val="GRAVITY MAIN"/>
      <sheetName val="PUMPING MAIN"/>
      <sheetName val="PUMP SETS DESIGN"/>
      <sheetName val="GENERAL-ABSTRACT"/>
      <sheetName val="COMPONENTS"/>
      <sheetName val="DATA-ABSTRACT"/>
      <sheetName val="SSR(Buildings)"/>
      <sheetName val="SSR(PH)"/>
      <sheetName val="SSR(I&amp;CAD)"/>
      <sheetName val="PVC-Rates"/>
      <sheetName val="Labour charges"/>
      <sheetName val="Labour charges(detl)"/>
      <sheetName val="LEAD STATEMENT"/>
      <sheetName val="OHSR(Detail)"/>
      <sheetName val="DUMMY_EST"/>
      <sheetName val="DATA-LIST"/>
      <sheetName val="DATA SHEET"/>
      <sheetName val="DATA OHSR"/>
      <sheetName val="DATA AC PIPES"/>
      <sheetName val="DATA PVC PIPES"/>
      <sheetName val="BORE WELL"/>
      <sheetName val="SS TANK(HOMO)"/>
      <sheetName val="SS FILTERS"/>
      <sheetName val="SS TANK(HET)"/>
      <sheetName val="SS FILTERS(SQM)"/>
      <sheetName val="OHSR"/>
      <sheetName val="TRANSMISSION MAINS"/>
      <sheetName val="PUMP SETS"/>
      <sheetName val="WEIR CHAMBER"/>
      <sheetName val="PUMP HOUSE"/>
      <sheetName val="PUMP HOUSE(SQM)"/>
      <sheetName val="CW SUMP"/>
      <sheetName val="RWW_PH"/>
      <sheetName val="RAW WATER WELL"/>
      <sheetName val="VALVE PIT"/>
      <sheetName val="FLOW-DIAGRAM"/>
      <sheetName val="DATA-BASE"/>
      <sheetName val="TRANS.MAINS.LEVELS"/>
      <sheetName val="SSF(INT.CONS)"/>
      <sheetName val="DATA_ABSTRACT"/>
      <sheetName val="DATA_BASE"/>
      <sheetName val="m"/>
      <sheetName val="Labour"/>
      <sheetName val="Material"/>
      <sheetName val="Plant &amp;  Machinery"/>
      <sheetName val="Data.F8.BTR"/>
      <sheetName val="DESIGN_NORMS"/>
      <sheetName val="DESIGN_CALUCULATIONS"/>
      <sheetName val="ABSTRACT-DESIGN_CALUCULATIONS"/>
      <sheetName val="GRAVITY_MAIN"/>
      <sheetName val="PUMPING_MAIN"/>
      <sheetName val="PUMP_SETS_DESIGN"/>
      <sheetName val="Labour_charges"/>
      <sheetName val="Labour_charges(detl)"/>
      <sheetName val="LEAD_STATEMENT"/>
      <sheetName val="DATA_SHEET"/>
      <sheetName val="DATA_OHSR"/>
      <sheetName val="DATA_AC_PIPES"/>
      <sheetName val="DATA_PVC_PIPES"/>
      <sheetName val="BORE_WELL"/>
      <sheetName val="SS_TANK(HOMO)"/>
      <sheetName val="SS_FILTERS"/>
      <sheetName val="SS_TANK(HET)"/>
      <sheetName val="SS_FILTERS(SQM)"/>
      <sheetName val="TRANSMISSION_MAINS"/>
      <sheetName val="PUMP_SETS"/>
      <sheetName val="WEIR_CHAMBER"/>
      <sheetName val="PUMP_HOUSE"/>
      <sheetName val="PUMP_HOUSE(SQM)"/>
      <sheetName val="CW_SUMP"/>
      <sheetName val="RAW_WATER_WELL"/>
      <sheetName val="VALVE_PIT"/>
      <sheetName val="TRANS_MAINS_LEVELS"/>
      <sheetName val="SSF(INT_CONS)"/>
      <sheetName val="DESIGN_NORMS1"/>
      <sheetName val="DESIGN_CALUCULATIONS1"/>
      <sheetName val="ABSTRACT-DESIGN_CALUCULATIONS1"/>
      <sheetName val="GRAVITY_MAIN1"/>
      <sheetName val="PUMPING_MAIN1"/>
      <sheetName val="PUMP_SETS_DESIGN1"/>
      <sheetName val="Labour_charges1"/>
      <sheetName val="Labour_charges(detl)1"/>
      <sheetName val="LEAD_STATEMENT1"/>
      <sheetName val="DATA_SHEET1"/>
      <sheetName val="DATA_OHSR1"/>
      <sheetName val="DATA_AC_PIPES1"/>
      <sheetName val="DATA_PVC_PIPES1"/>
      <sheetName val="BORE_WELL1"/>
      <sheetName val="SS_TANK(HOMO)1"/>
      <sheetName val="SS_FILTERS1"/>
      <sheetName val="SS_TANK(HET)1"/>
      <sheetName val="SS_FILTERS(SQM)1"/>
      <sheetName val="TRANSMISSION_MAINS1"/>
      <sheetName val="PUMP_SETS1"/>
      <sheetName val="WEIR_CHAMBER1"/>
      <sheetName val="PUMP_HOUSE1"/>
      <sheetName val="PUMP_HOUSE(SQM)1"/>
      <sheetName val="CW_SUMP1"/>
      <sheetName val="RAW_WATER_WELL1"/>
      <sheetName val="VALVE_PIT1"/>
      <sheetName val="TRANS_MAINS_LEVELS1"/>
      <sheetName val="SSF(INT_CONS)1"/>
      <sheetName val="Common "/>
      <sheetName val="DESIGN_NORMS2"/>
      <sheetName val="DESIGN_CALUCULATIONS2"/>
      <sheetName val="ABSTRACT-DESIGN_CALUCULATIONS2"/>
      <sheetName val="GRAVITY_MAIN2"/>
      <sheetName val="PUMPING_MAIN2"/>
      <sheetName val="PUMP_SETS_DESIGN2"/>
      <sheetName val="Labour_charges2"/>
      <sheetName val="Labour_charges(detl)2"/>
      <sheetName val="LEAD_STATEMENT2"/>
      <sheetName val="DATA_SHEET2"/>
      <sheetName val="DATA_OHSR2"/>
      <sheetName val="DATA_AC_PIPES2"/>
      <sheetName val="DATA_PVC_PIPES2"/>
      <sheetName val="BORE_WELL2"/>
      <sheetName val="SS_TANK(HOMO)2"/>
      <sheetName val="SS_FILTERS2"/>
      <sheetName val="SS_TANK(HET)2"/>
      <sheetName val="SS_FILTERS(SQM)2"/>
      <sheetName val="TRANSMISSION_MAINS2"/>
      <sheetName val="PUMP_SETS2"/>
      <sheetName val="WEIR_CHAMBER2"/>
      <sheetName val="PUMP_HOUSE2"/>
      <sheetName val="PUMP_HOUSE(SQM)2"/>
      <sheetName val="CW_SUMP2"/>
      <sheetName val="RAW_WATER_WELL2"/>
      <sheetName val="VALVE_PIT2"/>
      <sheetName val="TRANS_MAINS_LEVELS2"/>
      <sheetName val="SSF(INT_CONS)2"/>
      <sheetName val="Plant_&amp;__Machinery"/>
      <sheetName val="Common_"/>
      <sheetName val="Data_F8_BTR"/>
      <sheetName val="Sheet3"/>
      <sheetName val="Class IV Qtr. Ele"/>
      <sheetName val="data"/>
      <sheetName val="r"/>
      <sheetName val="rdamdata"/>
      <sheetName val="leads"/>
      <sheetName val="lead-st"/>
      <sheetName val="Lead"/>
      <sheetName val="AV-HDPE"/>
      <sheetName val="Di_gate-HDPE"/>
      <sheetName val="BWSCPlt"/>
      <sheetName val="CI"/>
      <sheetName val="DI"/>
      <sheetName val="G.R.P"/>
      <sheetName val="HDPE"/>
      <sheetName val="PSC REVISED"/>
      <sheetName val="pvc"/>
      <sheetName val="DATA_PRG"/>
      <sheetName val="maya"/>
      <sheetName val="RAFT"/>
      <sheetName val="scour depth"/>
      <sheetName val="SUMP1420KL@HW"/>
      <sheetName val="Sheet2"/>
      <sheetName val="Lead statement ss5"/>
      <sheetName val="Bridge Data 2005-06"/>
      <sheetName val="GF SB Ok "/>
      <sheetName val="sup dat"/>
      <sheetName val="MRATES"/>
      <sheetName val="pvc_basic"/>
      <sheetName val="Sheet1"/>
      <sheetName val="Bitumen trunk"/>
      <sheetName val="Feeder"/>
      <sheetName val="R99 etc"/>
      <sheetName val="Trunk unpaved"/>
      <sheetName val="Work_sheet"/>
      <sheetName val="Usage"/>
      <sheetName val="General"/>
      <sheetName val="segments-details"/>
      <sheetName val="int-Dia-hdpe"/>
      <sheetName val="habs-list"/>
      <sheetName val="box-12"/>
      <sheetName val="DATAS"/>
      <sheetName val="SR"/>
      <sheetName val="Plant_&amp;__Machi.ery"/>
      <sheetName val="PUMP_DATA"/>
      <sheetName val="v"/>
      <sheetName val="DISCOUNT"/>
      <sheetName val="int-Dia-pvc"/>
      <sheetName val="Cover"/>
      <sheetName val="bom"/>
      <sheetName val="Estimate copy"/>
      <sheetName val="Abs"/>
      <sheetName val="nodes"/>
      <sheetName val="pop"/>
      <sheetName val="ssr-rates"/>
      <sheetName val="Rate"/>
      <sheetName val="int-Dia"/>
      <sheetName val="JAWAHAR-hyd-original"/>
      <sheetName val="Civil Boq"/>
      <sheetName val="THK"/>
      <sheetName val="0000000000000"/>
      <sheetName val="cert"/>
      <sheetName val="SSR(I㫨CAD)"/>
      <sheetName val="Plant 㫨  Machinery"/>
      <sheetName val="Plant_㫨__Machinery"/>
      <sheetName val="Plant_㫨__Machi.ery"/>
      <sheetName val="data existing_do not delete"/>
      <sheetName val="CS "/>
      <sheetName val="coverpage"/>
      <sheetName val="Road data"/>
      <sheetName val="DATA_ENTRY"/>
      <sheetName val="DESIGN_NORMS3"/>
      <sheetName val="DESIGN_CALUCULATIONS3"/>
      <sheetName val="ABSTRACT-DESIGN_CALUCULATIONS3"/>
      <sheetName val="GRAVITY_MAIN3"/>
      <sheetName val="PUMPING_MAIN3"/>
      <sheetName val="PUMP_SETS_DESIGN3"/>
      <sheetName val="Labour_charges3"/>
      <sheetName val="Labour_charges(detl)3"/>
      <sheetName val="LEAD_STATEMENT3"/>
      <sheetName val="DATA_SHEET3"/>
      <sheetName val="DATA_OHSR3"/>
      <sheetName val="DATA_AC_PIPES3"/>
      <sheetName val="DATA_PVC_PIPES3"/>
      <sheetName val="BORE_WELL3"/>
      <sheetName val="SS_TANK(HOMO)3"/>
      <sheetName val="SS_FILTERS3"/>
      <sheetName val="SS_TANK(HET)3"/>
      <sheetName val="SS_FILTERS(SQM)3"/>
      <sheetName val="TRANSMISSION_MAINS3"/>
      <sheetName val="PUMP_SETS3"/>
      <sheetName val="WEIR_CHAMBER3"/>
      <sheetName val="PUMP_HOUSE3"/>
      <sheetName val="PUMP_HOUSE(SQM)3"/>
      <sheetName val="CW_SUMP3"/>
      <sheetName val="RAW_WATER_WELL3"/>
      <sheetName val="VALVE_PIT3"/>
      <sheetName val="TRANS_MAINS_LEVELS3"/>
      <sheetName val="SSF(INT_CONS)3"/>
      <sheetName val="Plant_&amp;__Machinery1"/>
      <sheetName val="Data_F8_BTR1"/>
      <sheetName val="Common_1"/>
      <sheetName val="Class_IV_Qtr__Ele"/>
      <sheetName val="G_R_P"/>
      <sheetName val="PSC_REVISED"/>
      <sheetName val="DESIGN_NORMS4"/>
      <sheetName val="DESIGN_CALUCULATIONS4"/>
      <sheetName val="ABSTRACT-DESIGN_CALUCULATIONS4"/>
      <sheetName val="GRAVITY_MAIN4"/>
      <sheetName val="PUMPING_MAIN4"/>
      <sheetName val="PUMP_SETS_DESIGN4"/>
      <sheetName val="Labour_charges4"/>
      <sheetName val="Labour_charges(detl)4"/>
      <sheetName val="LEAD_STATEMENT4"/>
      <sheetName val="DATA_SHEET4"/>
      <sheetName val="DATA_OHSR4"/>
      <sheetName val="DATA_AC_PIPES4"/>
      <sheetName val="DATA_PVC_PIPES4"/>
      <sheetName val="BORE_WELL4"/>
      <sheetName val="SS_TANK(HOMO)4"/>
      <sheetName val="SS_FILTERS4"/>
      <sheetName val="SS_TANK(HET)4"/>
      <sheetName val="SS_FILTERS(SQM)4"/>
      <sheetName val="TRANSMISSION_MAINS4"/>
      <sheetName val="PUMP_SETS4"/>
      <sheetName val="WEIR_CHAMBER4"/>
      <sheetName val="PUMP_HOUSE4"/>
      <sheetName val="PUMP_HOUSE(SQM)4"/>
      <sheetName val="CW_SUMP4"/>
      <sheetName val="RAW_WATER_WELL4"/>
      <sheetName val="VALVE_PIT4"/>
      <sheetName val="TRANS_MAINS_LEVELS4"/>
      <sheetName val="SSF(INT_CONS)4"/>
      <sheetName val="Plant_&amp;__Machinery2"/>
      <sheetName val="Data_F8_BTR2"/>
      <sheetName val="Common_2"/>
      <sheetName val="Class_IV_Qtr__Ele1"/>
      <sheetName val="G_R_P1"/>
      <sheetName val="PSC_REVISED1"/>
      <sheetName val="Rates"/>
      <sheetName val="八幡"/>
      <sheetName val="sg-clay(d)"/>
      <sheetName val="bundqty"/>
      <sheetName val="mlead"/>
      <sheetName val="dBase"/>
      <sheetName val="Delivery mains"/>
      <sheetName val="Road Detail Est."/>
      <sheetName val="GEN_abstrct"/>
      <sheetName val="inWords"/>
      <sheetName val="_5wgdhabfinal00_01"/>
      <sheetName val="Main sheet"/>
      <sheetName val="hdpe_basic"/>
      <sheetName val="t_prsr"/>
      <sheetName val="id"/>
      <sheetName val="wh"/>
      <sheetName val="Relig-place"/>
      <sheetName val="l"/>
      <sheetName val="stone"/>
      <sheetName val="BM-HOOP"/>
      <sheetName val="Specification"/>
      <sheetName val="zone-8"/>
      <sheetName val="MHNO_LEV"/>
      <sheetName val="1V800"/>
      <sheetName val="Hyd_Stmt"/>
      <sheetName val="co_5"/>
      <sheetName val="Convey -16-17"/>
      <sheetName val="VALVE_PITU"/>
      <sheetName val="Data rough"/>
      <sheetName val="Data-ELSR"/>
      <sheetName val="Analy_7-10"/>
      <sheetName val="Levels"/>
      <sheetName val="RMR"/>
      <sheetName val="CPI"/>
      <sheetName val="WPI C"/>
      <sheetName val="WPI all"/>
      <sheetName val="WPI CM"/>
      <sheetName val="WPI S"/>
      <sheetName val="SSR 2015-16"/>
      <sheetName val="DATA SHEET FOR 2012 - 13"/>
      <sheetName val="Nspt-smp-final-ORIGINAL"/>
      <sheetName val="MRoad data"/>
      <sheetName val="horizontal"/>
      <sheetName val="p&amp;m"/>
      <sheetName val="Convey"/>
      <sheetName val="CPIPE"/>
      <sheetName val="wh_data"/>
      <sheetName val="wh_data_R"/>
      <sheetName val="CPHEEO"/>
      <sheetName val="input"/>
      <sheetName val="index"/>
      <sheetName val="ESTIMATE"/>
      <sheetName val="hdpe weights"/>
      <sheetName val="PVC weights"/>
      <sheetName val="Z1_DATA"/>
      <sheetName val=" data sheet "/>
      <sheetName val="abs road"/>
      <sheetName val="Data Main sheet"/>
      <sheetName val="Meas.-Hotel Part"/>
      <sheetName val="Data o"/>
      <sheetName val="ewst"/>
      <sheetName val="GA-Paderu"/>
      <sheetName val="BALAN1"/>
    </sheetNames>
    <sheetDataSet>
      <sheetData sheetId="0"/>
      <sheetData sheetId="1"/>
      <sheetData sheetId="2"/>
      <sheetData sheetId="3"/>
      <sheetData sheetId="4"/>
      <sheetData sheetId="5"/>
      <sheetData sheetId="6"/>
      <sheetData sheetId="7"/>
      <sheetData sheetId="8"/>
      <sheetData sheetId="9"/>
      <sheetData sheetId="10" refreshError="1">
        <row r="11">
          <cell r="A11" t="str">
            <v>Thickness</v>
          </cell>
          <cell r="B11" t="str">
            <v>Rate</v>
          </cell>
        </row>
        <row r="12">
          <cell r="A12">
            <v>7.4999999999999997E-2</v>
          </cell>
          <cell r="B12">
            <v>4024.05</v>
          </cell>
        </row>
        <row r="13">
          <cell r="A13">
            <v>0.1</v>
          </cell>
          <cell r="B13">
            <v>3711.75</v>
          </cell>
        </row>
      </sheetData>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refreshError="1">
        <row r="6">
          <cell r="I6" t="str">
            <v>DIA</v>
          </cell>
          <cell r="J6" t="str">
            <v xml:space="preserve">THICKNESS </v>
          </cell>
          <cell r="K6" t="str">
            <v>OFF SET</v>
          </cell>
          <cell r="L6" t="str">
            <v>LEAN CONCRETE OFF SET</v>
          </cell>
          <cell r="M6" t="str">
            <v>THICKNESS</v>
          </cell>
          <cell r="N6" t="str">
            <v>RISE</v>
          </cell>
          <cell r="O6" t="str">
            <v>RADIUS OF CURVATURE</v>
          </cell>
          <cell r="P6" t="str">
            <v>OUTSIDE PROJECTION FOR FLAT SLABS</v>
          </cell>
          <cell r="Q6" t="str">
            <v>WIDTH</v>
          </cell>
          <cell r="R6" t="str">
            <v>HEIGHT</v>
          </cell>
          <cell r="S6" t="str">
            <v>Qty of Steel</v>
          </cell>
          <cell r="T6" t="str">
            <v>Side Wall Thickness</v>
          </cell>
        </row>
        <row r="7">
          <cell r="I7" t="str">
            <v>3A</v>
          </cell>
          <cell r="J7">
            <v>0.2</v>
          </cell>
          <cell r="K7">
            <v>0.15</v>
          </cell>
          <cell r="L7">
            <v>0.2</v>
          </cell>
          <cell r="M7">
            <v>0.1</v>
          </cell>
          <cell r="N7">
            <v>0</v>
          </cell>
          <cell r="O7">
            <v>8</v>
          </cell>
          <cell r="P7">
            <v>0.15</v>
          </cell>
          <cell r="Q7" t="str">
            <v>N.A.</v>
          </cell>
          <cell r="R7" t="str">
            <v>N.A.</v>
          </cell>
          <cell r="S7">
            <v>0</v>
          </cell>
          <cell r="T7">
            <v>0.15</v>
          </cell>
        </row>
        <row r="8">
          <cell r="I8" t="str">
            <v>3B</v>
          </cell>
          <cell r="J8">
            <v>0.15</v>
          </cell>
          <cell r="K8">
            <v>0.15</v>
          </cell>
          <cell r="L8">
            <v>0.2</v>
          </cell>
          <cell r="M8">
            <v>0.1</v>
          </cell>
          <cell r="N8">
            <v>0</v>
          </cell>
          <cell r="O8">
            <v>8</v>
          </cell>
          <cell r="P8">
            <v>0.15</v>
          </cell>
          <cell r="Q8" t="str">
            <v>N.A.</v>
          </cell>
          <cell r="R8" t="str">
            <v>N.A.</v>
          </cell>
          <cell r="S8">
            <v>0</v>
          </cell>
          <cell r="T8">
            <v>0.15</v>
          </cell>
        </row>
        <row r="9">
          <cell r="I9" t="str">
            <v>4A</v>
          </cell>
          <cell r="J9">
            <v>0.25</v>
          </cell>
          <cell r="K9">
            <v>0.3</v>
          </cell>
          <cell r="L9">
            <v>0.2</v>
          </cell>
          <cell r="M9">
            <v>0.1</v>
          </cell>
          <cell r="N9">
            <v>0</v>
          </cell>
          <cell r="O9">
            <v>8</v>
          </cell>
          <cell r="P9">
            <v>0.15</v>
          </cell>
          <cell r="Q9" t="str">
            <v>N.A.</v>
          </cell>
          <cell r="R9" t="str">
            <v>N.A.</v>
          </cell>
          <cell r="S9">
            <v>0</v>
          </cell>
          <cell r="T9">
            <v>0.15</v>
          </cell>
        </row>
        <row r="10">
          <cell r="I10" t="str">
            <v>4B</v>
          </cell>
          <cell r="J10">
            <v>0.15</v>
          </cell>
          <cell r="K10">
            <v>0.15</v>
          </cell>
          <cell r="L10">
            <v>0.2</v>
          </cell>
          <cell r="M10">
            <v>0.1</v>
          </cell>
          <cell r="N10">
            <v>0</v>
          </cell>
          <cell r="O10">
            <v>8</v>
          </cell>
          <cell r="P10">
            <v>0.15</v>
          </cell>
          <cell r="Q10" t="str">
            <v>N.A.</v>
          </cell>
          <cell r="R10" t="str">
            <v>N.A.</v>
          </cell>
          <cell r="S10">
            <v>0</v>
          </cell>
          <cell r="T10">
            <v>0.15</v>
          </cell>
        </row>
        <row r="11">
          <cell r="I11" t="str">
            <v>5A</v>
          </cell>
          <cell r="J11">
            <v>0.25</v>
          </cell>
          <cell r="K11">
            <v>0.45</v>
          </cell>
          <cell r="L11">
            <v>0.2</v>
          </cell>
          <cell r="M11">
            <v>7.4999999999999997E-2</v>
          </cell>
          <cell r="N11">
            <v>1</v>
          </cell>
          <cell r="O11">
            <v>3.62</v>
          </cell>
          <cell r="P11" t="str">
            <v>N.A.</v>
          </cell>
          <cell r="Q11">
            <v>0.2</v>
          </cell>
          <cell r="R11">
            <v>0.15</v>
          </cell>
          <cell r="S11">
            <v>1350</v>
          </cell>
          <cell r="T11">
            <v>0.15</v>
          </cell>
        </row>
        <row r="12">
          <cell r="I12" t="str">
            <v>5B</v>
          </cell>
          <cell r="J12">
            <v>0.15</v>
          </cell>
          <cell r="K12">
            <v>0.15</v>
          </cell>
          <cell r="L12">
            <v>0.2</v>
          </cell>
          <cell r="M12">
            <v>7.4999999999999997E-2</v>
          </cell>
          <cell r="N12">
            <v>1</v>
          </cell>
          <cell r="O12">
            <v>3.62</v>
          </cell>
          <cell r="P12" t="str">
            <v>N.A.</v>
          </cell>
          <cell r="Q12">
            <v>0.2</v>
          </cell>
          <cell r="R12">
            <v>0.15</v>
          </cell>
          <cell r="S12">
            <v>1200</v>
          </cell>
          <cell r="T12">
            <v>0.15</v>
          </cell>
        </row>
        <row r="13">
          <cell r="I13" t="str">
            <v>6A</v>
          </cell>
          <cell r="J13">
            <v>0.3</v>
          </cell>
          <cell r="K13">
            <v>0.3</v>
          </cell>
          <cell r="L13">
            <v>0.2</v>
          </cell>
          <cell r="M13">
            <v>7.4999999999999997E-2</v>
          </cell>
          <cell r="N13">
            <v>1.1299999999999999</v>
          </cell>
          <cell r="O13">
            <v>4.54</v>
          </cell>
          <cell r="P13" t="str">
            <v>N.A.</v>
          </cell>
          <cell r="Q13">
            <v>0.2</v>
          </cell>
          <cell r="R13">
            <v>0.15</v>
          </cell>
          <cell r="S13">
            <v>1400</v>
          </cell>
          <cell r="T13">
            <v>0.15</v>
          </cell>
        </row>
        <row r="14">
          <cell r="I14" t="str">
            <v>6B</v>
          </cell>
          <cell r="J14">
            <v>0.15</v>
          </cell>
          <cell r="K14">
            <v>0.15</v>
          </cell>
          <cell r="L14">
            <v>0.2</v>
          </cell>
          <cell r="M14">
            <v>7.4999999999999997E-2</v>
          </cell>
          <cell r="N14">
            <v>1.1299999999999999</v>
          </cell>
          <cell r="O14">
            <v>4.54</v>
          </cell>
          <cell r="P14" t="str">
            <v>N.A.</v>
          </cell>
          <cell r="Q14">
            <v>0.2</v>
          </cell>
          <cell r="R14">
            <v>0.15</v>
          </cell>
          <cell r="S14">
            <v>1225</v>
          </cell>
          <cell r="T14">
            <v>0.15</v>
          </cell>
        </row>
        <row r="15">
          <cell r="I15" t="str">
            <v>7A</v>
          </cell>
          <cell r="J15">
            <v>0.3</v>
          </cell>
          <cell r="K15">
            <v>0.45</v>
          </cell>
          <cell r="L15">
            <v>0.2</v>
          </cell>
          <cell r="M15">
            <v>7.4999999999999997E-2</v>
          </cell>
          <cell r="N15">
            <v>1.1299999999999999</v>
          </cell>
          <cell r="O15">
            <v>6</v>
          </cell>
          <cell r="P15" t="str">
            <v>N.A.</v>
          </cell>
          <cell r="Q15">
            <v>0.2</v>
          </cell>
          <cell r="R15">
            <v>0.15</v>
          </cell>
          <cell r="S15">
            <v>1500</v>
          </cell>
          <cell r="T15">
            <v>0.15</v>
          </cell>
        </row>
        <row r="16">
          <cell r="I16" t="str">
            <v>7B</v>
          </cell>
          <cell r="J16">
            <v>0.15</v>
          </cell>
          <cell r="K16">
            <v>0.15</v>
          </cell>
          <cell r="L16">
            <v>0.2</v>
          </cell>
          <cell r="M16">
            <v>7.4999999999999997E-2</v>
          </cell>
          <cell r="N16">
            <v>1.1299999999999999</v>
          </cell>
          <cell r="O16">
            <v>6</v>
          </cell>
          <cell r="P16" t="str">
            <v>N.A.</v>
          </cell>
          <cell r="Q16">
            <v>0.2</v>
          </cell>
          <cell r="R16">
            <v>0.15</v>
          </cell>
          <cell r="S16">
            <v>1250</v>
          </cell>
          <cell r="T16">
            <v>0.15</v>
          </cell>
        </row>
        <row r="17">
          <cell r="I17" t="str">
            <v>8A</v>
          </cell>
          <cell r="J17">
            <v>0.3</v>
          </cell>
          <cell r="K17">
            <v>0.6</v>
          </cell>
          <cell r="L17">
            <v>0.2</v>
          </cell>
          <cell r="M17">
            <v>7.4999999999999997E-2</v>
          </cell>
          <cell r="N17">
            <v>1.6</v>
          </cell>
          <cell r="O17">
            <v>5.8</v>
          </cell>
          <cell r="P17" t="str">
            <v>N.A.</v>
          </cell>
          <cell r="Q17">
            <v>0.2</v>
          </cell>
          <cell r="R17">
            <v>0.15</v>
          </cell>
          <cell r="S17">
            <v>1800</v>
          </cell>
          <cell r="T17">
            <v>0.15</v>
          </cell>
        </row>
        <row r="18">
          <cell r="I18" t="str">
            <v>8B</v>
          </cell>
          <cell r="J18">
            <v>0.15</v>
          </cell>
          <cell r="K18">
            <v>0.15</v>
          </cell>
          <cell r="L18">
            <v>0.2</v>
          </cell>
          <cell r="M18">
            <v>7.4999999999999997E-2</v>
          </cell>
          <cell r="N18">
            <v>1.6</v>
          </cell>
          <cell r="O18">
            <v>5.8</v>
          </cell>
          <cell r="P18" t="str">
            <v>N.A.</v>
          </cell>
          <cell r="Q18">
            <v>0.2</v>
          </cell>
          <cell r="R18">
            <v>0.15</v>
          </cell>
          <cell r="S18">
            <v>1650</v>
          </cell>
          <cell r="T18">
            <v>0.15</v>
          </cell>
        </row>
        <row r="19">
          <cell r="I19" t="str">
            <v>10A</v>
          </cell>
          <cell r="J19">
            <v>0.3</v>
          </cell>
          <cell r="K19">
            <v>0.6</v>
          </cell>
          <cell r="L19">
            <v>0.2</v>
          </cell>
          <cell r="M19">
            <v>0.1</v>
          </cell>
          <cell r="N19">
            <v>1.8</v>
          </cell>
          <cell r="O19">
            <v>8.0500000000000007</v>
          </cell>
          <cell r="P19" t="str">
            <v>N.A.</v>
          </cell>
          <cell r="Q19">
            <v>0.2</v>
          </cell>
          <cell r="R19">
            <v>0.15</v>
          </cell>
          <cell r="S19">
            <v>2200</v>
          </cell>
          <cell r="T19">
            <v>0.15</v>
          </cell>
        </row>
        <row r="20">
          <cell r="I20" t="str">
            <v>10B</v>
          </cell>
          <cell r="J20">
            <v>0.15</v>
          </cell>
          <cell r="K20">
            <v>0.15</v>
          </cell>
          <cell r="L20">
            <v>0.2</v>
          </cell>
          <cell r="M20">
            <v>0.1</v>
          </cell>
          <cell r="N20">
            <v>1.8</v>
          </cell>
          <cell r="O20">
            <v>8.0500000000000007</v>
          </cell>
          <cell r="P20" t="str">
            <v>N.A.</v>
          </cell>
          <cell r="Q20">
            <v>0.2</v>
          </cell>
          <cell r="R20">
            <v>0.15</v>
          </cell>
          <cell r="S20">
            <v>2000</v>
          </cell>
          <cell r="T20">
            <v>0.15</v>
          </cell>
        </row>
        <row r="21">
          <cell r="I21" t="str">
            <v>12A</v>
          </cell>
          <cell r="J21">
            <v>0</v>
          </cell>
          <cell r="K21">
            <v>0</v>
          </cell>
          <cell r="L21">
            <v>0</v>
          </cell>
          <cell r="M21">
            <v>0</v>
          </cell>
          <cell r="N21">
            <v>0</v>
          </cell>
          <cell r="O21">
            <v>0</v>
          </cell>
          <cell r="P21">
            <v>0</v>
          </cell>
          <cell r="Q21">
            <v>0</v>
          </cell>
          <cell r="R21">
            <v>0</v>
          </cell>
          <cell r="S21">
            <v>4500</v>
          </cell>
        </row>
        <row r="22">
          <cell r="I22" t="str">
            <v>12B</v>
          </cell>
          <cell r="J22">
            <v>0.3</v>
          </cell>
          <cell r="K22">
            <v>0.1</v>
          </cell>
          <cell r="L22">
            <v>0.15</v>
          </cell>
          <cell r="M22">
            <v>0.1</v>
          </cell>
          <cell r="N22">
            <v>2</v>
          </cell>
          <cell r="O22">
            <v>10</v>
          </cell>
          <cell r="P22">
            <v>0</v>
          </cell>
          <cell r="Q22">
            <v>0.45</v>
          </cell>
          <cell r="R22">
            <v>0.35</v>
          </cell>
          <cell r="S22">
            <v>4100</v>
          </cell>
          <cell r="T22">
            <v>0.2</v>
          </cell>
        </row>
      </sheetData>
      <sheetData sheetId="42"/>
      <sheetData sheetId="43"/>
      <sheetData sheetId="44"/>
      <sheetData sheetId="45"/>
      <sheetData sheetId="46" refreshError="1"/>
      <sheetData sheetId="47" refreshError="1"/>
      <sheetData sheetId="48" refreshError="1"/>
      <sheetData sheetId="49" refreshError="1"/>
      <sheetData sheetId="50" refreshError="1"/>
      <sheetData sheetId="51"/>
      <sheetData sheetId="52"/>
      <sheetData sheetId="53"/>
      <sheetData sheetId="54"/>
      <sheetData sheetId="55"/>
      <sheetData sheetId="56"/>
      <sheetData sheetId="57"/>
      <sheetData sheetId="58"/>
      <sheetData sheetId="59"/>
      <sheetData sheetId="60"/>
      <sheetData sheetId="61"/>
      <sheetData sheetId="62"/>
      <sheetData sheetId="63"/>
      <sheetData sheetId="64"/>
      <sheetData sheetId="65"/>
      <sheetData sheetId="66"/>
      <sheetData sheetId="67"/>
      <sheetData sheetId="68"/>
      <sheetData sheetId="69"/>
      <sheetData sheetId="70"/>
      <sheetData sheetId="71"/>
      <sheetData sheetId="72"/>
      <sheetData sheetId="73"/>
      <sheetData sheetId="74"/>
      <sheetData sheetId="75"/>
      <sheetData sheetId="76"/>
      <sheetData sheetId="77"/>
      <sheetData sheetId="78"/>
      <sheetData sheetId="79"/>
      <sheetData sheetId="80"/>
      <sheetData sheetId="81"/>
      <sheetData sheetId="82"/>
      <sheetData sheetId="83"/>
      <sheetData sheetId="84"/>
      <sheetData sheetId="85"/>
      <sheetData sheetId="86"/>
      <sheetData sheetId="87"/>
      <sheetData sheetId="88"/>
      <sheetData sheetId="89"/>
      <sheetData sheetId="90"/>
      <sheetData sheetId="91"/>
      <sheetData sheetId="92"/>
      <sheetData sheetId="93"/>
      <sheetData sheetId="94"/>
      <sheetData sheetId="95"/>
      <sheetData sheetId="96"/>
      <sheetData sheetId="97"/>
      <sheetData sheetId="98"/>
      <sheetData sheetId="99"/>
      <sheetData sheetId="100"/>
      <sheetData sheetId="101" refreshError="1"/>
      <sheetData sheetId="102" refreshError="1"/>
      <sheetData sheetId="103" refreshError="1"/>
      <sheetData sheetId="104" refreshError="1"/>
      <sheetData sheetId="105" refreshError="1"/>
      <sheetData sheetId="106" refreshError="1"/>
      <sheetData sheetId="107" refreshError="1"/>
      <sheetData sheetId="108"/>
      <sheetData sheetId="109"/>
      <sheetData sheetId="110"/>
      <sheetData sheetId="111"/>
      <sheetData sheetId="112"/>
      <sheetData sheetId="113"/>
      <sheetData sheetId="114"/>
      <sheetData sheetId="115"/>
      <sheetData sheetId="116"/>
      <sheetData sheetId="117"/>
      <sheetData sheetId="118"/>
      <sheetData sheetId="119"/>
      <sheetData sheetId="120"/>
      <sheetData sheetId="121"/>
      <sheetData sheetId="122"/>
      <sheetData sheetId="123"/>
      <sheetData sheetId="124"/>
      <sheetData sheetId="125"/>
      <sheetData sheetId="126"/>
      <sheetData sheetId="127"/>
      <sheetData sheetId="128"/>
      <sheetData sheetId="129"/>
      <sheetData sheetId="130"/>
      <sheetData sheetId="131"/>
      <sheetData sheetId="132"/>
      <sheetData sheetId="133"/>
      <sheetData sheetId="134"/>
      <sheetData sheetId="135"/>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sheetData sheetId="244"/>
      <sheetData sheetId="245"/>
      <sheetData sheetId="246"/>
      <sheetData sheetId="247"/>
      <sheetData sheetId="248"/>
      <sheetData sheetId="249"/>
      <sheetData sheetId="250"/>
      <sheetData sheetId="251"/>
      <sheetData sheetId="252"/>
      <sheetData sheetId="253"/>
      <sheetData sheetId="254"/>
      <sheetData sheetId="255"/>
      <sheetData sheetId="256"/>
      <sheetData sheetId="257"/>
      <sheetData sheetId="258"/>
      <sheetData sheetId="259"/>
      <sheetData sheetId="260"/>
      <sheetData sheetId="261"/>
      <sheetData sheetId="262"/>
      <sheetData sheetId="263"/>
      <sheetData sheetId="264"/>
      <sheetData sheetId="265"/>
      <sheetData sheetId="266"/>
      <sheetData sheetId="267"/>
      <sheetData sheetId="268"/>
      <sheetData sheetId="269"/>
      <sheetData sheetId="270"/>
      <sheetData sheetId="271"/>
      <sheetData sheetId="272"/>
      <sheetData sheetId="273"/>
      <sheetData sheetId="274"/>
      <sheetData sheetId="275"/>
      <sheetData sheetId="276"/>
      <sheetData sheetId="277"/>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Set>
  </externalBook>
</externalLink>
</file>

<file path=xl/externalLinks/externalLink1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Ann-Akoli"/>
      <sheetName val="Annex-C"/>
      <sheetName val="ES-akoli"/>
      <sheetName val="abs-akoli"/>
      <sheetName val="abs (2)akoli"/>
      <sheetName val="est-Akoli"/>
      <sheetName val="Cd nam"/>
      <sheetName val="cd namnoor 1"/>
      <sheetName val="sub-1"/>
      <sheetName val="sub-2"/>
      <sheetName val="sub-3"/>
      <sheetName val="sub-4"/>
      <sheetName val="ewcal (2)-akoli"/>
      <sheetName val="ewcal-akoli"/>
      <sheetName val="cover-Akoli"/>
      <sheetName val="Ann-Korta"/>
      <sheetName val="cover-korta"/>
      <sheetName val="Culvert-3"/>
      <sheetName val="Culvert-(2)"/>
      <sheetName val="Culvert-1"/>
      <sheetName val="abs (2)ko"/>
      <sheetName val="abs-korta"/>
      <sheetName val="est-korta"/>
      <sheetName val="ES-korta"/>
      <sheetName val="ewcal-korta (2)"/>
      <sheetName val="ewcal-korta"/>
      <sheetName val="Lead"/>
      <sheetName val="data"/>
      <sheetName val="abs_(2)akoli"/>
      <sheetName val="Cd_nam"/>
      <sheetName val="cd_namnoor_1"/>
      <sheetName val="ewcal_(2)-akoli"/>
      <sheetName val="abs_(2)ko"/>
      <sheetName val="ewcal-korta_(2)"/>
      <sheetName val="Data.F8.BTR"/>
      <sheetName val="r"/>
      <sheetName val="abs_(2)akoli1"/>
      <sheetName val="Cd_nam1"/>
      <sheetName val="cd_namnoor_11"/>
      <sheetName val="ewcal_(2)-akoli1"/>
      <sheetName val="abs_(2)ko1"/>
      <sheetName val="ewcal-korta_(2)1"/>
      <sheetName val="Data_F8_BTR"/>
      <sheetName val="HDPE"/>
      <sheetName val="DI"/>
      <sheetName val="pvc"/>
      <sheetName val="pvc_basic"/>
      <sheetName val="hdpe_basic"/>
      <sheetName val="data existing_do not delete"/>
      <sheetName val="maya"/>
      <sheetName val="coverpage"/>
      <sheetName val="Road data"/>
      <sheetName val="leads"/>
      <sheetName val="Sheet1"/>
      <sheetName val="Levels"/>
      <sheetName val="Common "/>
      <sheetName val="rdamdata"/>
      <sheetName val="Work_sheet"/>
      <sheetName val="t_prsr"/>
      <sheetName val="id"/>
      <sheetName val="GN_ST_10"/>
      <sheetName val="GN-ST-10"/>
      <sheetName val="Usage"/>
      <sheetName val="General"/>
      <sheetName val="Cover"/>
      <sheetName val="MRATES"/>
      <sheetName val="DATA-BASE"/>
      <sheetName val="DATA-ABSTRACT"/>
      <sheetName val="Bitumen trunk"/>
      <sheetName val="Feeder"/>
      <sheetName val="R99 etc"/>
      <sheetName val="Trunk unpaved"/>
      <sheetName val="Material"/>
      <sheetName val="Works"/>
      <sheetName val="RMR"/>
      <sheetName val="segments-details"/>
      <sheetName val="int-Dia-hdpe"/>
      <sheetName val="habs-list"/>
      <sheetName val="int-Dia-pvc"/>
      <sheetName val="Sheet1 (2)"/>
      <sheetName val="Lead statement"/>
      <sheetName val="Lead statement ss5"/>
      <sheetName val="GF SB Ok "/>
      <sheetName val="lead-st"/>
      <sheetName val="Specification report"/>
      <sheetName val="Class IV Qtr. Ele"/>
      <sheetName val="SUMP1420KL@HW"/>
      <sheetName val="Sheet2"/>
      <sheetName val="Compound wall  Ok"/>
      <sheetName val="R_Det"/>
      <sheetName val="Data_Base"/>
      <sheetName val="Factory_rates"/>
      <sheetName val="Specification"/>
      <sheetName val="quarry"/>
      <sheetName val="Plant &amp;  Machinery"/>
      <sheetName val="Labour"/>
      <sheetName val="BWSCPlt"/>
      <sheetName val="CI"/>
      <sheetName val="G.R.P"/>
      <sheetName val="PSC REVISED"/>
      <sheetName val="Process"/>
      <sheetName val="m"/>
      <sheetName val="Design"/>
      <sheetName val="Analy_7-10"/>
      <sheetName val="DataInput"/>
      <sheetName val="DataInput-1"/>
      <sheetName val="DI Rate Analysis"/>
      <sheetName val="abs_(2)akoli2"/>
      <sheetName val="Cd_nam2"/>
      <sheetName val="cd_namnoor_12"/>
      <sheetName val="ewcal_(2)-akoli2"/>
      <sheetName val="abs_(2)ko2"/>
      <sheetName val="ewcal-korta_(2)2"/>
      <sheetName val="Data_F8_BTR1"/>
      <sheetName val="data_existing_do_not_delete"/>
      <sheetName val="Road_data"/>
      <sheetName val="Common_"/>
      <sheetName val="abs_(2)akoli3"/>
      <sheetName val="Cd_nam3"/>
      <sheetName val="cd_namnoor_13"/>
      <sheetName val="ewcal_(2)-akoli3"/>
      <sheetName val="abs_(2)ko3"/>
      <sheetName val="ewcal-korta_(2)3"/>
      <sheetName val="Data_F8_BTR2"/>
      <sheetName val="data_existing_do_not_delete1"/>
      <sheetName val="Road_data1"/>
      <sheetName val="Common_1"/>
      <sheetName val="cover-Akoly"/>
      <sheetName val="cover-oorta"/>
      <sheetName val="ewcal-korti_(2)1"/>
      <sheetName val="int-Diá-pvc"/>
      <sheetName val="HDPE-pipe-rates"/>
      <sheetName val="pvc-pipe-rates"/>
      <sheetName val="m1"/>
      <sheetName val="v"/>
      <sheetName val="Rate"/>
      <sheetName val="Abs PMRL"/>
      <sheetName val="Summary"/>
      <sheetName val="SSR 2014-15 Rates"/>
      <sheetName val="Rates"/>
      <sheetName val="DATA_PRG"/>
      <sheetName val="Main sheet"/>
      <sheetName val="Av.G Level"/>
      <sheetName val="ewst"/>
      <sheetName val="sg-clay(d)"/>
      <sheetName val="sch"/>
      <sheetName val="zone-8"/>
      <sheetName val="MHNO_LEV"/>
      <sheetName val="Data rough"/>
      <sheetName val="Main"/>
      <sheetName val="dlvoid"/>
      <sheetName val="slab"/>
      <sheetName val="Staff Acco."/>
      <sheetName val="Challan"/>
      <sheetName val="dump"/>
      <sheetName val="HPs HPs"/>
      <sheetName val="stone"/>
      <sheetName val="RAFT"/>
      <sheetName val="scour depth"/>
      <sheetName val="PRECAST lightconc-II"/>
      <sheetName val="Design of two-way slab"/>
      <sheetName val="C-data"/>
      <sheetName val="MRMECADAMoad data"/>
      <sheetName val="p&amp;m"/>
      <sheetName val="Boq (Main Building)"/>
      <sheetName val="abs road"/>
      <sheetName val="Lookup"/>
      <sheetName val="Bridge Data 2005-06"/>
      <sheetName val="Rates SSR 2008-09"/>
      <sheetName val="moments-table(tri)"/>
      <sheetName val="ssr-rates"/>
      <sheetName val="final abstract"/>
      <sheetName val="Boq"/>
      <sheetName val="Convey"/>
      <sheetName val="DATA-2005-06"/>
      <sheetName val="MRoad data"/>
      <sheetName val="Abs"/>
      <sheetName val="BTR"/>
      <sheetName val="GenAbst"/>
      <sheetName val="Road data-TDR"/>
      <sheetName val="51"/>
      <sheetName val="mlead"/>
      <sheetName val="pop"/>
      <sheetName val="HS 30.04.2015.Final"/>
      <sheetName val="nodes"/>
      <sheetName val="int-Dia"/>
      <sheetName val="JAWAHAR-hyd-original"/>
      <sheetName val="Sheet9"/>
      <sheetName val="hdpe_rates"/>
      <sheetName val="hdpe_wt-r"/>
      <sheetName val="pvc-rates"/>
      <sheetName val="PVC weights"/>
      <sheetName val="index"/>
      <sheetName val="detls"/>
      <sheetName val="pumping main"/>
      <sheetName val="hdpe weights"/>
      <sheetName val=" data sheet "/>
      <sheetName val="HS 1"/>
      <sheetName val="0000000000000"/>
      <sheetName val="title"/>
      <sheetName val="pier design"/>
      <sheetName val="Road Detail Est."/>
      <sheetName val="Nspt-smp-final-ORIGINAL"/>
      <sheetName val="Sheet1_(2)"/>
      <sheetName val="Bitumen_trunk"/>
      <sheetName val="R99_etc"/>
      <sheetName val="Trunk_unpaved"/>
      <sheetName val="GF_SB_Ok_"/>
      <sheetName val="Data-ELSR"/>
      <sheetName val=" Data -Valves"/>
      <sheetName val="PUMP_DATA"/>
      <sheetName val="water-hammar-strenght"/>
      <sheetName val="wh_data"/>
      <sheetName val="wh_data_R"/>
      <sheetName val="CPHEEO"/>
      <sheetName val="input"/>
      <sheetName val="TBAL9697 -group wise  sdpl"/>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refreshError="1"/>
      <sheetData sheetId="29" refreshError="1"/>
      <sheetData sheetId="30" refreshError="1"/>
      <sheetData sheetId="31" refreshError="1"/>
      <sheetData sheetId="32" refreshError="1"/>
      <sheetData sheetId="33" refreshError="1"/>
      <sheetData sheetId="34" refreshError="1"/>
      <sheetData sheetId="35"/>
      <sheetData sheetId="36" refreshError="1"/>
      <sheetData sheetId="37" refreshError="1"/>
      <sheetData sheetId="38" refreshError="1"/>
      <sheetData sheetId="39" refreshError="1"/>
      <sheetData sheetId="40" refreshError="1"/>
      <sheetData sheetId="41" refreshError="1"/>
      <sheetData sheetId="42" refreshError="1"/>
      <sheetData sheetId="43"/>
      <sheetData sheetId="44"/>
      <sheetData sheetId="45"/>
      <sheetData sheetId="46"/>
      <sheetData sheetId="47"/>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Set>
  </externalBook>
</externalLink>
</file>

<file path=xl/externalLinks/externalLink1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atr"/>
      <sheetName val="ew-cal"/>
      <sheetName val="ann-b"/>
      <sheetName val="Abstrct "/>
      <sheetName val="est"/>
      <sheetName val="Lead"/>
      <sheetName val="Data"/>
      <sheetName val="she"/>
      <sheetName val="Part A"/>
      <sheetName val="Material"/>
      <sheetName val="Plant &amp;  Machinery"/>
      <sheetName val="Lead statement ss5"/>
      <sheetName val="DATA-BASE"/>
      <sheetName val="DATA-ABSTRACT"/>
      <sheetName val="v"/>
      <sheetName val="r"/>
      <sheetName val="Abstrct_"/>
      <sheetName val="Part_A"/>
      <sheetName val="Abstr#t "/>
      <sheetName val="Sheet1"/>
      <sheetName val="LEADS"/>
      <sheetName val="ewst"/>
      <sheetName val="Labour"/>
      <sheetName val="m"/>
      <sheetName val="maya"/>
      <sheetName val="detls"/>
      <sheetName val="Bitumen trunk"/>
      <sheetName val="Feeder"/>
      <sheetName val="R99 etc"/>
      <sheetName val="Trunk unpaved"/>
      <sheetName val="MRATES"/>
      <sheetName val="Lead statement"/>
      <sheetName val="DATA_PRG"/>
      <sheetName val="segments-details"/>
      <sheetName val="int-Dia-hdpe"/>
      <sheetName val="habs-list"/>
      <sheetName val="int-Dia-pvc"/>
      <sheetName val="abs road"/>
      <sheetName val="coverpage"/>
      <sheetName val="Road data"/>
      <sheetName val="TS memo"/>
      <sheetName val="pvc-pipe-rates"/>
      <sheetName val="RAFT"/>
      <sheetName val="scour depth"/>
      <sheetName val="RMR"/>
      <sheetName val="Bridge Data 2005-06"/>
      <sheetName val="GROUND FLOOR"/>
      <sheetName val="Levels"/>
      <sheetName val="CD_Data"/>
      <sheetName val="MRoad data"/>
      <sheetName val="Input"/>
      <sheetName val="Data.F8.BTR"/>
      <sheetName val="Boq"/>
      <sheetName val="C.D.Abs.Est."/>
      <sheetName val="Common "/>
      <sheetName val="Abstrct_1"/>
      <sheetName val="Part_A1"/>
      <sheetName val="Plant_&amp;__Machinery"/>
      <sheetName val="Lead_statement_ss5"/>
      <sheetName val="Abstr#t_"/>
      <sheetName val="Abstrct_2"/>
      <sheetName val="Part_A2"/>
      <sheetName val="Plant_&amp;__Machinery1"/>
      <sheetName val="Lead_statement_ss51"/>
      <sheetName val="Abstr#t_1"/>
      <sheetName val="CD Data"/>
      <sheetName val="C-data"/>
      <sheetName val="lead-st"/>
      <sheetName val="data existing_do not delete"/>
      <sheetName val="WATER-HAMMER"/>
      <sheetName val="rdamdata"/>
      <sheetName val="SUMP1420KL@HW"/>
      <sheetName val="Sheet2"/>
      <sheetName val="SALIENT"/>
      <sheetName val="CPIPE2"/>
      <sheetName val="Bill-12"/>
      <sheetName val="Pop"/>
      <sheetName val="EDWise"/>
      <sheetName val="mlead"/>
      <sheetName val="R_Det"/>
      <sheetName val="Main sheet"/>
      <sheetName val="m1"/>
      <sheetName val="Rates"/>
      <sheetName val="HDPE"/>
      <sheetName val="DI"/>
      <sheetName val="pvc"/>
      <sheetName val="DISCOUNT"/>
      <sheetName val="Mp-team 1"/>
      <sheetName val="Iocount"/>
      <sheetName val="DATA SHEET"/>
      <sheetName val="Lead Distance"/>
      <sheetName val="Work_sheet"/>
      <sheetName val="banilad"/>
      <sheetName val="Mactan"/>
      <sheetName val="Mandaue"/>
      <sheetName val="p&amp;m"/>
      <sheetName val="10"/>
      <sheetName val="11"/>
      <sheetName val="12"/>
      <sheetName val="2A"/>
      <sheetName val="2B"/>
      <sheetName val="2C"/>
      <sheetName val="2D"/>
      <sheetName val="2E"/>
      <sheetName val="2F"/>
      <sheetName val="2G"/>
      <sheetName val="2H"/>
      <sheetName val="3A"/>
      <sheetName val="3B"/>
      <sheetName val="4"/>
      <sheetName val="6A"/>
      <sheetName val="6B"/>
      <sheetName val="7A"/>
      <sheetName val="7B"/>
      <sheetName val="8A"/>
      <sheetName val="8B"/>
      <sheetName val="9A"/>
      <sheetName val="9B"/>
      <sheetName val="9C"/>
      <sheetName val="9D"/>
      <sheetName val="9E"/>
      <sheetName val="9F"/>
      <sheetName val="9G"/>
      <sheetName val="9H"/>
      <sheetName val="9I"/>
      <sheetName val="9J"/>
      <sheetName val="9K"/>
      <sheetName val="5"/>
      <sheetName val="13"/>
      <sheetName val="1"/>
      <sheetName val="14"/>
      <sheetName val="SubAnalysis"/>
      <sheetName val="nodes"/>
      <sheetName val="int-Dia"/>
      <sheetName val="Convey"/>
      <sheetName val="PH data"/>
      <sheetName val="Quarry"/>
      <sheetName val="Mix Design"/>
      <sheetName val="GF Columns"/>
      <sheetName val="DATA-2005-06"/>
      <sheetName val="Data-2011-12"/>
      <sheetName val="ultmom"/>
      <sheetName val="foundation(V)"/>
      <sheetName val="Specification report"/>
      <sheetName val="Flanged Beams"/>
      <sheetName val="Rectangular Beam"/>
      <sheetName val="PUMP_DATA"/>
      <sheetName val="0000000000000"/>
      <sheetName val="Habcodes"/>
    </sheetNames>
    <sheetDataSet>
      <sheetData sheetId="0" refreshError="1"/>
      <sheetData sheetId="1" refreshError="1"/>
      <sheetData sheetId="2" refreshError="1"/>
      <sheetData sheetId="3" refreshError="1"/>
      <sheetData sheetId="4" refreshError="1"/>
      <sheetData sheetId="5" refreshError="1"/>
      <sheetData sheetId="6"/>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Set>
  </externalBook>
</externalLink>
</file>

<file path=xl/externalLinks/externalLink1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COVER_SHEET"/>
      <sheetName val="ANNEX"/>
      <sheetName val="P_REPORT"/>
      <sheetName val="SPECIFICATION"/>
      <sheetName val="ABS"/>
      <sheetName val="ESTT_MOST"/>
      <sheetName val="m"/>
      <sheetName val="M2"/>
      <sheetName val="M3"/>
      <sheetName val="m1"/>
      <sheetName val="DATA"/>
      <sheetName val="LE"/>
      <sheetName val="Sheet1"/>
      <sheetName val="r"/>
      <sheetName val="0000000000000"/>
      <sheetName val="Abstrct "/>
      <sheetName val="Abstrct  CD works"/>
      <sheetName val="est"/>
      <sheetName val="Quarry"/>
      <sheetName val="Lead"/>
      <sheetName val="Slab cul-2m span 1"/>
      <sheetName val="Slab cul-3m span 2"/>
      <sheetName val="Slab cul-2m span 3"/>
      <sheetName val="Slab cul-2m span 4"/>
      <sheetName val="CC over pitching"/>
      <sheetName val="Data CD"/>
      <sheetName val="XXXXXXXXXXXXX"/>
      <sheetName val="XXXXXXXXXXXX0"/>
      <sheetName val="Leadstatement "/>
      <sheetName val="exe"/>
      <sheetName val="insp"/>
      <sheetName val="sp"/>
      <sheetName val="Sheet3"/>
      <sheetName val="sub-est"/>
      <sheetName val="ann-b"/>
      <sheetName val="EWCal"/>
      <sheetName val="Sheet4"/>
      <sheetName val="COR.EST"/>
      <sheetName val="Abstrct-Part A"/>
      <sheetName val="Lead Statement"/>
      <sheetName val="package summary"/>
      <sheetName val="Nindugerla"/>
      <sheetName val="cc pavement(b)"/>
      <sheetName val="foundations (b)"/>
      <sheetName val="est  (mord)"/>
      <sheetName val="Check Slip"/>
      <sheetName val="Sub Estiamte (2)"/>
      <sheetName val="Field Data"/>
      <sheetName val="Field Data (2)"/>
      <sheetName val="Field Data (3)"/>
      <sheetName val="3day Count"/>
      <sheetName val="Gen. Abstract"/>
      <sheetName val="Leads"/>
      <sheetName val="Material"/>
      <sheetName val="Plant &amp;  Machinery"/>
      <sheetName val="DATA-CD "/>
      <sheetName val="coverpage"/>
      <sheetName val="Road data"/>
      <sheetName val="maya"/>
      <sheetName val="v"/>
      <sheetName val="SUMP1420KL@HW"/>
      <sheetName val="Sheet2"/>
      <sheetName val="Mp-team 1"/>
    </sheetNames>
    <sheetDataSet>
      <sheetData sheetId="0" refreshError="1"/>
      <sheetData sheetId="1" refreshError="1"/>
      <sheetData sheetId="2" refreshError="1"/>
      <sheetData sheetId="3" refreshError="1"/>
      <sheetData sheetId="4" refreshError="1"/>
      <sheetData sheetId="5" refreshError="1"/>
      <sheetData sheetId="6" refreshError="1">
        <row r="3">
          <cell r="M3">
            <v>117</v>
          </cell>
        </row>
        <row r="149">
          <cell r="B149" t="str">
            <v>Bijnepally</v>
          </cell>
          <cell r="D149" t="str">
            <v>Bijnepally</v>
          </cell>
        </row>
      </sheetData>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Set>
  </externalBook>
</externalLink>
</file>

<file path=xl/externalLinks/externalLink1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COVER"/>
      <sheetName val="SPE"/>
      <sheetName val="WORK"/>
      <sheetName val="SEIG (2)"/>
      <sheetName val="LEAD 2019-20"/>
      <sheetName val="DATA 2019-20"/>
      <sheetName val="CS"/>
      <sheetName val="CR"/>
      <sheetName val="CC f"/>
      <sheetName val="ccbc"/>
      <sheetName val="SEIG (3)"/>
      <sheetName val="CERT"/>
      <sheetName val="RE-DE"/>
      <sheetName val="CON 19-20"/>
    </sheetNames>
    <definedNames>
      <definedName name="Last_Row" refersTo="#REF!" sheetId="7"/>
      <definedName name="Number_of_Payments" refersTo="#REF!" sheetId="7"/>
      <definedName name="Values_Entered" refersTo="#REF!" sheetId="7"/>
    </defined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Set>
  </externalBook>
</externalLink>
</file>

<file path=xl/externalLinks/externalLink1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heet1"/>
      <sheetName val="Contents"/>
      <sheetName val="Plant &amp;  Machinery"/>
      <sheetName val="Labour"/>
      <sheetName val="Lead statement"/>
      <sheetName val="Conveyance"/>
      <sheetName val="Material"/>
      <sheetName val="Summary of Rates"/>
      <sheetName val="Preambles-Chapter"/>
      <sheetName val="Basic Approach"/>
      <sheetName val="Preamble-1"/>
      <sheetName val="Preamble-2"/>
      <sheetName val="Preamble-3"/>
      <sheetName val="Preamble-4"/>
      <sheetName val="Preamble-5"/>
      <sheetName val="Preamble-6"/>
      <sheetName val="Preamble-7"/>
      <sheetName val="Preamble-8"/>
      <sheetName val="Preamble-9"/>
      <sheetName val="Preamble-10"/>
      <sheetName val="Preamble-11"/>
      <sheetName val="Preamble-12"/>
      <sheetName val="Preamble-13"/>
      <sheetName val="Preamble-14"/>
      <sheetName val="Preamble-15"/>
      <sheetName val="Chapter-1"/>
      <sheetName val="Chapter-2"/>
      <sheetName val="Chapter-3"/>
      <sheetName val="Chapter-4"/>
      <sheetName val="Chapter-5"/>
      <sheetName val="Chapter-6"/>
      <sheetName val="Chapter-7"/>
      <sheetName val="Chapter-8"/>
      <sheetName val="Chapter-9"/>
      <sheetName val="Chapter-10"/>
      <sheetName val="Chapter-11"/>
      <sheetName val="Chapter-12"/>
      <sheetName val="Chapter-13"/>
      <sheetName val="Chapter-14"/>
      <sheetName val="Chapter-15"/>
      <sheetName val="Summary"/>
      <sheetName val="Abbreviations"/>
      <sheetName val="Sheet2"/>
      <sheetName val="Chapt%r-2"/>
      <sheetName val="Lead"/>
      <sheetName val="Plant _  Machinery"/>
      <sheetName val="ewst"/>
      <sheetName val="Plant_&amp;__Machinery"/>
      <sheetName val="Lead_statement"/>
      <sheetName val="Summary_of_Rates"/>
      <sheetName val="Basic_Approach"/>
      <sheetName val="Plant_&amp;__Machinery1"/>
      <sheetName val="Lead_statement1"/>
      <sheetName val="Summary_of_Rates1"/>
      <sheetName val="Basic_Approach1"/>
      <sheetName val="m"/>
      <sheetName val="leads"/>
      <sheetName val="v"/>
      <sheetName val="Plant_&amp;__Machinery2"/>
      <sheetName val="Lead_statement2"/>
      <sheetName val="Summary_of_Rates2"/>
      <sheetName val="Basic_Approach2"/>
      <sheetName val="Plant____Machinery"/>
      <sheetName val="Sheet1 (2)"/>
      <sheetName val="MRATES"/>
      <sheetName val="Common "/>
      <sheetName val="t_prsr"/>
      <sheetName val="wh"/>
      <sheetName val="Iocount"/>
      <sheetName val="detls"/>
      <sheetName val="r"/>
      <sheetName val="HDPE-pipe-rates"/>
      <sheetName val="pvc-pipe-rates"/>
      <sheetName val="hdpe weights"/>
      <sheetName val="PVC weights"/>
      <sheetName val="maya"/>
      <sheetName val="Sheet5"/>
      <sheetName val="habs-list"/>
      <sheetName val="nodes"/>
      <sheetName val="Data"/>
      <sheetName val="index"/>
      <sheetName val="Sheet3"/>
      <sheetName val="DATA_PRG"/>
      <sheetName val="RMR"/>
      <sheetName val="hdpe-rates"/>
      <sheetName val="pvc-rates"/>
      <sheetName val="int-Dia-hdpe"/>
      <sheetName val="int-Dia-pvc"/>
      <sheetName val="ssr-rates"/>
      <sheetName val="SSR 2014-15 Rates"/>
      <sheetName val="data existing_do not delete"/>
      <sheetName val="Specification report"/>
      <sheetName val="Road data"/>
      <sheetName val="mlead"/>
      <sheetName val="DATA-BASE"/>
      <sheetName val="DATA-ABSTRACT"/>
      <sheetName val="Publicbuilding"/>
      <sheetName val="0000000000000"/>
      <sheetName val="cert"/>
      <sheetName val="covence16-17"/>
      <sheetName val="Alapadu"/>
      <sheetName val="BWSCPlt"/>
      <sheetName val="CI"/>
      <sheetName val="DI"/>
      <sheetName val="G.R.P"/>
      <sheetName val="HDPE"/>
      <sheetName val="PSC REVISED"/>
      <sheetName val="pvc"/>
      <sheetName val="ARRR-ver-1104-Chandegaon"/>
      <sheetName val="Rates SSR 2008-09"/>
      <sheetName val="FORM7"/>
      <sheetName val="l"/>
      <sheetName val="PS1"/>
      <sheetName val="mas_hab"/>
      <sheetName val="Plant_&amp;__Machinery6"/>
      <sheetName val="Lead_statement6"/>
      <sheetName val="Summary_of_Rates6"/>
      <sheetName val="Basic_Approach6"/>
      <sheetName val="Plant____Machinery3"/>
      <sheetName val="Sheet1_(2)2"/>
      <sheetName val="Common_2"/>
      <sheetName val="hdpe_weights2"/>
      <sheetName val="PVC_weights2"/>
      <sheetName val="Plant_&amp;__Machinery4"/>
      <sheetName val="Lead_statement4"/>
      <sheetName val="Summary_of_Rates4"/>
      <sheetName val="Basic_Approach4"/>
      <sheetName val="Plant_&amp;__Machinery3"/>
      <sheetName val="Lead_statement3"/>
      <sheetName val="Summary_of_Rates3"/>
      <sheetName val="Basic_Approach3"/>
      <sheetName val="Plant____Machinery1"/>
      <sheetName val="Sheet1_(2)"/>
      <sheetName val="Common_"/>
      <sheetName val="hdpe_weights"/>
      <sheetName val="PVC_weights"/>
      <sheetName val="Plant_&amp;__Machinery5"/>
      <sheetName val="Lead_statement5"/>
      <sheetName val="Summary_of_Rates5"/>
      <sheetName val="Basic_Approach5"/>
      <sheetName val="Plant____Machinery2"/>
      <sheetName val="Sheet1_(2)1"/>
      <sheetName val="Common_1"/>
      <sheetName val="hdpe_weights1"/>
      <sheetName val="PVC_weights1"/>
      <sheetName val="Data.F8.BTR"/>
      <sheetName val="Plant 㫨  Machinery"/>
      <sheetName val="Plant_㫨__Machinery"/>
      <sheetName val="Plant_㫨__Machinery1"/>
      <sheetName val="Plant_㫨__Machinery2"/>
      <sheetName val="IO LIST"/>
      <sheetName val="coverpage"/>
      <sheetName val="R_Det"/>
      <sheetName val="abs road"/>
      <sheetName val="Activity No (A) ( 12)  "/>
      <sheetName val="int-Dia"/>
      <sheetName val="Data_Bit_I"/>
      <sheetName val="Quarry"/>
      <sheetName val="ABS"/>
      <sheetName val="Cover sheet"/>
      <sheetName val="Road Detail Est."/>
      <sheetName val="PRECAST lightconc-II"/>
      <sheetName val="Av.G Level"/>
      <sheetName val="Dn LF Sluice"/>
      <sheetName val="Bitumen trunk"/>
      <sheetName val="Feeder"/>
      <sheetName val="R99 etc"/>
      <sheetName val="Trunk unpaved"/>
      <sheetName val="Main sheet"/>
      <sheetName val="Design"/>
      <sheetName val="INPUT SHEET"/>
      <sheetName val="RES-PLANNING"/>
      <sheetName val="Macro1"/>
      <sheetName val="Nspt-smp-final-ORIGINAL"/>
      <sheetName val="id"/>
      <sheetName val="Wordsdata"/>
      <sheetName val="Specification"/>
      <sheetName val="Data 07-08 "/>
      <sheetName val="Indices"/>
      <sheetName val="MRoad data"/>
      <sheetName val="DISCOUNT"/>
      <sheetName val="Pop"/>
      <sheetName val="ew OG"/>
      <sheetName val="Revised rates(SSR 2015-16)"/>
      <sheetName val="Mp-team 1"/>
      <sheetName val="GN-ST-10"/>
      <sheetName val="SEGMENTS"/>
      <sheetName val="sectorwise"/>
      <sheetName val="Data base"/>
      <sheetName val="Work_sheet"/>
      <sheetName val="lable I"/>
      <sheetName val="Levels"/>
      <sheetName val="FB - 1L"/>
      <sheetName val="PROCTOR"/>
      <sheetName val="L040"/>
      <sheetName val="economic PM"/>
      <sheetName val="_x0000_A"/>
      <sheetName val=""/>
      <sheetName val=" data sheet "/>
      <sheetName val="Global factors"/>
      <sheetName val="Sketch"/>
      <sheetName val="Rd.Det.Est"/>
      <sheetName val="Masonry"/>
      <sheetName val="final abstract"/>
      <sheetName val="MASTER"/>
      <sheetName val="Process"/>
      <sheetName val="Data-ELSR"/>
      <sheetName val="Mortars"/>
      <sheetName val=" Data -Valves"/>
      <sheetName val="Cover"/>
      <sheetName val="segments-details"/>
      <sheetName val="Detailed"/>
      <sheetName val="I-CO"/>
      <sheetName val="hdpe_basic"/>
      <sheetName val="pvc_basic"/>
      <sheetName val="BM-HOOP"/>
      <sheetName val="PM&amp;GM"/>
      <sheetName val="water-hammar-strenght"/>
      <sheetName val="TOP SLAB-beams"/>
      <sheetName val="Ward areas"/>
      <sheetName val="Gates and Pergola Data"/>
      <sheetName val="labour rates"/>
      <sheetName val="CBL_OD"/>
      <sheetName val="ESTIMATE"/>
      <sheetName val="m1"/>
      <sheetName val="BTR"/>
      <sheetName val="GenAbst"/>
      <sheetName val="Rates"/>
      <sheetName val="SS TANK(HOMO)"/>
      <sheetName val="DATA SHEET"/>
      <sheetName val="Usage"/>
      <sheetName val="Rates2"/>
      <sheetName val="Data rough"/>
      <sheetName val="pumping main"/>
      <sheetName val="WATER-HAMMER"/>
      <sheetName val="LABOUR RATE"/>
      <sheetName val="Material Rate"/>
      <sheetName val="ww-march-02"/>
      <sheetName val="clvrt_data"/>
      <sheetName val="hdpe-int-Dia"/>
      <sheetName val="E-Table"/>
      <sheetName val="pvc-int-Dia"/>
      <sheetName val="Rates-May-14"/>
      <sheetName val="newabstract"/>
      <sheetName val="Plant_&amp;__Machinery7"/>
      <sheetName val="Lead_statement7"/>
      <sheetName val="Summary_of_Rates7"/>
      <sheetName val="Basic_Approach7"/>
      <sheetName val="Plant____Machinery4"/>
      <sheetName val="Sheet1_(2)3"/>
      <sheetName val="Common_3"/>
      <sheetName val="hdpe_weights3"/>
      <sheetName val="PVC_weights3"/>
      <sheetName val="Stability"/>
      <sheetName val="Analysis-NH-Roads"/>
      <sheetName val="Boq"/>
      <sheetName val="Spec"/>
      <sheetName val="2.0m  slab"/>
      <sheetName val="Rate Analysis"/>
      <sheetName val="Road work"/>
      <sheetName val="data_existing_do_not_delete"/>
      <sheetName val="Rates_SSR_2008-09"/>
      <sheetName val="Specification_report"/>
      <sheetName val="G_R_P"/>
      <sheetName val="PSC_REVISED"/>
      <sheetName val="SSR_2014-15_Rates"/>
      <sheetName val="Data_F8_BTR"/>
      <sheetName val="Plant_㫨__Machinery3"/>
      <sheetName val="Road_data"/>
      <sheetName val="IO_LIST"/>
      <sheetName val="Activity_No_(A)_(_12)__"/>
      <sheetName val="PRECAST_lightconc-II"/>
      <sheetName val="Bitumen_trunk"/>
      <sheetName val="R99_etc"/>
      <sheetName val="Trunk_unpaved"/>
      <sheetName val="Main_sheet"/>
      <sheetName val="Av_G_Level"/>
      <sheetName val="Dn_LF_Sluice"/>
      <sheetName val="INPUT_SHEET"/>
      <sheetName val="Data_base"/>
      <sheetName val="FB_-_1L"/>
      <sheetName val="final_abstract"/>
      <sheetName val="lable_I"/>
    </sheetNames>
    <sheetDataSet>
      <sheetData sheetId="0"/>
      <sheetData sheetId="1">
        <row r="4">
          <cell r="D4">
            <v>137</v>
          </cell>
        </row>
      </sheetData>
      <sheetData sheetId="2" refreshError="1">
        <row r="6">
          <cell r="G6">
            <v>4082</v>
          </cell>
        </row>
        <row r="9">
          <cell r="G9" t="str">
            <v>Input Rate</v>
          </cell>
        </row>
        <row r="15">
          <cell r="G15">
            <v>450</v>
          </cell>
        </row>
        <row r="17">
          <cell r="G17">
            <v>520</v>
          </cell>
        </row>
        <row r="20">
          <cell r="G20">
            <v>50</v>
          </cell>
        </row>
        <row r="25">
          <cell r="G25">
            <v>1128</v>
          </cell>
        </row>
        <row r="28">
          <cell r="G28">
            <v>519</v>
          </cell>
        </row>
        <row r="34">
          <cell r="G34">
            <v>275</v>
          </cell>
        </row>
        <row r="45">
          <cell r="G45">
            <v>200</v>
          </cell>
        </row>
      </sheetData>
      <sheetData sheetId="3" refreshError="1">
        <row r="4">
          <cell r="D4">
            <v>137</v>
          </cell>
        </row>
        <row r="8">
          <cell r="D8">
            <v>137</v>
          </cell>
        </row>
      </sheetData>
      <sheetData sheetId="4"/>
      <sheetData sheetId="5">
        <row r="6">
          <cell r="G6">
            <v>4082</v>
          </cell>
        </row>
      </sheetData>
      <sheetData sheetId="6" refreshError="1">
        <row r="42">
          <cell r="D42">
            <v>13875.8</v>
          </cell>
        </row>
        <row r="43">
          <cell r="D43" t="str">
            <v>Input Rate</v>
          </cell>
        </row>
        <row r="54">
          <cell r="D54" t="str">
            <v>Input Rate</v>
          </cell>
        </row>
        <row r="68">
          <cell r="D68" t="str">
            <v>Input Rate</v>
          </cell>
        </row>
        <row r="96">
          <cell r="D96" t="str">
            <v>Input Rate</v>
          </cell>
        </row>
        <row r="132">
          <cell r="D132" t="str">
            <v>Input Rate</v>
          </cell>
        </row>
        <row r="144">
          <cell r="D144" t="str">
            <v>Input Rate</v>
          </cell>
        </row>
      </sheetData>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refreshError="1"/>
      <sheetData sheetId="45"/>
      <sheetData sheetId="46"/>
      <sheetData sheetId="47"/>
      <sheetData sheetId="48"/>
      <sheetData sheetId="49"/>
      <sheetData sheetId="50"/>
      <sheetData sheetId="51"/>
      <sheetData sheetId="52"/>
      <sheetData sheetId="53"/>
      <sheetData sheetId="54" refreshError="1"/>
      <sheetData sheetId="55" refreshError="1"/>
      <sheetData sheetId="56" refreshError="1"/>
      <sheetData sheetId="57" refreshError="1"/>
      <sheetData sheetId="58" refreshError="1"/>
      <sheetData sheetId="59"/>
      <sheetData sheetId="60"/>
      <sheetData sheetId="61"/>
      <sheetData sheetId="62"/>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sheetData sheetId="191"/>
      <sheetData sheetId="192"/>
      <sheetData sheetId="193"/>
      <sheetData sheetId="194"/>
      <sheetData sheetId="195"/>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sheetData sheetId="236"/>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Set>
  </externalBook>
</externalLink>
</file>

<file path=xl/externalLinks/externalLink1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One vent Pipe"/>
      <sheetName val="Four vents"/>
      <sheetName val="two vents"/>
      <sheetName val="data"/>
      <sheetName val="Lead"/>
      <sheetName val="Designs"/>
      <sheetName val="3Vents"/>
      <sheetName val="Abut"/>
      <sheetName val="Pier"/>
      <sheetName val="Speci"/>
      <sheetName val="One vent "/>
      <sheetName val="Material"/>
      <sheetName val="Sheet1"/>
      <sheetName val="Contents"/>
      <sheetName val="Plant &amp;  Machinery"/>
      <sheetName val="Labour"/>
      <sheetName val="Lead statement (2)"/>
      <sheetName val="Lead statement"/>
      <sheetName val="Summary of Rates"/>
      <sheetName val="Preambles-Chapter"/>
      <sheetName val="Basic Approach"/>
      <sheetName val="Preamble-1"/>
      <sheetName val="Preamble-2"/>
      <sheetName val="Preamble-3"/>
      <sheetName val="Preamble-4"/>
      <sheetName val="Preamble-5"/>
      <sheetName val="Preamble-6"/>
      <sheetName val="Preamble-7"/>
      <sheetName val="Preamble-8"/>
      <sheetName val="Preamble-9"/>
      <sheetName val="Preamble-10"/>
      <sheetName val="Preamble-11"/>
      <sheetName val="Preamble-12"/>
      <sheetName val="Preamble-13"/>
      <sheetName val="Preamble-14"/>
      <sheetName val="Preamble-15"/>
      <sheetName val="Chapter-1"/>
      <sheetName val="Chapter-2"/>
      <sheetName val="Chapter-3"/>
      <sheetName val="Chapter-4"/>
      <sheetName val="Chapter-5"/>
      <sheetName val="Chapter-6"/>
      <sheetName val="Chapter-7"/>
      <sheetName val="Chapter-8"/>
      <sheetName val="Chapter-9"/>
      <sheetName val="Chapter-10"/>
      <sheetName val="Chapter-11"/>
      <sheetName val="Chapter-12"/>
      <sheetName val="Chapter-13"/>
      <sheetName val="Chapter-14"/>
      <sheetName val="Chapter-15"/>
      <sheetName val="Summary"/>
      <sheetName val="Abbreviations"/>
      <sheetName val="Sheet2"/>
      <sheetName val="Sheet3"/>
      <sheetName val="Lead (2)"/>
      <sheetName val="Data (2)"/>
      <sheetName val="Estimate"/>
      <sheetName val="XXXXXXXXXXXXX"/>
      <sheetName val="0000000000000"/>
      <sheetName val="6.5% (2)"/>
      <sheetName val="est (2)"/>
      <sheetName val="XXXXXXXXXXXX0"/>
      <sheetName val="Abstract (2)"/>
      <sheetName val="Detailed"/>
      <sheetName val="key (2)"/>
      <sheetName val="pro-B (2)"/>
      <sheetName val="est  (mord)"/>
      <sheetName val="est(old) "/>
      <sheetName val="6.5%"/>
      <sheetName val="10%"/>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row r="4">
          <cell r="D4">
            <v>852.89666666666676</v>
          </cell>
        </row>
        <row r="17">
          <cell r="D17">
            <v>689.98</v>
          </cell>
        </row>
        <row r="18">
          <cell r="D18">
            <v>893.73</v>
          </cell>
        </row>
        <row r="19">
          <cell r="D19">
            <v>562.29999999999995</v>
          </cell>
        </row>
        <row r="45">
          <cell r="D45">
            <v>28100</v>
          </cell>
        </row>
        <row r="46">
          <cell r="D46">
            <v>250</v>
          </cell>
        </row>
        <row r="51">
          <cell r="D51">
            <v>2400</v>
          </cell>
        </row>
        <row r="69">
          <cell r="D69">
            <v>50.5</v>
          </cell>
        </row>
        <row r="70">
          <cell r="D70">
            <v>10</v>
          </cell>
        </row>
        <row r="93">
          <cell r="D93">
            <v>604.79999999999995</v>
          </cell>
        </row>
        <row r="95">
          <cell r="D95">
            <v>5</v>
          </cell>
        </row>
        <row r="109">
          <cell r="D109">
            <v>48.6</v>
          </cell>
        </row>
        <row r="110">
          <cell r="D110">
            <v>18</v>
          </cell>
        </row>
        <row r="111">
          <cell r="D111">
            <v>3</v>
          </cell>
        </row>
        <row r="113">
          <cell r="D113">
            <v>4304.08</v>
          </cell>
        </row>
        <row r="114">
          <cell r="D114">
            <v>3301.82</v>
          </cell>
        </row>
        <row r="115">
          <cell r="D115">
            <v>2729.9849999999997</v>
          </cell>
        </row>
        <row r="117">
          <cell r="D117">
            <v>918.77</v>
          </cell>
        </row>
        <row r="118">
          <cell r="D118">
            <v>4581.2</v>
          </cell>
        </row>
        <row r="119">
          <cell r="D119">
            <v>3381.2</v>
          </cell>
        </row>
        <row r="120">
          <cell r="D120">
            <v>2515.83</v>
          </cell>
        </row>
        <row r="122">
          <cell r="D122">
            <v>732.86</v>
          </cell>
        </row>
        <row r="125">
          <cell r="D125">
            <v>295.8</v>
          </cell>
        </row>
        <row r="126">
          <cell r="D126">
            <v>339.3</v>
          </cell>
        </row>
        <row r="130">
          <cell r="D130">
            <v>27000</v>
          </cell>
        </row>
        <row r="146">
          <cell r="D146">
            <v>0.2</v>
          </cell>
        </row>
      </sheetData>
      <sheetData sheetId="12" refreshError="1"/>
      <sheetData sheetId="13" refreshError="1"/>
      <sheetData sheetId="14" refreshError="1">
        <row r="4">
          <cell r="G4">
            <v>196</v>
          </cell>
        </row>
        <row r="11">
          <cell r="G11">
            <v>150</v>
          </cell>
        </row>
        <row r="13">
          <cell r="G13">
            <v>2400</v>
          </cell>
        </row>
        <row r="23">
          <cell r="G23">
            <v>600</v>
          </cell>
        </row>
        <row r="27">
          <cell r="G27">
            <v>27.87</v>
          </cell>
        </row>
        <row r="30">
          <cell r="G30">
            <v>30</v>
          </cell>
        </row>
        <row r="31">
          <cell r="G31">
            <v>30</v>
          </cell>
        </row>
        <row r="48">
          <cell r="G48">
            <v>223</v>
          </cell>
        </row>
        <row r="53">
          <cell r="G53">
            <v>234</v>
          </cell>
        </row>
      </sheetData>
      <sheetData sheetId="15" refreshError="1">
        <row r="3">
          <cell r="D3">
            <v>156</v>
          </cell>
        </row>
        <row r="5">
          <cell r="D5">
            <v>137</v>
          </cell>
        </row>
        <row r="14">
          <cell r="D14">
            <v>156</v>
          </cell>
        </row>
        <row r="15">
          <cell r="D15">
            <v>137</v>
          </cell>
        </row>
        <row r="16">
          <cell r="D16">
            <v>137</v>
          </cell>
        </row>
        <row r="17">
          <cell r="D17">
            <v>106</v>
          </cell>
        </row>
        <row r="18">
          <cell r="D18">
            <v>137</v>
          </cell>
        </row>
        <row r="19">
          <cell r="D19">
            <v>156</v>
          </cell>
        </row>
        <row r="22">
          <cell r="D22">
            <v>165</v>
          </cell>
        </row>
      </sheetData>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Set>
  </externalBook>
</externalLink>
</file>

<file path=xl/externalLinks/externalLink1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heet1"/>
      <sheetName val="Contents"/>
      <sheetName val="Plant &amp;  Machinery"/>
      <sheetName val="Labour"/>
      <sheetName val="Material"/>
      <sheetName val="Summary of Rates"/>
      <sheetName val="Preambles-Chapter"/>
      <sheetName val="Basic Approach"/>
      <sheetName val="Preamble-1"/>
      <sheetName val="Preamble-2"/>
      <sheetName val="Preamble-3"/>
      <sheetName val="Preamble-4"/>
      <sheetName val="Preamble-5"/>
      <sheetName val="Preamble-6"/>
      <sheetName val="Preamble-7"/>
      <sheetName val="Preamble-8"/>
      <sheetName val="Preamble-9"/>
      <sheetName val="Preamble-10"/>
      <sheetName val="Preamble-11"/>
      <sheetName val="Preamble-12"/>
      <sheetName val="Preamble-13"/>
      <sheetName val="Preamble-14"/>
      <sheetName val="Preamble-15"/>
      <sheetName val="Chapter-1"/>
      <sheetName val="Chapter-2"/>
      <sheetName val="Chapter-3"/>
      <sheetName val="Chapter-4"/>
      <sheetName val="Chapter-5"/>
      <sheetName val="Chapter-6"/>
      <sheetName val="Chapter-7"/>
      <sheetName val="Chapter-8"/>
      <sheetName val="Chapter-9"/>
      <sheetName val="Chapter-10"/>
      <sheetName val="Chapter-11"/>
      <sheetName val="Sheet3"/>
      <sheetName val="Chapter-13"/>
      <sheetName val="Chapter-14"/>
      <sheetName val="Chapter-15"/>
      <sheetName val="Summary"/>
      <sheetName val="Abbreviations"/>
      <sheetName val="Sheet2"/>
    </sheetNames>
    <sheetDataSet>
      <sheetData sheetId="0"/>
      <sheetData sheetId="1"/>
      <sheetData sheetId="2"/>
      <sheetData sheetId="3">
        <row r="6">
          <cell r="D6">
            <v>156</v>
          </cell>
        </row>
        <row r="11">
          <cell r="D11">
            <v>156</v>
          </cell>
        </row>
      </sheetData>
      <sheetData sheetId="4">
        <row r="3">
          <cell r="D3" t="str">
            <v>Input Rate</v>
          </cell>
        </row>
        <row r="38">
          <cell r="D38" t="str">
            <v>Input Rate</v>
          </cell>
        </row>
        <row r="47">
          <cell r="D47" t="str">
            <v>Input Rate</v>
          </cell>
        </row>
        <row r="48">
          <cell r="D48" t="str">
            <v>Input Rate</v>
          </cell>
        </row>
        <row r="49">
          <cell r="D49" t="str">
            <v>Input Rate</v>
          </cell>
        </row>
        <row r="50">
          <cell r="D50" t="str">
            <v>Input Rate</v>
          </cell>
        </row>
        <row r="73">
          <cell r="D73" t="str">
            <v>Input Rate</v>
          </cell>
        </row>
        <row r="74">
          <cell r="D74" t="str">
            <v>Input Rate</v>
          </cell>
        </row>
        <row r="79">
          <cell r="D79" t="str">
            <v>Input Rate</v>
          </cell>
        </row>
        <row r="88">
          <cell r="D88" t="str">
            <v>Input Rate</v>
          </cell>
        </row>
        <row r="97">
          <cell r="D97" t="str">
            <v>Input Rate</v>
          </cell>
        </row>
        <row r="102">
          <cell r="D102" t="str">
            <v>Input Rate</v>
          </cell>
        </row>
        <row r="129">
          <cell r="D129" t="str">
            <v>Input Rate</v>
          </cell>
        </row>
        <row r="131">
          <cell r="D131" t="str">
            <v>Input Rate</v>
          </cell>
        </row>
        <row r="136">
          <cell r="D136" t="str">
            <v>Input Rate</v>
          </cell>
        </row>
        <row r="137">
          <cell r="D137" t="str">
            <v>Input Rate</v>
          </cell>
        </row>
        <row r="138">
          <cell r="D138" t="str">
            <v>Input Rate</v>
          </cell>
        </row>
      </sheetData>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Set>
  </externalBook>
</externalLink>
</file>

<file path=xl/externalLinks/externalLink2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cover"/>
      <sheetName val="slip"/>
      <sheetName val="summary"/>
      <sheetName val="tech"/>
      <sheetName val="abstract"/>
      <sheetName val="detailed"/>
      <sheetName val="culvert"/>
      <sheetName val="culvert (2)"/>
      <sheetName val="culvert (3)"/>
      <sheetName val="impRdam"/>
      <sheetName val="cost"/>
      <sheetName val="data"/>
      <sheetName val="CDdata"/>
      <sheetName val="keymap"/>
      <sheetName val="lchart"/>
      <sheetName val="LS"/>
      <sheetName val="CS"/>
      <sheetName val="CS (2)"/>
      <sheetName val="leads"/>
      <sheetName val="f_slip"/>
      <sheetName val="1v600"/>
      <sheetName val="2v600"/>
      <sheetName val="3v600"/>
      <sheetName val="2v900"/>
      <sheetName val="3v900"/>
      <sheetName val="30mRdam"/>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row r="3">
          <cell r="A3" t="str">
            <v>Sno</v>
          </cell>
          <cell r="B3" t="str">
            <v>Lead</v>
          </cell>
          <cell r="D3" t="str">
            <v>Earth</v>
          </cell>
          <cell r="E3" t="str">
            <v>Metal</v>
          </cell>
          <cell r="F3" t="str">
            <v>Bricks</v>
          </cell>
        </row>
        <row r="4">
          <cell r="A4">
            <v>1</v>
          </cell>
          <cell r="B4">
            <v>100</v>
          </cell>
          <cell r="C4" t="str">
            <v>m</v>
          </cell>
          <cell r="D4">
            <v>16</v>
          </cell>
        </row>
        <row r="5">
          <cell r="A5">
            <v>2</v>
          </cell>
          <cell r="B5">
            <v>200</v>
          </cell>
          <cell r="C5" t="str">
            <v>m</v>
          </cell>
          <cell r="D5">
            <v>25</v>
          </cell>
        </row>
        <row r="6">
          <cell r="A6">
            <v>3</v>
          </cell>
          <cell r="B6">
            <v>300</v>
          </cell>
          <cell r="C6" t="str">
            <v>m</v>
          </cell>
          <cell r="D6">
            <v>33</v>
          </cell>
        </row>
        <row r="7">
          <cell r="A7">
            <v>4</v>
          </cell>
          <cell r="B7">
            <v>400</v>
          </cell>
          <cell r="C7" t="str">
            <v>m</v>
          </cell>
          <cell r="D7">
            <v>45</v>
          </cell>
        </row>
        <row r="8">
          <cell r="A8">
            <v>5</v>
          </cell>
          <cell r="B8">
            <v>500</v>
          </cell>
          <cell r="C8" t="str">
            <v>m</v>
          </cell>
          <cell r="D8">
            <v>56</v>
          </cell>
          <cell r="E8">
            <v>64</v>
          </cell>
          <cell r="F8">
            <v>93.9</v>
          </cell>
        </row>
        <row r="9">
          <cell r="A9">
            <v>6</v>
          </cell>
          <cell r="B9">
            <v>1</v>
          </cell>
          <cell r="C9" t="str">
            <v>KM</v>
          </cell>
          <cell r="D9">
            <v>58</v>
          </cell>
          <cell r="E9">
            <v>67</v>
          </cell>
          <cell r="F9">
            <v>96.6</v>
          </cell>
        </row>
        <row r="10">
          <cell r="A10">
            <v>7</v>
          </cell>
          <cell r="B10">
            <v>2</v>
          </cell>
          <cell r="C10" t="str">
            <v>KM</v>
          </cell>
          <cell r="D10">
            <v>61</v>
          </cell>
          <cell r="E10">
            <v>69</v>
          </cell>
          <cell r="F10">
            <v>99.9</v>
          </cell>
        </row>
        <row r="11">
          <cell r="A11">
            <v>8</v>
          </cell>
          <cell r="B11">
            <v>3</v>
          </cell>
          <cell r="C11" t="str">
            <v>KM</v>
          </cell>
          <cell r="D11">
            <v>64</v>
          </cell>
          <cell r="E11">
            <v>72</v>
          </cell>
          <cell r="F11">
            <v>102.5</v>
          </cell>
        </row>
        <row r="12">
          <cell r="A12">
            <v>9</v>
          </cell>
          <cell r="B12">
            <v>4</v>
          </cell>
          <cell r="C12" t="str">
            <v>KM</v>
          </cell>
          <cell r="D12">
            <v>67</v>
          </cell>
          <cell r="E12">
            <v>75</v>
          </cell>
          <cell r="F12">
            <v>105.9</v>
          </cell>
        </row>
        <row r="13">
          <cell r="A13">
            <v>10</v>
          </cell>
          <cell r="B13">
            <v>5</v>
          </cell>
          <cell r="C13" t="str">
            <v>KM</v>
          </cell>
          <cell r="D13">
            <v>70</v>
          </cell>
          <cell r="E13">
            <v>78</v>
          </cell>
          <cell r="F13">
            <v>109.1</v>
          </cell>
        </row>
        <row r="14">
          <cell r="A14">
            <v>11</v>
          </cell>
          <cell r="B14">
            <v>6</v>
          </cell>
          <cell r="C14" t="str">
            <v>KM</v>
          </cell>
          <cell r="D14">
            <v>72</v>
          </cell>
          <cell r="E14">
            <v>82</v>
          </cell>
          <cell r="F14">
            <v>112.5</v>
          </cell>
        </row>
        <row r="15">
          <cell r="A15">
            <v>12</v>
          </cell>
          <cell r="B15">
            <v>7</v>
          </cell>
          <cell r="C15" t="str">
            <v>KM</v>
          </cell>
          <cell r="D15">
            <v>76</v>
          </cell>
          <cell r="E15">
            <v>84</v>
          </cell>
          <cell r="F15">
            <v>115.8</v>
          </cell>
        </row>
        <row r="16">
          <cell r="A16">
            <v>13</v>
          </cell>
          <cell r="B16">
            <v>8</v>
          </cell>
          <cell r="C16" t="str">
            <v>KM</v>
          </cell>
          <cell r="D16">
            <v>79</v>
          </cell>
          <cell r="E16">
            <v>86</v>
          </cell>
          <cell r="F16">
            <v>118.5</v>
          </cell>
        </row>
        <row r="17">
          <cell r="A17">
            <v>14</v>
          </cell>
          <cell r="B17">
            <v>9</v>
          </cell>
          <cell r="C17" t="str">
            <v>KM</v>
          </cell>
          <cell r="D17">
            <v>82</v>
          </cell>
          <cell r="E17">
            <v>90</v>
          </cell>
          <cell r="F17">
            <v>121.9</v>
          </cell>
        </row>
        <row r="18">
          <cell r="A18">
            <v>15</v>
          </cell>
          <cell r="B18">
            <v>10</v>
          </cell>
          <cell r="C18" t="str">
            <v>KM</v>
          </cell>
          <cell r="D18">
            <v>85</v>
          </cell>
          <cell r="E18">
            <v>92</v>
          </cell>
          <cell r="F18">
            <v>125.1</v>
          </cell>
        </row>
        <row r="19">
          <cell r="A19">
            <v>16</v>
          </cell>
          <cell r="B19">
            <v>11</v>
          </cell>
          <cell r="C19" t="str">
            <v>KM</v>
          </cell>
          <cell r="D19">
            <v>89</v>
          </cell>
          <cell r="E19">
            <v>95</v>
          </cell>
          <cell r="F19">
            <v>128.5</v>
          </cell>
        </row>
        <row r="20">
          <cell r="A20">
            <v>17</v>
          </cell>
          <cell r="B20">
            <v>12</v>
          </cell>
          <cell r="C20" t="str">
            <v>KM</v>
          </cell>
          <cell r="D20">
            <v>91</v>
          </cell>
          <cell r="E20">
            <v>99</v>
          </cell>
          <cell r="F20">
            <v>131.80000000000001</v>
          </cell>
        </row>
        <row r="21">
          <cell r="A21">
            <v>18</v>
          </cell>
          <cell r="B21">
            <v>13</v>
          </cell>
          <cell r="C21" t="str">
            <v>KM</v>
          </cell>
          <cell r="D21">
            <v>94</v>
          </cell>
          <cell r="E21">
            <v>102</v>
          </cell>
          <cell r="F21">
            <v>134.4</v>
          </cell>
        </row>
        <row r="22">
          <cell r="A22">
            <v>19</v>
          </cell>
          <cell r="B22">
            <v>14</v>
          </cell>
          <cell r="C22" t="str">
            <v>KM</v>
          </cell>
          <cell r="D22">
            <v>97</v>
          </cell>
          <cell r="E22">
            <v>105</v>
          </cell>
          <cell r="F22">
            <v>137.80000000000001</v>
          </cell>
        </row>
        <row r="23">
          <cell r="A23">
            <v>20</v>
          </cell>
          <cell r="B23">
            <v>15</v>
          </cell>
          <cell r="C23" t="str">
            <v>KM</v>
          </cell>
          <cell r="D23">
            <v>100</v>
          </cell>
          <cell r="E23">
            <v>107</v>
          </cell>
          <cell r="F23">
            <v>141.1</v>
          </cell>
        </row>
        <row r="24">
          <cell r="A24">
            <v>21</v>
          </cell>
          <cell r="B24">
            <v>16</v>
          </cell>
          <cell r="C24" t="str">
            <v>KM</v>
          </cell>
          <cell r="D24">
            <v>102</v>
          </cell>
          <cell r="E24">
            <v>110</v>
          </cell>
          <cell r="F24">
            <v>144.4</v>
          </cell>
        </row>
        <row r="25">
          <cell r="A25">
            <v>22</v>
          </cell>
          <cell r="B25">
            <v>17</v>
          </cell>
          <cell r="C25" t="str">
            <v>KM</v>
          </cell>
          <cell r="D25">
            <v>106</v>
          </cell>
          <cell r="E25">
            <v>113</v>
          </cell>
          <cell r="F25">
            <v>147.69999999999999</v>
          </cell>
        </row>
        <row r="26">
          <cell r="A26">
            <v>23</v>
          </cell>
          <cell r="B26">
            <v>18</v>
          </cell>
          <cell r="C26" t="str">
            <v>KM</v>
          </cell>
          <cell r="D26">
            <v>109</v>
          </cell>
          <cell r="E26">
            <v>116</v>
          </cell>
          <cell r="F26">
            <v>150.4</v>
          </cell>
        </row>
        <row r="27">
          <cell r="A27">
            <v>24</v>
          </cell>
          <cell r="B27">
            <v>19</v>
          </cell>
          <cell r="C27" t="str">
            <v>KM</v>
          </cell>
          <cell r="D27">
            <v>112</v>
          </cell>
          <cell r="E27">
            <v>118</v>
          </cell>
          <cell r="F27">
            <v>153.80000000000001</v>
          </cell>
        </row>
        <row r="28">
          <cell r="A28">
            <v>25</v>
          </cell>
          <cell r="B28">
            <v>20</v>
          </cell>
          <cell r="C28" t="str">
            <v>KM</v>
          </cell>
          <cell r="D28">
            <v>115</v>
          </cell>
          <cell r="E28">
            <v>122</v>
          </cell>
          <cell r="F28">
            <v>157.1</v>
          </cell>
        </row>
        <row r="29">
          <cell r="A29">
            <v>26</v>
          </cell>
          <cell r="B29">
            <v>21</v>
          </cell>
          <cell r="C29" t="str">
            <v>KM</v>
          </cell>
          <cell r="D29">
            <v>117.5</v>
          </cell>
          <cell r="E29">
            <v>125</v>
          </cell>
          <cell r="F29">
            <v>161.15</v>
          </cell>
        </row>
        <row r="30">
          <cell r="A30">
            <v>27</v>
          </cell>
          <cell r="B30">
            <v>22</v>
          </cell>
          <cell r="C30" t="str">
            <v>KM</v>
          </cell>
          <cell r="D30">
            <v>120</v>
          </cell>
          <cell r="E30">
            <v>128</v>
          </cell>
          <cell r="F30">
            <v>165.2</v>
          </cell>
        </row>
        <row r="31">
          <cell r="A31">
            <v>28</v>
          </cell>
          <cell r="B31">
            <v>23</v>
          </cell>
          <cell r="C31" t="str">
            <v>KM</v>
          </cell>
          <cell r="D31">
            <v>122.5</v>
          </cell>
          <cell r="E31">
            <v>131</v>
          </cell>
          <cell r="F31">
            <v>169.25</v>
          </cell>
        </row>
        <row r="32">
          <cell r="A32">
            <v>29</v>
          </cell>
          <cell r="B32">
            <v>24</v>
          </cell>
          <cell r="C32" t="str">
            <v>KM</v>
          </cell>
          <cell r="D32">
            <v>125</v>
          </cell>
          <cell r="E32">
            <v>134</v>
          </cell>
          <cell r="F32">
            <v>173.3</v>
          </cell>
        </row>
        <row r="33">
          <cell r="A33">
            <v>30</v>
          </cell>
          <cell r="B33">
            <v>25</v>
          </cell>
          <cell r="C33" t="str">
            <v>KM</v>
          </cell>
          <cell r="D33">
            <v>127.5</v>
          </cell>
          <cell r="E33">
            <v>137</v>
          </cell>
          <cell r="F33">
            <v>177.35</v>
          </cell>
        </row>
        <row r="34">
          <cell r="A34">
            <v>31</v>
          </cell>
          <cell r="B34">
            <v>26</v>
          </cell>
          <cell r="C34" t="str">
            <v>KM</v>
          </cell>
          <cell r="D34">
            <v>130</v>
          </cell>
          <cell r="E34">
            <v>140</v>
          </cell>
          <cell r="F34">
            <v>181.4</v>
          </cell>
        </row>
        <row r="35">
          <cell r="A35">
            <v>32</v>
          </cell>
          <cell r="B35">
            <v>27</v>
          </cell>
          <cell r="C35" t="str">
            <v>KM</v>
          </cell>
          <cell r="D35">
            <v>132.5</v>
          </cell>
          <cell r="E35">
            <v>143</v>
          </cell>
          <cell r="F35">
            <v>185.45</v>
          </cell>
        </row>
        <row r="36">
          <cell r="A36">
            <v>33</v>
          </cell>
          <cell r="B36">
            <v>28</v>
          </cell>
          <cell r="C36" t="str">
            <v>KM</v>
          </cell>
          <cell r="D36">
            <v>135</v>
          </cell>
          <cell r="E36">
            <v>146</v>
          </cell>
          <cell r="F36">
            <v>189.5</v>
          </cell>
        </row>
        <row r="37">
          <cell r="A37">
            <v>34</v>
          </cell>
          <cell r="B37">
            <v>29</v>
          </cell>
          <cell r="C37" t="str">
            <v>KM</v>
          </cell>
          <cell r="D37">
            <v>137.5</v>
          </cell>
          <cell r="E37">
            <v>149</v>
          </cell>
          <cell r="F37">
            <v>193.55</v>
          </cell>
        </row>
        <row r="38">
          <cell r="A38">
            <v>35</v>
          </cell>
          <cell r="B38">
            <v>30</v>
          </cell>
          <cell r="C38" t="str">
            <v>KM</v>
          </cell>
          <cell r="D38">
            <v>140</v>
          </cell>
          <cell r="E38">
            <v>152</v>
          </cell>
          <cell r="F38">
            <v>197.6</v>
          </cell>
        </row>
        <row r="39">
          <cell r="A39">
            <v>36</v>
          </cell>
          <cell r="B39">
            <v>31</v>
          </cell>
          <cell r="C39" t="str">
            <v>KM</v>
          </cell>
          <cell r="D39">
            <v>142.5</v>
          </cell>
          <cell r="E39">
            <v>155</v>
          </cell>
          <cell r="F39">
            <v>201.65</v>
          </cell>
        </row>
        <row r="40">
          <cell r="A40">
            <v>37</v>
          </cell>
          <cell r="B40">
            <v>32</v>
          </cell>
          <cell r="C40" t="str">
            <v>KM</v>
          </cell>
          <cell r="D40">
            <v>145</v>
          </cell>
          <cell r="E40">
            <v>158</v>
          </cell>
          <cell r="F40">
            <v>205.7</v>
          </cell>
        </row>
        <row r="41">
          <cell r="A41">
            <v>38</v>
          </cell>
          <cell r="B41">
            <v>33</v>
          </cell>
          <cell r="C41" t="str">
            <v>KM</v>
          </cell>
          <cell r="D41">
            <v>147.5</v>
          </cell>
          <cell r="E41">
            <v>161</v>
          </cell>
          <cell r="F41">
            <v>209.75</v>
          </cell>
        </row>
        <row r="42">
          <cell r="A42">
            <v>39</v>
          </cell>
          <cell r="B42">
            <v>34</v>
          </cell>
          <cell r="C42" t="str">
            <v>KM</v>
          </cell>
          <cell r="D42">
            <v>150</v>
          </cell>
          <cell r="E42">
            <v>164</v>
          </cell>
          <cell r="F42">
            <v>213.8</v>
          </cell>
        </row>
        <row r="43">
          <cell r="A43">
            <v>40</v>
          </cell>
          <cell r="B43">
            <v>35</v>
          </cell>
          <cell r="C43" t="str">
            <v>KM</v>
          </cell>
          <cell r="D43">
            <v>152.5</v>
          </cell>
          <cell r="E43">
            <v>167</v>
          </cell>
          <cell r="F43">
            <v>217.85</v>
          </cell>
        </row>
        <row r="44">
          <cell r="A44">
            <v>41</v>
          </cell>
          <cell r="B44">
            <v>36</v>
          </cell>
          <cell r="C44" t="str">
            <v>KM</v>
          </cell>
          <cell r="D44">
            <v>155</v>
          </cell>
          <cell r="E44">
            <v>170</v>
          </cell>
          <cell r="F44">
            <v>221.9</v>
          </cell>
        </row>
        <row r="45">
          <cell r="A45">
            <v>42</v>
          </cell>
          <cell r="B45">
            <v>37</v>
          </cell>
          <cell r="C45" t="str">
            <v>KM</v>
          </cell>
          <cell r="D45">
            <v>157.5</v>
          </cell>
          <cell r="E45">
            <v>173</v>
          </cell>
          <cell r="F45">
            <v>225.95</v>
          </cell>
        </row>
        <row r="46">
          <cell r="A46">
            <v>43</v>
          </cell>
          <cell r="B46">
            <v>38</v>
          </cell>
          <cell r="C46" t="str">
            <v>KM</v>
          </cell>
          <cell r="D46">
            <v>160</v>
          </cell>
          <cell r="E46">
            <v>176</v>
          </cell>
          <cell r="F46">
            <v>230</v>
          </cell>
        </row>
        <row r="47">
          <cell r="A47">
            <v>44</v>
          </cell>
          <cell r="B47">
            <v>39</v>
          </cell>
          <cell r="C47" t="str">
            <v>KM</v>
          </cell>
          <cell r="D47">
            <v>162.5</v>
          </cell>
          <cell r="E47">
            <v>179</v>
          </cell>
          <cell r="F47">
            <v>234.05</v>
          </cell>
        </row>
        <row r="48">
          <cell r="A48">
            <v>45</v>
          </cell>
          <cell r="B48">
            <v>40</v>
          </cell>
          <cell r="C48" t="str">
            <v>KM</v>
          </cell>
          <cell r="D48">
            <v>165</v>
          </cell>
          <cell r="E48">
            <v>182</v>
          </cell>
          <cell r="F48">
            <v>238.1</v>
          </cell>
        </row>
        <row r="49">
          <cell r="A49">
            <v>46</v>
          </cell>
          <cell r="B49">
            <v>41</v>
          </cell>
          <cell r="C49" t="str">
            <v>KM</v>
          </cell>
          <cell r="D49">
            <v>167.5</v>
          </cell>
          <cell r="E49">
            <v>185</v>
          </cell>
          <cell r="F49">
            <v>242.15</v>
          </cell>
        </row>
        <row r="50">
          <cell r="A50">
            <v>47</v>
          </cell>
          <cell r="B50">
            <v>42</v>
          </cell>
          <cell r="C50" t="str">
            <v>KM</v>
          </cell>
          <cell r="D50">
            <v>170</v>
          </cell>
          <cell r="E50">
            <v>188</v>
          </cell>
          <cell r="F50">
            <v>246.2</v>
          </cell>
        </row>
        <row r="51">
          <cell r="A51">
            <v>48</v>
          </cell>
          <cell r="B51">
            <v>43</v>
          </cell>
          <cell r="C51" t="str">
            <v>KM</v>
          </cell>
          <cell r="D51">
            <v>172.5</v>
          </cell>
          <cell r="E51">
            <v>191</v>
          </cell>
          <cell r="F51">
            <v>250.25</v>
          </cell>
        </row>
        <row r="52">
          <cell r="A52">
            <v>49</v>
          </cell>
          <cell r="B52">
            <v>44</v>
          </cell>
          <cell r="C52" t="str">
            <v>KM</v>
          </cell>
          <cell r="D52">
            <v>175</v>
          </cell>
          <cell r="E52">
            <v>194</v>
          </cell>
          <cell r="F52">
            <v>254.3</v>
          </cell>
        </row>
        <row r="53">
          <cell r="A53">
            <v>50</v>
          </cell>
          <cell r="B53">
            <v>45</v>
          </cell>
          <cell r="C53" t="str">
            <v>KM</v>
          </cell>
          <cell r="D53">
            <v>177.5</v>
          </cell>
          <cell r="E53">
            <v>197</v>
          </cell>
          <cell r="F53">
            <v>258.35000000000002</v>
          </cell>
        </row>
      </sheetData>
      <sheetData sheetId="19"/>
      <sheetData sheetId="20"/>
      <sheetData sheetId="21"/>
      <sheetData sheetId="22"/>
      <sheetData sheetId="23"/>
      <sheetData sheetId="24"/>
      <sheetData sheetId="25"/>
    </sheetDataSet>
  </externalBook>
</externalLink>
</file>

<file path=xl/externalLinks/externalLink2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Lead"/>
      <sheetName val="Data"/>
      <sheetName val="drain rm data"/>
      <sheetName val="LOWEST RATES"/>
      <sheetName val="leads"/>
      <sheetName val="drain_rm_data"/>
      <sheetName val="LOWEST_RATES"/>
      <sheetName val="drain_rm_data1"/>
      <sheetName val="LOWEST_RATES1"/>
      <sheetName val="Labour"/>
      <sheetName val="Material"/>
      <sheetName val="Plant &amp;  Machinery"/>
      <sheetName val="drain_rm_data2"/>
      <sheetName val="LOWEST_RATES2"/>
      <sheetName val="Plant_&amp;__Machinery"/>
      <sheetName val="Lookup"/>
      <sheetName val="maya"/>
      <sheetName val="ESTIMATE"/>
      <sheetName val="v"/>
      <sheetName val="Sheet1"/>
      <sheetName val="sectorwise"/>
      <sheetName val="abs road"/>
      <sheetName val="Road data"/>
      <sheetName val="0000000000000"/>
      <sheetName val="Data_Bit_I"/>
      <sheetName val="Nspt-smp-final-ORIGINAL"/>
      <sheetName val="Design_abf"/>
      <sheetName val="R_Det"/>
      <sheetName val="Sheet1 (2)"/>
      <sheetName val="Quarry"/>
      <sheetName val="r"/>
      <sheetName val="data existing_do not delete"/>
      <sheetName val="MRATES"/>
      <sheetName val="mlead"/>
      <sheetName val="banilad"/>
      <sheetName val="Plant 㫨  Machinery"/>
      <sheetName val="Plant_㫨__Machinery"/>
      <sheetName val="Road Detail Est."/>
      <sheetName val="Pipe Areas"/>
      <sheetName val="drain_rm_data3"/>
      <sheetName val="LOWEST_RATES3"/>
      <sheetName val="Plant_&amp;__Machinery1"/>
      <sheetName val="abs_road"/>
      <sheetName val="Road_data"/>
      <sheetName val="drain_rm_data4"/>
      <sheetName val="LOWEST_RATES4"/>
      <sheetName val="Plant_&amp;__Machinery2"/>
      <sheetName val="abs_road1"/>
      <sheetName val="Road_data1"/>
      <sheetName val="lead-st"/>
      <sheetName val="Bitumen trunk"/>
      <sheetName val="Feeder"/>
      <sheetName val="R99 etc"/>
      <sheetName val="Trunk unpaved"/>
      <sheetName val="Elc.Stnd.Data-17-18 "/>
      <sheetName val="rdamdata"/>
      <sheetName val="m"/>
      <sheetName val="stone"/>
      <sheetName val="index"/>
      <sheetName val="narsib~1"/>
      <sheetName val="Road data.PS"/>
      <sheetName val="eligibilty"/>
      <sheetName val="SUMP1420KL@HW"/>
      <sheetName val="Sheet2"/>
      <sheetName val="Rates"/>
      <sheetName val="Av.G Level"/>
      <sheetName val="Elc.Stnd.Data-18-19-final "/>
      <sheetName val="GROUND"/>
      <sheetName val="SECOND"/>
      <sheetName val="Data 07-08 "/>
      <sheetName val="Rate Analysis"/>
      <sheetName val="hdpe weights"/>
      <sheetName val="Levels"/>
      <sheetName val="mas_hab"/>
      <sheetName val="HDPE"/>
      <sheetName val="DI"/>
      <sheetName val="pvc"/>
      <sheetName val="data.f8.btr"/>
      <sheetName val="HEAD"/>
      <sheetName val="Input"/>
      <sheetName val="CD Data"/>
      <sheetName val="ww-march-02"/>
      <sheetName val="data1"/>
      <sheetName val="pierDesign1"/>
      <sheetName val="RAFT"/>
      <sheetName val="scour depth"/>
      <sheetName val="Elc.Stnd.Data-18-19"/>
      <sheetName val="HS 1 BPT (2)all bpts"/>
      <sheetName val="Elc.Stnd.Data-17-18-final "/>
      <sheetName val="final abstract"/>
      <sheetName val="coverpage"/>
      <sheetName val="TS memo"/>
      <sheetName val="Sheet3"/>
      <sheetName val="RMR"/>
      <sheetName val="Convey"/>
      <sheetName val="COVER"/>
      <sheetName val="Specification"/>
      <sheetName val="elect."/>
      <sheetName val="DETAILED  BOQ"/>
      <sheetName val="Sheet1_(2)"/>
      <sheetName val="Flight-1"/>
      <sheetName val="C-Drain"/>
      <sheetName val="Mp-team 1"/>
      <sheetName val="Staff Acco."/>
      <sheetName val="em"/>
      <sheetName val="DATA SHEET"/>
      <sheetName val="detls"/>
      <sheetName val="id"/>
      <sheetName val="Cut Off Statement"/>
      <sheetName val="DATA_PRG"/>
      <sheetName val="PVC weights"/>
      <sheetName val="steel SF (slab-2)"/>
      <sheetName val="nodes"/>
      <sheetName val="ssr-rates"/>
      <sheetName val="LEAD STATEMENT"/>
      <sheetName val="Lead-2014-15"/>
      <sheetName val="Sheet1_(2)1"/>
      <sheetName val="Plant_㫨__Machinery1"/>
      <sheetName val="Pipe_Areas"/>
      <sheetName val="Elc_Stnd_Data-18-19-final_"/>
      <sheetName val="Elc_Stnd_Data-17-18_"/>
      <sheetName val="Av_G_Level"/>
      <sheetName val="CD_Data"/>
    </sheetNames>
    <sheetDataSet>
      <sheetData sheetId="0" refreshError="1">
        <row r="7">
          <cell r="N7">
            <v>2424</v>
          </cell>
        </row>
        <row r="9">
          <cell r="N9">
            <v>431.64499999999998</v>
          </cell>
        </row>
        <row r="26">
          <cell r="N26">
            <v>295.47500000000002</v>
          </cell>
        </row>
        <row r="28">
          <cell r="N28">
            <v>340.47500000000002</v>
          </cell>
        </row>
      </sheetData>
      <sheetData sheetId="1"/>
      <sheetData sheetId="2"/>
      <sheetData sheetId="3"/>
      <sheetData sheetId="4" refreshError="1"/>
      <sheetData sheetId="5"/>
      <sheetData sheetId="6"/>
      <sheetData sheetId="7"/>
      <sheetData sheetId="8"/>
      <sheetData sheetId="9" refreshError="1"/>
      <sheetData sheetId="10" refreshError="1"/>
      <sheetData sheetId="11" refreshError="1"/>
      <sheetData sheetId="12"/>
      <sheetData sheetId="13"/>
      <sheetData sheetId="14" refreshError="1"/>
      <sheetData sheetId="15"/>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sheetData sheetId="47"/>
      <sheetData sheetId="48"/>
      <sheetData sheetId="49"/>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sheetData sheetId="93"/>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Set>
  </externalBook>
</externalLink>
</file>

<file path=xl/externalLinks/externalLink2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heet1"/>
      <sheetName val="Contents"/>
      <sheetName val="Plant &amp;  Machinery"/>
      <sheetName val="Labour"/>
      <sheetName val="Material"/>
      <sheetName val="Summary of Rates"/>
      <sheetName val="Preambles-Chapter"/>
      <sheetName val="Basic Approach"/>
      <sheetName val="Preamble-1"/>
      <sheetName val="Preamble-2"/>
      <sheetName val="Preamble-3"/>
      <sheetName val="Preamble-4"/>
      <sheetName val="Preamble-5"/>
      <sheetName val="Preamble-6"/>
      <sheetName val="Preamble-7"/>
      <sheetName val="Preamble-8"/>
      <sheetName val="Preamble-9"/>
      <sheetName val="Preamble-10"/>
      <sheetName val="Preamble-11"/>
      <sheetName val="Preamble-12"/>
      <sheetName val="Preamble-13"/>
      <sheetName val="Preamble-14"/>
      <sheetName val="Preamble-15"/>
      <sheetName val="Chapter-1"/>
      <sheetName val="Chapter-2"/>
      <sheetName val="Chapter-3"/>
      <sheetName val="Chapter-4"/>
      <sheetName val="Chapter-5"/>
      <sheetName val="Chapter-6"/>
      <sheetName val="Chapter-7"/>
      <sheetName val="Chapter-8"/>
      <sheetName val="Chapter-9"/>
      <sheetName val="Chapter-10"/>
      <sheetName val="Chapter-11"/>
      <sheetName val="Chapter-12"/>
      <sheetName val="Chapter-13"/>
      <sheetName val="Chapter-14"/>
      <sheetName val="Chapter-15"/>
      <sheetName val="Summary"/>
      <sheetName val="Abbreviations"/>
      <sheetName val="Sheet2"/>
    </sheetNames>
    <sheetDataSet>
      <sheetData sheetId="0" refreshError="1"/>
      <sheetData sheetId="1" refreshError="1"/>
      <sheetData sheetId="2" refreshError="1">
        <row r="4">
          <cell r="G4">
            <v>196</v>
          </cell>
        </row>
        <row r="5">
          <cell r="G5">
            <v>6328</v>
          </cell>
        </row>
        <row r="8">
          <cell r="G8">
            <v>120</v>
          </cell>
        </row>
        <row r="10">
          <cell r="G10">
            <v>692</v>
          </cell>
        </row>
        <row r="19">
          <cell r="G19">
            <v>230</v>
          </cell>
        </row>
        <row r="21">
          <cell r="G21">
            <v>1700</v>
          </cell>
        </row>
        <row r="24">
          <cell r="G24">
            <v>6328</v>
          </cell>
        </row>
        <row r="51">
          <cell r="G51">
            <v>754</v>
          </cell>
        </row>
      </sheetData>
      <sheetData sheetId="3" refreshError="1"/>
      <sheetData sheetId="4" refreshError="1">
        <row r="4">
          <cell r="D4" t="str">
            <v>Input Rate</v>
          </cell>
        </row>
        <row r="14">
          <cell r="D14" t="str">
            <v>Input Rate</v>
          </cell>
        </row>
        <row r="15">
          <cell r="D15" t="str">
            <v>Input Rate</v>
          </cell>
        </row>
        <row r="16">
          <cell r="D16" t="str">
            <v>Input Rate</v>
          </cell>
        </row>
        <row r="39">
          <cell r="D39" t="str">
            <v>Input Rate</v>
          </cell>
        </row>
        <row r="40">
          <cell r="D40" t="str">
            <v>Input Rate</v>
          </cell>
        </row>
        <row r="41">
          <cell r="D41" t="str">
            <v>Input Rate</v>
          </cell>
        </row>
        <row r="44">
          <cell r="D44" t="str">
            <v>Input Rate</v>
          </cell>
        </row>
        <row r="61">
          <cell r="D61" t="str">
            <v>Input Rate</v>
          </cell>
        </row>
        <row r="64">
          <cell r="D64" t="str">
            <v>Input Rate</v>
          </cell>
        </row>
        <row r="65">
          <cell r="D65" t="str">
            <v>Input Rate</v>
          </cell>
        </row>
        <row r="66">
          <cell r="D66" t="str">
            <v>Input Rate</v>
          </cell>
        </row>
        <row r="67">
          <cell r="D67" t="str">
            <v>Input Rate</v>
          </cell>
        </row>
        <row r="89">
          <cell r="D89" t="str">
            <v>Input Rate</v>
          </cell>
        </row>
        <row r="91">
          <cell r="D91" t="str">
            <v>Input Rate</v>
          </cell>
        </row>
        <row r="92">
          <cell r="D92" t="str">
            <v>Input Rate</v>
          </cell>
        </row>
        <row r="133">
          <cell r="D133" t="str">
            <v>Input Rate</v>
          </cell>
        </row>
        <row r="135">
          <cell r="D135" t="str">
            <v>Input Rate</v>
          </cell>
        </row>
      </sheetData>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Set>
  </externalBook>
</externalLink>
</file>

<file path=xl/externalLinks/externalLink2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RLs"/>
      <sheetName val="Levels"/>
      <sheetName val="abstract"/>
      <sheetName val="Levels (2)"/>
      <sheetName val="mother"/>
      <sheetName val="3060"/>
      <sheetName val="3090"/>
      <sheetName val="3120"/>
      <sheetName val="3150"/>
      <sheetName val="3180"/>
      <sheetName val="3210"/>
      <sheetName val="3240"/>
      <sheetName val="3270"/>
      <sheetName val="3300"/>
      <sheetName val="3330"/>
      <sheetName val="3360"/>
      <sheetName val="3390"/>
      <sheetName val="3420"/>
      <sheetName val="3450"/>
      <sheetName val="3480"/>
      <sheetName val="3510"/>
      <sheetName val="3540"/>
      <sheetName val="3570"/>
      <sheetName val="3600"/>
      <sheetName val="3630"/>
      <sheetName val="3660"/>
      <sheetName val="3690"/>
      <sheetName val="3720"/>
      <sheetName val="3750"/>
      <sheetName val="3780"/>
      <sheetName val="3810"/>
      <sheetName val="3840"/>
      <sheetName val="3870"/>
      <sheetName val="3900"/>
      <sheetName val="3930"/>
      <sheetName val="3960"/>
      <sheetName val="3990"/>
      <sheetName val="4020"/>
      <sheetName val="4050"/>
      <sheetName val="4080"/>
      <sheetName val="4110"/>
      <sheetName val="4140"/>
      <sheetName val="4170"/>
      <sheetName val="4200"/>
      <sheetName val="4230"/>
      <sheetName val="4260"/>
      <sheetName val="4290"/>
      <sheetName val="4320"/>
      <sheetName val="4350"/>
      <sheetName val="4380"/>
      <sheetName val="4400"/>
      <sheetName val="4410"/>
      <sheetName val="4440"/>
      <sheetName val="4470"/>
      <sheetName val="4500"/>
      <sheetName val="4530"/>
      <sheetName val="4560"/>
      <sheetName val="4590"/>
      <sheetName val="4620"/>
      <sheetName val="4650"/>
      <sheetName val="4680"/>
      <sheetName val="4710"/>
      <sheetName val="4740"/>
      <sheetName val="4770"/>
      <sheetName val="4800"/>
      <sheetName val="4830"/>
      <sheetName val="4860"/>
      <sheetName val="4890"/>
      <sheetName val="4920"/>
      <sheetName val="4930"/>
      <sheetName val="4940"/>
    </sheetNames>
    <sheetDataSet>
      <sheetData sheetId="0" refreshError="1"/>
      <sheetData sheetId="1">
        <row r="5">
          <cell r="O5">
            <v>96</v>
          </cell>
          <cell r="P5">
            <v>101</v>
          </cell>
        </row>
      </sheetData>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Set>
  </externalBook>
</externalLink>
</file>

<file path=xl/externalLinks/externalLink2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Lead"/>
      <sheetName val="CD-DATA"/>
      <sheetName val="F7-1v1000-0 (3)"/>
      <sheetName val="DATA"/>
      <sheetName val="F6-Estt"/>
      <sheetName val="ABST(PART B) "/>
      <sheetName val="F6-Gnrl Abstrt"/>
      <sheetName val="Cover-MEstt."/>
      <sheetName val="F7-1v1000-0_(3)"/>
      <sheetName val="ABST(PART_B)_"/>
      <sheetName val="F6-Gnrl_Abstrt"/>
      <sheetName val="Cover-MEstt_"/>
      <sheetName val="r"/>
      <sheetName val="Road Detail Est."/>
      <sheetName val="Road data"/>
      <sheetName val="Levels"/>
      <sheetName val="detls"/>
      <sheetName val="Specification"/>
      <sheetName val="cert"/>
      <sheetName val="R/ad Detail Est."/>
      <sheetName val="Plant &amp;  Machinery"/>
      <sheetName val="F7-1v1000-0_(3)1"/>
      <sheetName val="ABST(PART_B)_1"/>
      <sheetName val="F6-Gnrl_Abstrt1"/>
      <sheetName val="Cover-MEstt_1"/>
      <sheetName val="Road_Detail_Est_"/>
      <sheetName val="Road_data"/>
      <sheetName val="R_ad Detail Est."/>
      <sheetName val="leads"/>
      <sheetName val="rdamdata"/>
      <sheetName val="pvc-pipe-rates"/>
      <sheetName val="Material"/>
      <sheetName val="Labour"/>
      <sheetName val="_Yamanapalli to Mahamutharam (M"/>
      <sheetName val="maya"/>
      <sheetName val="[Yamanapalli to Mahamutharam (M"/>
      <sheetName val="sch"/>
      <sheetName val="RMR"/>
      <sheetName val="ssr-rates"/>
      <sheetName val="0000000000000"/>
      <sheetName val="R_Det"/>
      <sheetName val="MRATES"/>
      <sheetName val="t_prsr"/>
      <sheetName val="wh"/>
      <sheetName val="LEAD STATEMENT"/>
      <sheetName val="int-Dia-pvc"/>
      <sheetName val="Input"/>
      <sheetName val="m1"/>
      <sheetName val="quarry"/>
      <sheetName val="lead-st"/>
      <sheetName val="Rate"/>
      <sheetName val="ewst"/>
      <sheetName val=" data sheet "/>
      <sheetName val="F7-1v1000-0_(3)2"/>
      <sheetName val="ABST(PART_B)_2"/>
      <sheetName val="F6-Gnrl_Abstrt2"/>
      <sheetName val="Cover-MEstt_2"/>
      <sheetName val="Road_Detail_Est_1"/>
      <sheetName val="Road_data1"/>
      <sheetName val="R/ad_Detail_Est_"/>
      <sheetName val="R_ad_Detail_Est_"/>
      <sheetName val="Plant_&amp;__Machinery"/>
      <sheetName val="F7-1v1000-0_(3)3"/>
      <sheetName val="ABST(PART_B)_3"/>
      <sheetName val="F6-Gnrl_Abstrt3"/>
      <sheetName val="Cover-MEstt_3"/>
      <sheetName val="Road_Detail_Est_2"/>
      <sheetName val="Road_data2"/>
      <sheetName val="R/ad_Detail_Est_1"/>
      <sheetName val="R_ad_Detail_Est_1"/>
      <sheetName val="Plant_&amp;__Machinery1"/>
      <sheetName val="PVC_dia"/>
      <sheetName val="Cd"/>
      <sheetName val="Cs"/>
      <sheetName val="CPIPE"/>
      <sheetName val="THK"/>
      <sheetName val="CPIPE 1"/>
      <sheetName val="CABLE DATA"/>
      <sheetName val="_Yamanapalli_to_Mahamutharam__2"/>
      <sheetName val="_Yamanapalli_to_Mahamutharam__4"/>
      <sheetName val="_Yamanapalli_to_Mahamutharam__3"/>
      <sheetName val="_Yamanapalli_to_Mahamutharam__5"/>
      <sheetName val="BOXCELL"/>
      <sheetName val="BOXCULVERT"/>
      <sheetName val="Cut Fill"/>
      <sheetName val="FORM5"/>
      <sheetName val="Habitation"/>
      <sheetName val="Maintenance"/>
      <sheetName val="Proforma B"/>
      <sheetName val="RET "/>
      <sheetName val="TOE"/>
      <sheetName val="Traffic"/>
      <sheetName val="Bitumen trunk"/>
      <sheetName val="Feeder"/>
      <sheetName val="R99 etc"/>
      <sheetName val="Trunk unpaved"/>
      <sheetName val="l"/>
      <sheetName val="1-Pop Proj"/>
      <sheetName val="1V of 2m slab"/>
      <sheetName val="2V of 3.0Mslab"/>
      <sheetName val="Line"/>
      <sheetName val="temp-SDData (2)"/>
      <sheetName val="coverpage"/>
      <sheetName val="m"/>
      <sheetName val="Cover"/>
      <sheetName val="LOCAL RATES"/>
      <sheetName val="1V800"/>
      <sheetName val="mlead"/>
      <sheetName val="abs road"/>
      <sheetName val="Sheet2"/>
      <sheetName val="Sheet1"/>
      <sheetName val="BWSCPlt"/>
      <sheetName val="CI"/>
      <sheetName val="DI"/>
      <sheetName val="G.R.P"/>
      <sheetName val="HDPE"/>
      <sheetName val="PSC REVISED"/>
      <sheetName val="pvc"/>
      <sheetName val="DATA SHEET"/>
      <sheetName val="PVC weights"/>
      <sheetName val="pvc-rates"/>
      <sheetName val="index"/>
      <sheetName val="CD_All_No_"/>
      <sheetName val="GA"/>
      <sheetName val="Rising Main"/>
      <sheetName val="sand"/>
      <sheetName val="stone"/>
      <sheetName val="Boq"/>
    </sheetNames>
    <sheetDataSet>
      <sheetData sheetId="0"/>
      <sheetData sheetId="1"/>
      <sheetData sheetId="2"/>
      <sheetData sheetId="3"/>
      <sheetData sheetId="4"/>
      <sheetData sheetId="5"/>
      <sheetData sheetId="6"/>
      <sheetData sheetId="7"/>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sheetData sheetId="22" refreshError="1"/>
      <sheetData sheetId="23" refreshError="1"/>
      <sheetData sheetId="24" refreshError="1"/>
      <sheetData sheetId="25" refreshError="1"/>
      <sheetData sheetId="26" refreshError="1"/>
      <sheetData sheetId="27" refreshError="1"/>
      <sheetData sheetId="28" refreshError="1"/>
      <sheetData sheetId="29"/>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sheetData sheetId="70"/>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Set>
  </externalBook>
</externalLink>
</file>

<file path=xl/externalLinks/externalLink2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gen_abst"/>
      <sheetName val="report"/>
      <sheetName val="trialpit"/>
      <sheetName val="abstract"/>
      <sheetName val="detailed"/>
      <sheetName val="data_new"/>
      <sheetName val="lead-st"/>
      <sheetName val="v"/>
      <sheetName val="r"/>
      <sheetName val="l"/>
    </sheetNames>
    <sheetDataSet>
      <sheetData sheetId="0"/>
      <sheetData sheetId="1"/>
      <sheetData sheetId="2"/>
      <sheetData sheetId="3"/>
      <sheetData sheetId="4"/>
      <sheetData sheetId="5"/>
      <sheetData sheetId="6"/>
      <sheetData sheetId="7"/>
      <sheetData sheetId="8">
        <row r="7">
          <cell r="F7">
            <v>91</v>
          </cell>
        </row>
      </sheetData>
      <sheetData sheetId="9"/>
    </sheetDataSet>
  </externalBook>
</externalLink>
</file>

<file path=xl/externalLinks/externalLink2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index"/>
      <sheetName val="gen_abst"/>
      <sheetName val="abstract"/>
      <sheetName val="detailed"/>
      <sheetName val="water"/>
      <sheetName val="data_new"/>
      <sheetName val="lead-st"/>
      <sheetName val="v"/>
      <sheetName val="r"/>
      <sheetName val="l"/>
      <sheetName val="electrical"/>
      <sheetName val="marking"/>
      <sheetName val="beams"/>
      <sheetName val="features"/>
      <sheetName val="c_wall"/>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Set>
  </externalBook>
</externalLink>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5.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14.bin"/></Relationships>
</file>

<file path=xl/worksheets/_rels/sheet16.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15.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18.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17.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20.xml.rels><?xml version="1.0" encoding="UTF-8" standalone="yes"?>
<Relationships xmlns="http://schemas.openxmlformats.org/package/2006/relationships"><Relationship Id="rId1" Type="http://schemas.openxmlformats.org/officeDocument/2006/relationships/printerSettings" Target="../printerSettings/printerSettings19.bin"/></Relationships>
</file>

<file path=xl/worksheets/_rels/sheet21.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
  <sheetViews>
    <sheetView showGridLines="0" showRowColHeaders="0" showZeros="0" showOutlineSymbols="0" topLeftCell="B29282" zoomScaleNormal="97" zoomScaleSheetLayoutView="70" workbookViewId="0"/>
  </sheetViews>
  <sheetFormatPr defaultRowHeight="12.75"/>
  <sheetData/>
  <phoneticPr fontId="0" type="noConversion"/>
  <pageMargins left="0.75" right="0.75" top="1" bottom="1" header="0.5" footer="0.5"/>
  <headerFooter alignWithMargins="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tabColor rgb="FFFF0000"/>
  </sheetPr>
  <dimension ref="A1:K41"/>
  <sheetViews>
    <sheetView defaultGridColor="0" topLeftCell="A19" colorId="22" zoomScale="85" zoomScaleNormal="85" workbookViewId="0">
      <selection activeCell="G28" sqref="G28"/>
    </sheetView>
  </sheetViews>
  <sheetFormatPr defaultRowHeight="12.75"/>
  <cols>
    <col min="1" max="1" width="3.28515625" style="337" customWidth="1"/>
    <col min="2" max="2" width="4.7109375" style="337" customWidth="1"/>
    <col min="3" max="3" width="9.5703125" style="337" customWidth="1"/>
    <col min="4" max="4" width="9.85546875" style="337" customWidth="1"/>
    <col min="5" max="5" width="17.7109375" style="337" customWidth="1"/>
    <col min="6" max="6" width="5" style="2" customWidth="1"/>
    <col min="7" max="7" width="15.140625" style="337" customWidth="1"/>
    <col min="8" max="8" width="13" style="337" customWidth="1"/>
    <col min="9" max="9" width="4.85546875" style="337" customWidth="1"/>
    <col min="10" max="10" width="12.42578125" style="337" customWidth="1"/>
    <col min="11" max="11" width="3.5703125" style="337" customWidth="1"/>
    <col min="12" max="12" width="5.42578125" style="337" customWidth="1"/>
    <col min="13" max="16384" width="9.140625" style="337"/>
  </cols>
  <sheetData>
    <row r="1" spans="1:11" s="1" customFormat="1" ht="13.5" customHeight="1">
      <c r="A1" s="947" t="s">
        <v>248</v>
      </c>
      <c r="B1" s="942" t="s">
        <v>249</v>
      </c>
      <c r="C1" s="942"/>
      <c r="D1" s="942"/>
      <c r="E1" s="942"/>
      <c r="F1" s="942"/>
      <c r="G1" s="942"/>
      <c r="H1" s="942"/>
      <c r="I1" s="942"/>
      <c r="J1" s="942"/>
      <c r="K1" s="948" t="s">
        <v>250</v>
      </c>
    </row>
    <row r="2" spans="1:11" ht="12.75" customHeight="1">
      <c r="A2" s="947"/>
      <c r="K2" s="948"/>
    </row>
    <row r="3" spans="1:11">
      <c r="A3" s="947"/>
      <c r="K3" s="948"/>
    </row>
    <row r="4" spans="1:11">
      <c r="A4" s="947"/>
      <c r="K4" s="948"/>
    </row>
    <row r="5" spans="1:11">
      <c r="A5" s="947"/>
      <c r="K5" s="948"/>
    </row>
    <row r="6" spans="1:11">
      <c r="A6" s="947"/>
      <c r="K6" s="948"/>
    </row>
    <row r="7" spans="1:11">
      <c r="A7" s="947"/>
      <c r="K7" s="948"/>
    </row>
    <row r="8" spans="1:11">
      <c r="A8" s="947"/>
      <c r="K8" s="948"/>
    </row>
    <row r="9" spans="1:11">
      <c r="A9" s="947"/>
      <c r="K9" s="948"/>
    </row>
    <row r="10" spans="1:11">
      <c r="A10" s="947"/>
      <c r="K10" s="948"/>
    </row>
    <row r="11" spans="1:11">
      <c r="A11" s="947"/>
      <c r="K11" s="948"/>
    </row>
    <row r="12" spans="1:11">
      <c r="A12" s="947"/>
      <c r="E12" s="2"/>
      <c r="G12" s="2"/>
      <c r="K12" s="948"/>
    </row>
    <row r="13" spans="1:11">
      <c r="A13" s="947"/>
      <c r="K13" s="948"/>
    </row>
    <row r="14" spans="1:11">
      <c r="A14" s="947"/>
      <c r="K14" s="948"/>
    </row>
    <row r="15" spans="1:11">
      <c r="A15" s="947"/>
      <c r="K15" s="948"/>
    </row>
    <row r="16" spans="1:11">
      <c r="A16" s="947"/>
      <c r="K16" s="948"/>
    </row>
    <row r="17" spans="1:11">
      <c r="A17" s="947"/>
      <c r="K17" s="948"/>
    </row>
    <row r="18" spans="1:11" ht="24" customHeight="1">
      <c r="A18" s="947"/>
      <c r="B18" s="949" t="s">
        <v>251</v>
      </c>
      <c r="C18" s="946"/>
      <c r="D18" s="946"/>
      <c r="E18" s="946"/>
      <c r="F18" s="946"/>
      <c r="G18" s="946"/>
      <c r="H18" s="946"/>
      <c r="I18" s="946"/>
      <c r="J18" s="946"/>
      <c r="K18" s="948"/>
    </row>
    <row r="19" spans="1:11" ht="24" customHeight="1">
      <c r="A19" s="947"/>
      <c r="C19" s="3"/>
      <c r="D19" s="3"/>
      <c r="E19" s="3"/>
      <c r="F19" s="3"/>
      <c r="G19" s="3"/>
      <c r="H19" s="3"/>
      <c r="I19" s="3"/>
      <c r="K19" s="948"/>
    </row>
    <row r="20" spans="1:11" ht="20.25">
      <c r="A20" s="947"/>
      <c r="B20" s="950" t="s">
        <v>2278</v>
      </c>
      <c r="C20" s="951"/>
      <c r="D20" s="951"/>
      <c r="E20" s="951"/>
      <c r="F20" s="951"/>
      <c r="G20" s="951"/>
      <c r="H20" s="951"/>
      <c r="I20" s="951"/>
      <c r="J20" s="951"/>
      <c r="K20" s="948"/>
    </row>
    <row r="21" spans="1:11" ht="10.5" customHeight="1">
      <c r="A21" s="947"/>
      <c r="C21" s="4"/>
      <c r="D21" s="4"/>
      <c r="E21" s="4"/>
      <c r="F21" s="5"/>
      <c r="G21" s="4"/>
      <c r="H21" s="4"/>
      <c r="I21" s="4"/>
      <c r="K21" s="948"/>
    </row>
    <row r="22" spans="1:11" ht="11.25" customHeight="1">
      <c r="A22" s="947"/>
      <c r="C22" s="4"/>
      <c r="D22" s="4"/>
      <c r="E22" s="4"/>
      <c r="F22" s="5"/>
      <c r="G22" s="4"/>
      <c r="H22" s="4"/>
      <c r="I22" s="4"/>
      <c r="K22" s="948"/>
    </row>
    <row r="23" spans="1:11" ht="96" customHeight="1">
      <c r="A23" s="947"/>
      <c r="C23" s="952" t="s">
        <v>252</v>
      </c>
      <c r="D23" s="952"/>
      <c r="E23" s="952"/>
      <c r="F23" s="6" t="s">
        <v>253</v>
      </c>
      <c r="G23" s="954" t="str">
        <f>'lead 25-26'!C2</f>
        <v>Construction of Community Hall at Chakirala village and  GP of Kanigiri  Mandal.</v>
      </c>
      <c r="H23" s="946"/>
      <c r="I23" s="946"/>
      <c r="J23" s="946"/>
      <c r="K23" s="948"/>
    </row>
    <row r="24" spans="1:11" ht="15" customHeight="1">
      <c r="A24" s="947"/>
      <c r="C24" s="393"/>
      <c r="D24" s="393"/>
      <c r="E24" s="393"/>
      <c r="F24" s="6"/>
      <c r="G24" s="336"/>
      <c r="H24" s="336"/>
      <c r="I24" s="336"/>
      <c r="K24" s="948"/>
    </row>
    <row r="25" spans="1:11" ht="33" customHeight="1">
      <c r="A25" s="947"/>
      <c r="C25" s="944" t="s">
        <v>254</v>
      </c>
      <c r="D25" s="944"/>
      <c r="E25" s="944"/>
      <c r="F25" s="7" t="s">
        <v>253</v>
      </c>
      <c r="G25" s="955" t="str">
        <f>'lead 25-26'!K4</f>
        <v>20.00 Lakhs</v>
      </c>
      <c r="H25" s="956"/>
      <c r="I25" s="956"/>
      <c r="K25" s="948"/>
    </row>
    <row r="26" spans="1:11" ht="21.75" customHeight="1">
      <c r="A26" s="947"/>
      <c r="C26" s="335"/>
      <c r="D26" s="335"/>
      <c r="E26" s="335"/>
      <c r="F26" s="7"/>
      <c r="G26" s="8"/>
      <c r="H26" s="336"/>
      <c r="I26" s="336"/>
      <c r="K26" s="948"/>
    </row>
    <row r="27" spans="1:11" ht="17.25" customHeight="1">
      <c r="A27" s="947"/>
      <c r="C27" s="944" t="s">
        <v>255</v>
      </c>
      <c r="D27" s="944"/>
      <c r="E27" s="944"/>
      <c r="F27" s="7" t="s">
        <v>253</v>
      </c>
      <c r="G27" s="943" t="s">
        <v>2331</v>
      </c>
      <c r="H27" s="943"/>
      <c r="I27" s="943"/>
      <c r="J27" s="943"/>
      <c r="K27" s="948"/>
    </row>
    <row r="28" spans="1:11" ht="21.75" customHeight="1">
      <c r="A28" s="947"/>
      <c r="C28" s="335"/>
      <c r="D28" s="335"/>
      <c r="E28" s="335"/>
      <c r="F28" s="7"/>
      <c r="G28" s="336"/>
      <c r="H28" s="336"/>
      <c r="I28" s="336"/>
      <c r="K28" s="948"/>
    </row>
    <row r="29" spans="1:11" ht="18">
      <c r="A29" s="947"/>
      <c r="C29" s="944" t="s">
        <v>256</v>
      </c>
      <c r="D29" s="944"/>
      <c r="E29" s="944"/>
      <c r="F29" s="7" t="s">
        <v>253</v>
      </c>
      <c r="G29" s="945" t="s">
        <v>2301</v>
      </c>
      <c r="H29" s="945"/>
      <c r="I29" s="945"/>
      <c r="K29" s="948"/>
    </row>
    <row r="30" spans="1:11" ht="20.25" customHeight="1">
      <c r="A30" s="947"/>
      <c r="C30" s="335"/>
      <c r="D30" s="335"/>
      <c r="E30" s="335"/>
      <c r="F30" s="7"/>
      <c r="G30" s="391"/>
      <c r="H30" s="391"/>
      <c r="I30" s="391"/>
      <c r="K30" s="948"/>
    </row>
    <row r="31" spans="1:11" ht="32.25" customHeight="1">
      <c r="A31" s="947"/>
      <c r="C31" s="944" t="s">
        <v>257</v>
      </c>
      <c r="D31" s="944"/>
      <c r="E31" s="944"/>
      <c r="F31" s="7" t="s">
        <v>253</v>
      </c>
      <c r="G31" s="945" t="s">
        <v>2301</v>
      </c>
      <c r="H31" s="945"/>
      <c r="I31" s="945"/>
      <c r="J31" s="946"/>
      <c r="K31" s="948"/>
    </row>
    <row r="32" spans="1:11" ht="14.25" customHeight="1">
      <c r="A32" s="947"/>
      <c r="C32" s="335"/>
      <c r="D32" s="335"/>
      <c r="E32" s="335"/>
      <c r="F32" s="7"/>
      <c r="G32" s="391"/>
      <c r="H32" s="391"/>
      <c r="I32" s="391"/>
      <c r="K32" s="948"/>
    </row>
    <row r="33" spans="1:11" ht="20.25">
      <c r="A33" s="947"/>
      <c r="B33" s="392"/>
      <c r="C33" s="944" t="s">
        <v>258</v>
      </c>
      <c r="D33" s="944"/>
      <c r="E33" s="944"/>
      <c r="F33" s="7" t="s">
        <v>253</v>
      </c>
      <c r="G33" s="945" t="s">
        <v>2158</v>
      </c>
      <c r="H33" s="945"/>
      <c r="I33" s="945"/>
      <c r="J33" s="392"/>
      <c r="K33" s="948"/>
    </row>
    <row r="34" spans="1:11" ht="12.75" customHeight="1">
      <c r="A34" s="947"/>
      <c r="B34" s="392"/>
      <c r="C34" s="335"/>
      <c r="D34" s="335"/>
      <c r="E34" s="335"/>
      <c r="F34" s="7"/>
      <c r="G34" s="391"/>
      <c r="H34" s="391"/>
      <c r="I34" s="391"/>
      <c r="J34" s="392"/>
      <c r="K34" s="948"/>
    </row>
    <row r="35" spans="1:11" ht="20.25">
      <c r="A35" s="947"/>
      <c r="B35" s="392"/>
      <c r="C35" s="944" t="s">
        <v>259</v>
      </c>
      <c r="D35" s="944"/>
      <c r="E35" s="944"/>
      <c r="F35" s="7" t="s">
        <v>253</v>
      </c>
      <c r="G35" s="945" t="s">
        <v>260</v>
      </c>
      <c r="H35" s="945"/>
      <c r="I35" s="945"/>
      <c r="J35" s="392"/>
      <c r="K35" s="948"/>
    </row>
    <row r="36" spans="1:11" ht="16.5" customHeight="1">
      <c r="A36" s="947"/>
      <c r="B36" s="392"/>
      <c r="C36" s="335"/>
      <c r="D36" s="335"/>
      <c r="E36" s="335"/>
      <c r="F36" s="7"/>
      <c r="G36" s="391"/>
      <c r="H36" s="391"/>
      <c r="I36" s="391"/>
      <c r="J36" s="392"/>
      <c r="K36" s="948"/>
    </row>
    <row r="37" spans="1:11" ht="20.25">
      <c r="A37" s="947"/>
      <c r="B37" s="392"/>
      <c r="C37" s="944" t="s">
        <v>261</v>
      </c>
      <c r="D37" s="944"/>
      <c r="E37" s="944"/>
      <c r="F37" s="7" t="s">
        <v>253</v>
      </c>
      <c r="G37" s="945" t="s">
        <v>262</v>
      </c>
      <c r="H37" s="945"/>
      <c r="I37" s="945"/>
      <c r="J37" s="392"/>
      <c r="K37" s="948"/>
    </row>
    <row r="38" spans="1:11" ht="23.25">
      <c r="A38" s="947"/>
      <c r="C38" s="953"/>
      <c r="D38" s="953"/>
      <c r="E38" s="953"/>
      <c r="F38" s="953"/>
      <c r="G38" s="953"/>
      <c r="H38" s="953"/>
      <c r="I38" s="953"/>
      <c r="K38" s="948"/>
    </row>
    <row r="39" spans="1:11">
      <c r="A39" s="947"/>
      <c r="K39" s="948"/>
    </row>
    <row r="40" spans="1:11" s="1" customFormat="1" ht="14.25">
      <c r="A40" s="942" t="s">
        <v>250</v>
      </c>
      <c r="B40" s="942"/>
      <c r="C40" s="942"/>
      <c r="D40" s="942"/>
      <c r="E40" s="942"/>
      <c r="F40" s="942"/>
      <c r="G40" s="942"/>
      <c r="H40" s="942"/>
      <c r="I40" s="942"/>
      <c r="J40" s="942"/>
      <c r="K40" s="942"/>
    </row>
    <row r="41" spans="1:11" s="1" customFormat="1">
      <c r="A41" s="9"/>
      <c r="B41" s="9"/>
      <c r="C41" s="9"/>
      <c r="D41" s="9"/>
      <c r="E41" s="9"/>
      <c r="F41" s="9"/>
      <c r="G41" s="9"/>
      <c r="H41" s="9"/>
      <c r="I41" s="9"/>
      <c r="J41" s="9"/>
      <c r="K41" s="9"/>
    </row>
  </sheetData>
  <mergeCells count="23">
    <mergeCell ref="C25:E25"/>
    <mergeCell ref="C35:E35"/>
    <mergeCell ref="G35:I35"/>
    <mergeCell ref="C37:E37"/>
    <mergeCell ref="G37:I37"/>
    <mergeCell ref="G25:I25"/>
    <mergeCell ref="C27:E27"/>
    <mergeCell ref="A40:K40"/>
    <mergeCell ref="G27:J27"/>
    <mergeCell ref="C29:E29"/>
    <mergeCell ref="G29:I29"/>
    <mergeCell ref="C31:E31"/>
    <mergeCell ref="G31:J31"/>
    <mergeCell ref="C33:E33"/>
    <mergeCell ref="G33:I33"/>
    <mergeCell ref="A1:A39"/>
    <mergeCell ref="B1:J1"/>
    <mergeCell ref="K1:K39"/>
    <mergeCell ref="B18:J18"/>
    <mergeCell ref="B20:J20"/>
    <mergeCell ref="C23:E23"/>
    <mergeCell ref="C38:I38"/>
    <mergeCell ref="G23:J23"/>
  </mergeCells>
  <pageMargins left="0.39" right="0.17" top="0.56999999999999995" bottom="0.28999999999999998" header="0.35" footer="0.17"/>
  <pageSetup paperSize="9" orientation="portrait" verticalDpi="300" r:id="rId1"/>
  <headerFooter alignWithMargins="0"/>
  <rowBreaks count="1" manualBreakCount="1">
    <brk id="40" max="16383" man="1"/>
  </rowBreaks>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tabColor rgb="FFFF0000"/>
  </sheetPr>
  <dimension ref="A1:K82"/>
  <sheetViews>
    <sheetView view="pageBreakPreview" topLeftCell="A56" zoomScale="115" zoomScaleNormal="85" zoomScaleSheetLayoutView="115" workbookViewId="0">
      <selection activeCell="J65" sqref="J65"/>
    </sheetView>
  </sheetViews>
  <sheetFormatPr defaultRowHeight="12.75"/>
  <cols>
    <col min="1" max="1" width="10.85546875" style="163" customWidth="1"/>
    <col min="2" max="4" width="9.140625" style="163"/>
    <col min="5" max="5" width="9" style="163" customWidth="1"/>
    <col min="6" max="7" width="9.140625" style="163"/>
    <col min="8" max="8" width="10" style="163" bestFit="1" customWidth="1"/>
    <col min="9" max="16384" width="9.140625" style="163"/>
  </cols>
  <sheetData>
    <row r="1" spans="1:11" ht="21">
      <c r="A1" s="958" t="s">
        <v>564</v>
      </c>
      <c r="B1" s="958"/>
      <c r="C1" s="958"/>
      <c r="D1" s="958"/>
      <c r="E1" s="958"/>
      <c r="F1" s="958"/>
      <c r="G1" s="958"/>
      <c r="H1" s="958"/>
      <c r="I1" s="958"/>
    </row>
    <row r="2" spans="1:11" ht="12.75" customHeight="1">
      <c r="A2" s="164"/>
    </row>
    <row r="3" spans="1:11" ht="19.5" customHeight="1">
      <c r="A3" s="959" t="s">
        <v>2139</v>
      </c>
      <c r="B3" s="959"/>
      <c r="C3" s="959"/>
      <c r="D3" s="959"/>
      <c r="E3" s="959"/>
      <c r="F3" s="959"/>
      <c r="G3" s="959"/>
      <c r="H3" s="959"/>
      <c r="I3" s="959"/>
    </row>
    <row r="4" spans="1:11" ht="35.25" customHeight="1">
      <c r="A4" s="960" t="str">
        <f>'lead 25-26'!C2</f>
        <v>Construction of Community Hall at Chakirala village and  GP of Kanigiri  Mandal.</v>
      </c>
      <c r="B4" s="960"/>
      <c r="C4" s="960"/>
      <c r="D4" s="960"/>
      <c r="E4" s="960"/>
      <c r="F4" s="960"/>
      <c r="G4" s="960"/>
      <c r="H4" s="960"/>
      <c r="I4" s="960"/>
    </row>
    <row r="5" spans="1:11" ht="14.25" customHeight="1">
      <c r="A5" s="165"/>
      <c r="B5" s="165"/>
      <c r="C5" s="165"/>
      <c r="D5" s="165"/>
      <c r="E5" s="165"/>
      <c r="F5" s="961" t="s">
        <v>565</v>
      </c>
      <c r="G5" s="961"/>
      <c r="H5" s="166" t="str">
        <f>'lead 25-26'!K4</f>
        <v>20.00 Lakhs</v>
      </c>
      <c r="I5" s="167"/>
    </row>
    <row r="6" spans="1:11" ht="10.5" customHeight="1">
      <c r="A6" s="165"/>
      <c r="B6" s="165"/>
      <c r="C6" s="165"/>
      <c r="D6" s="165"/>
      <c r="E6" s="165"/>
      <c r="F6" s="165"/>
      <c r="G6" s="165"/>
      <c r="H6" s="165"/>
      <c r="I6" s="165"/>
    </row>
    <row r="7" spans="1:11" s="574" customFormat="1" ht="54" customHeight="1">
      <c r="A7" s="962" t="s">
        <v>2332</v>
      </c>
      <c r="B7" s="962"/>
      <c r="C7" s="962"/>
      <c r="D7" s="962"/>
      <c r="E7" s="962"/>
      <c r="F7" s="962"/>
      <c r="G7" s="962"/>
      <c r="H7" s="962"/>
      <c r="I7" s="962"/>
    </row>
    <row r="8" spans="1:11" s="934" customFormat="1" ht="27" customHeight="1">
      <c r="A8" s="963" t="s">
        <v>2333</v>
      </c>
      <c r="B8" s="963"/>
      <c r="C8" s="963"/>
      <c r="D8" s="963"/>
      <c r="E8" s="963"/>
      <c r="F8" s="963"/>
      <c r="G8" s="963"/>
      <c r="H8" s="963"/>
      <c r="I8" s="963"/>
      <c r="J8" s="932"/>
      <c r="K8" s="933"/>
    </row>
    <row r="9" spans="1:11" s="555" customFormat="1" ht="18.75" hidden="1" customHeight="1">
      <c r="A9" s="575">
        <v>1</v>
      </c>
      <c r="B9" s="957" t="s">
        <v>2114</v>
      </c>
      <c r="C9" s="957"/>
      <c r="D9" s="957"/>
      <c r="E9" s="957"/>
      <c r="F9" s="957"/>
      <c r="G9" s="957"/>
      <c r="H9" s="957"/>
      <c r="I9" s="957"/>
      <c r="J9" s="553"/>
      <c r="K9" s="554"/>
    </row>
    <row r="10" spans="1:11" s="555" customFormat="1" ht="15" hidden="1" customHeight="1">
      <c r="A10" s="575">
        <v>2</v>
      </c>
      <c r="B10" s="957" t="s">
        <v>2115</v>
      </c>
      <c r="C10" s="957"/>
      <c r="D10" s="957"/>
      <c r="E10" s="957"/>
      <c r="F10" s="957"/>
      <c r="G10" s="957"/>
      <c r="H10" s="957"/>
      <c r="I10" s="957"/>
      <c r="J10" s="553"/>
      <c r="K10" s="554"/>
    </row>
    <row r="11" spans="1:11" s="555" customFormat="1" ht="18.75" customHeight="1">
      <c r="A11" s="575">
        <v>1</v>
      </c>
      <c r="B11" s="957" t="s">
        <v>2235</v>
      </c>
      <c r="C11" s="957"/>
      <c r="D11" s="957"/>
      <c r="E11" s="957"/>
      <c r="F11" s="957"/>
      <c r="G11" s="957"/>
      <c r="H11" s="957"/>
      <c r="I11" s="957"/>
      <c r="J11" s="553"/>
      <c r="K11" s="554"/>
    </row>
    <row r="12" spans="1:11" s="555" customFormat="1" ht="18.75" hidden="1" customHeight="1">
      <c r="A12" s="575">
        <v>2</v>
      </c>
      <c r="B12" s="957" t="s">
        <v>2193</v>
      </c>
      <c r="C12" s="957"/>
      <c r="D12" s="957"/>
      <c r="E12" s="957"/>
      <c r="F12" s="957"/>
      <c r="G12" s="957"/>
      <c r="H12" s="957"/>
      <c r="I12" s="957"/>
      <c r="J12" s="553"/>
      <c r="K12" s="554"/>
    </row>
    <row r="13" spans="1:11" s="555" customFormat="1" ht="18.75" hidden="1" customHeight="1">
      <c r="A13" s="575">
        <v>3</v>
      </c>
      <c r="B13" s="957" t="s">
        <v>2194</v>
      </c>
      <c r="C13" s="957"/>
      <c r="D13" s="957"/>
      <c r="E13" s="957"/>
      <c r="F13" s="957"/>
      <c r="G13" s="957"/>
      <c r="H13" s="957"/>
      <c r="I13" s="957"/>
      <c r="J13" s="553"/>
      <c r="K13" s="554"/>
    </row>
    <row r="14" spans="1:11" s="555" customFormat="1" ht="18.75" hidden="1" customHeight="1">
      <c r="A14" s="575">
        <v>3</v>
      </c>
      <c r="B14" s="957" t="s">
        <v>2198</v>
      </c>
      <c r="C14" s="957"/>
      <c r="D14" s="957"/>
      <c r="E14" s="957"/>
      <c r="F14" s="957"/>
      <c r="G14" s="957"/>
      <c r="H14" s="957"/>
      <c r="I14" s="957"/>
      <c r="J14" s="553"/>
      <c r="K14" s="554"/>
    </row>
    <row r="15" spans="1:11" s="555" customFormat="1" ht="18.75" customHeight="1">
      <c r="A15" s="575">
        <v>2</v>
      </c>
      <c r="B15" s="957" t="s">
        <v>2199</v>
      </c>
      <c r="C15" s="957"/>
      <c r="D15" s="957"/>
      <c r="E15" s="957"/>
      <c r="F15" s="957"/>
      <c r="G15" s="957"/>
      <c r="H15" s="957"/>
      <c r="I15" s="957"/>
      <c r="J15" s="553"/>
      <c r="K15" s="554"/>
    </row>
    <row r="16" spans="1:11" s="555" customFormat="1" ht="18.75" customHeight="1">
      <c r="A16" s="575">
        <v>3</v>
      </c>
      <c r="B16" s="957" t="s">
        <v>2116</v>
      </c>
      <c r="C16" s="957"/>
      <c r="D16" s="957"/>
      <c r="E16" s="957"/>
      <c r="F16" s="957"/>
      <c r="G16" s="957"/>
      <c r="H16" s="957"/>
      <c r="I16" s="957"/>
      <c r="J16" s="553"/>
      <c r="K16" s="554"/>
    </row>
    <row r="17" spans="1:11" s="555" customFormat="1" ht="18.75" customHeight="1">
      <c r="A17" s="575">
        <v>4</v>
      </c>
      <c r="B17" s="957" t="s">
        <v>530</v>
      </c>
      <c r="C17" s="957"/>
      <c r="D17" s="957"/>
      <c r="E17" s="957"/>
      <c r="F17" s="957"/>
      <c r="G17" s="957"/>
      <c r="H17" s="957"/>
      <c r="I17" s="957"/>
      <c r="J17" s="553"/>
      <c r="K17" s="554"/>
    </row>
    <row r="18" spans="1:11" s="555" customFormat="1" ht="18.75" customHeight="1">
      <c r="A18" s="575">
        <v>5</v>
      </c>
      <c r="B18" s="957" t="s">
        <v>2274</v>
      </c>
      <c r="C18" s="957"/>
      <c r="D18" s="957"/>
      <c r="E18" s="957"/>
      <c r="F18" s="957"/>
      <c r="G18" s="957"/>
      <c r="H18" s="957"/>
      <c r="I18" s="957"/>
      <c r="J18" s="553"/>
      <c r="K18" s="554"/>
    </row>
    <row r="19" spans="1:11" s="555" customFormat="1" ht="18.75" customHeight="1">
      <c r="A19" s="575">
        <v>6</v>
      </c>
      <c r="B19" s="957" t="s">
        <v>2275</v>
      </c>
      <c r="C19" s="957"/>
      <c r="D19" s="957"/>
      <c r="E19" s="957"/>
      <c r="F19" s="957"/>
      <c r="G19" s="957"/>
      <c r="H19" s="957"/>
      <c r="I19" s="957"/>
      <c r="J19" s="553"/>
      <c r="K19" s="554"/>
    </row>
    <row r="20" spans="1:11" s="555" customFormat="1" ht="18.75" customHeight="1">
      <c r="A20" s="575">
        <v>7</v>
      </c>
      <c r="B20" s="957" t="s">
        <v>2276</v>
      </c>
      <c r="C20" s="957"/>
      <c r="D20" s="957"/>
      <c r="E20" s="957"/>
      <c r="F20" s="957"/>
      <c r="G20" s="957"/>
      <c r="H20" s="957"/>
      <c r="I20" s="957"/>
      <c r="J20" s="553"/>
      <c r="K20" s="554"/>
    </row>
    <row r="21" spans="1:11" s="555" customFormat="1" ht="18.75" customHeight="1">
      <c r="A21" s="575">
        <v>8</v>
      </c>
      <c r="B21" s="957" t="s">
        <v>2117</v>
      </c>
      <c r="C21" s="957"/>
      <c r="D21" s="957"/>
      <c r="E21" s="957"/>
      <c r="F21" s="957"/>
      <c r="G21" s="957"/>
      <c r="H21" s="957"/>
      <c r="I21" s="957"/>
      <c r="J21" s="553"/>
      <c r="K21" s="554"/>
    </row>
    <row r="22" spans="1:11" s="555" customFormat="1" ht="18.75" customHeight="1">
      <c r="A22" s="575">
        <v>9</v>
      </c>
      <c r="B22" s="957" t="s">
        <v>2118</v>
      </c>
      <c r="C22" s="957"/>
      <c r="D22" s="957"/>
      <c r="E22" s="957"/>
      <c r="F22" s="957"/>
      <c r="G22" s="957"/>
      <c r="H22" s="957"/>
      <c r="I22" s="957"/>
      <c r="J22" s="553"/>
      <c r="K22" s="554"/>
    </row>
    <row r="23" spans="1:11" s="555" customFormat="1" ht="18.75" customHeight="1">
      <c r="A23" s="575">
        <v>10</v>
      </c>
      <c r="B23" s="957" t="s">
        <v>2119</v>
      </c>
      <c r="C23" s="957"/>
      <c r="D23" s="957"/>
      <c r="E23" s="957"/>
      <c r="F23" s="957"/>
      <c r="G23" s="957"/>
      <c r="H23" s="957"/>
      <c r="I23" s="957"/>
      <c r="J23" s="553"/>
      <c r="K23" s="554"/>
    </row>
    <row r="24" spans="1:11" s="555" customFormat="1" ht="18.75" customHeight="1">
      <c r="A24" s="575">
        <v>11</v>
      </c>
      <c r="B24" s="957" t="s">
        <v>2120</v>
      </c>
      <c r="C24" s="957"/>
      <c r="D24" s="957"/>
      <c r="E24" s="957"/>
      <c r="F24" s="957"/>
      <c r="G24" s="957"/>
      <c r="H24" s="957"/>
      <c r="I24" s="957"/>
      <c r="J24" s="553"/>
      <c r="K24" s="554"/>
    </row>
    <row r="25" spans="1:11" s="555" customFormat="1" ht="18.75" customHeight="1">
      <c r="A25" s="575">
        <v>12</v>
      </c>
      <c r="B25" s="957" t="s">
        <v>2121</v>
      </c>
      <c r="C25" s="957"/>
      <c r="D25" s="957"/>
      <c r="E25" s="957"/>
      <c r="F25" s="957"/>
      <c r="G25" s="957"/>
      <c r="H25" s="957"/>
      <c r="I25" s="957"/>
      <c r="J25" s="553"/>
      <c r="K25" s="554"/>
    </row>
    <row r="26" spans="1:11" s="555" customFormat="1" ht="18.75" hidden="1" customHeight="1">
      <c r="A26" s="575">
        <v>6</v>
      </c>
      <c r="B26" s="957" t="s">
        <v>2122</v>
      </c>
      <c r="C26" s="957"/>
      <c r="D26" s="957"/>
      <c r="E26" s="957"/>
      <c r="F26" s="957"/>
      <c r="G26" s="957"/>
      <c r="H26" s="957"/>
      <c r="I26" s="957"/>
      <c r="J26" s="553"/>
      <c r="K26" s="554"/>
    </row>
    <row r="27" spans="1:11" s="555" customFormat="1" ht="18.75" customHeight="1">
      <c r="A27" s="575">
        <v>13</v>
      </c>
      <c r="B27" s="957" t="s">
        <v>994</v>
      </c>
      <c r="C27" s="957"/>
      <c r="D27" s="957"/>
      <c r="E27" s="957"/>
      <c r="F27" s="957"/>
      <c r="G27" s="957"/>
      <c r="H27" s="957"/>
      <c r="I27" s="957"/>
      <c r="J27" s="553"/>
      <c r="K27" s="554"/>
    </row>
    <row r="28" spans="1:11" s="555" customFormat="1" ht="18.75" hidden="1" customHeight="1">
      <c r="A28" s="575">
        <v>13</v>
      </c>
      <c r="B28" s="957" t="s">
        <v>2123</v>
      </c>
      <c r="C28" s="957"/>
      <c r="D28" s="957"/>
      <c r="E28" s="957"/>
      <c r="F28" s="957"/>
      <c r="G28" s="957"/>
      <c r="H28" s="957"/>
      <c r="I28" s="957"/>
      <c r="J28" s="553"/>
      <c r="K28" s="554"/>
    </row>
    <row r="29" spans="1:11" s="555" customFormat="1" ht="18.75" customHeight="1">
      <c r="A29" s="575">
        <v>14</v>
      </c>
      <c r="B29" s="957" t="s">
        <v>2124</v>
      </c>
      <c r="C29" s="957"/>
      <c r="D29" s="957"/>
      <c r="E29" s="957"/>
      <c r="F29" s="957"/>
      <c r="G29" s="957"/>
      <c r="H29" s="957"/>
      <c r="I29" s="957"/>
      <c r="J29" s="553"/>
      <c r="K29" s="554"/>
    </row>
    <row r="30" spans="1:11" s="555" customFormat="1" ht="18.75" customHeight="1">
      <c r="A30" s="575">
        <v>15</v>
      </c>
      <c r="B30" s="957" t="s">
        <v>2125</v>
      </c>
      <c r="C30" s="957"/>
      <c r="D30" s="957"/>
      <c r="E30" s="957"/>
      <c r="F30" s="957"/>
      <c r="G30" s="957"/>
      <c r="H30" s="957"/>
      <c r="I30" s="957"/>
      <c r="J30" s="553"/>
      <c r="K30" s="554"/>
    </row>
    <row r="31" spans="1:11" s="555" customFormat="1" ht="18.75" customHeight="1">
      <c r="A31" s="575">
        <v>16</v>
      </c>
      <c r="B31" s="957" t="s">
        <v>2269</v>
      </c>
      <c r="C31" s="957"/>
      <c r="D31" s="957"/>
      <c r="E31" s="957"/>
      <c r="F31" s="957"/>
      <c r="G31" s="957"/>
      <c r="H31" s="957"/>
      <c r="I31" s="957"/>
      <c r="J31" s="553"/>
      <c r="K31" s="554"/>
    </row>
    <row r="32" spans="1:11" s="555" customFormat="1" ht="18.75" customHeight="1">
      <c r="A32" s="575">
        <v>17</v>
      </c>
      <c r="B32" s="957" t="s">
        <v>2126</v>
      </c>
      <c r="C32" s="957"/>
      <c r="D32" s="957"/>
      <c r="E32" s="957"/>
      <c r="F32" s="957"/>
      <c r="G32" s="957"/>
      <c r="H32" s="957"/>
      <c r="I32" s="957"/>
      <c r="J32" s="553"/>
      <c r="K32" s="554"/>
    </row>
    <row r="33" spans="1:11" s="555" customFormat="1" ht="18.75" hidden="1" customHeight="1">
      <c r="A33" s="575">
        <v>2</v>
      </c>
      <c r="B33" s="957" t="s">
        <v>2159</v>
      </c>
      <c r="C33" s="957"/>
      <c r="D33" s="957"/>
      <c r="E33" s="957"/>
      <c r="F33" s="957"/>
      <c r="G33" s="957"/>
      <c r="H33" s="957"/>
      <c r="I33" s="957"/>
      <c r="J33" s="553"/>
      <c r="K33" s="554"/>
    </row>
    <row r="34" spans="1:11" s="555" customFormat="1" ht="24" hidden="1" customHeight="1">
      <c r="A34" s="575">
        <v>3</v>
      </c>
      <c r="B34" s="957" t="s">
        <v>2160</v>
      </c>
      <c r="C34" s="957"/>
      <c r="D34" s="957"/>
      <c r="E34" s="957"/>
      <c r="F34" s="957"/>
      <c r="G34" s="957"/>
      <c r="H34" s="957"/>
      <c r="I34" s="957"/>
      <c r="J34" s="553"/>
      <c r="K34" s="554"/>
    </row>
    <row r="35" spans="1:11" s="555" customFormat="1" ht="18.75" customHeight="1">
      <c r="A35" s="575">
        <v>18</v>
      </c>
      <c r="B35" s="957" t="s">
        <v>2127</v>
      </c>
      <c r="C35" s="957"/>
      <c r="D35" s="957"/>
      <c r="E35" s="957"/>
      <c r="F35" s="957"/>
      <c r="G35" s="957"/>
      <c r="H35" s="957"/>
      <c r="I35" s="957"/>
      <c r="J35" s="553"/>
      <c r="K35" s="554"/>
    </row>
    <row r="36" spans="1:11" s="555" customFormat="1" ht="18.75" customHeight="1">
      <c r="A36" s="575">
        <v>19</v>
      </c>
      <c r="B36" s="957" t="s">
        <v>2128</v>
      </c>
      <c r="C36" s="957"/>
      <c r="D36" s="957"/>
      <c r="E36" s="957"/>
      <c r="F36" s="957"/>
      <c r="G36" s="957"/>
      <c r="H36" s="957"/>
      <c r="I36" s="957"/>
      <c r="J36" s="553"/>
      <c r="K36" s="554"/>
    </row>
    <row r="37" spans="1:11" s="555" customFormat="1" ht="18.75" hidden="1" customHeight="1">
      <c r="A37" s="575">
        <v>7</v>
      </c>
      <c r="B37" s="957" t="s">
        <v>2232</v>
      </c>
      <c r="C37" s="957"/>
      <c r="D37" s="957"/>
      <c r="E37" s="957"/>
      <c r="F37" s="957"/>
      <c r="G37" s="957"/>
      <c r="H37" s="957"/>
      <c r="I37" s="957"/>
      <c r="J37" s="553"/>
      <c r="K37" s="554"/>
    </row>
    <row r="38" spans="1:11" s="555" customFormat="1" ht="18.75" hidden="1" customHeight="1">
      <c r="A38" s="575">
        <v>8</v>
      </c>
      <c r="B38" s="957" t="s">
        <v>2233</v>
      </c>
      <c r="C38" s="957"/>
      <c r="D38" s="957"/>
      <c r="E38" s="957"/>
      <c r="F38" s="957"/>
      <c r="G38" s="957"/>
      <c r="H38" s="957"/>
      <c r="I38" s="957"/>
      <c r="J38" s="553"/>
      <c r="K38" s="554"/>
    </row>
    <row r="39" spans="1:11" s="555" customFormat="1" ht="18.75" customHeight="1">
      <c r="A39" s="575">
        <v>20</v>
      </c>
      <c r="B39" s="957" t="s">
        <v>499</v>
      </c>
      <c r="C39" s="957"/>
      <c r="D39" s="957"/>
      <c r="E39" s="957"/>
      <c r="F39" s="957"/>
      <c r="G39" s="957"/>
      <c r="H39" s="957"/>
      <c r="I39" s="957"/>
      <c r="J39" s="553"/>
      <c r="K39" s="554"/>
    </row>
    <row r="40" spans="1:11" s="555" customFormat="1" ht="18.75" hidden="1" customHeight="1">
      <c r="A40" s="575">
        <v>17</v>
      </c>
      <c r="B40" s="957" t="s">
        <v>2129</v>
      </c>
      <c r="C40" s="957"/>
      <c r="D40" s="957"/>
      <c r="E40" s="957"/>
      <c r="F40" s="957"/>
      <c r="G40" s="957"/>
      <c r="H40" s="957"/>
      <c r="I40" s="957"/>
      <c r="J40" s="553"/>
      <c r="K40" s="554"/>
    </row>
    <row r="41" spans="1:11" s="555" customFormat="1" ht="18.75" hidden="1" customHeight="1">
      <c r="A41" s="575">
        <v>18</v>
      </c>
      <c r="B41" s="957" t="s">
        <v>2130</v>
      </c>
      <c r="C41" s="957"/>
      <c r="D41" s="957"/>
      <c r="E41" s="957"/>
      <c r="F41" s="957"/>
      <c r="G41" s="957"/>
      <c r="H41" s="957"/>
      <c r="I41" s="957"/>
      <c r="J41" s="553"/>
      <c r="K41" s="554"/>
    </row>
    <row r="42" spans="1:11" s="555" customFormat="1" ht="18.75" hidden="1" customHeight="1">
      <c r="A42" s="575">
        <v>10</v>
      </c>
      <c r="B42" s="957" t="s">
        <v>2200</v>
      </c>
      <c r="C42" s="957"/>
      <c r="D42" s="957"/>
      <c r="E42" s="957"/>
      <c r="F42" s="957"/>
      <c r="G42" s="957"/>
      <c r="H42" s="957"/>
      <c r="I42" s="957"/>
      <c r="J42" s="553"/>
      <c r="K42" s="554"/>
    </row>
    <row r="43" spans="1:11" s="555" customFormat="1" ht="18.75" customHeight="1">
      <c r="A43" s="575">
        <v>21</v>
      </c>
      <c r="B43" s="957" t="s">
        <v>2195</v>
      </c>
      <c r="C43" s="957"/>
      <c r="D43" s="957"/>
      <c r="E43" s="957"/>
      <c r="F43" s="957"/>
      <c r="G43" s="957"/>
      <c r="H43" s="957"/>
      <c r="I43" s="957"/>
      <c r="J43" s="553"/>
      <c r="K43" s="554"/>
    </row>
    <row r="44" spans="1:11" s="555" customFormat="1" ht="18.75" customHeight="1">
      <c r="A44" s="575">
        <v>22</v>
      </c>
      <c r="B44" s="957" t="s">
        <v>2334</v>
      </c>
      <c r="C44" s="957"/>
      <c r="D44" s="957"/>
      <c r="E44" s="957"/>
      <c r="F44" s="957"/>
      <c r="G44" s="957"/>
      <c r="H44" s="957"/>
      <c r="I44" s="957"/>
      <c r="J44" s="553"/>
      <c r="K44" s="554"/>
    </row>
    <row r="45" spans="1:11" s="555" customFormat="1" ht="18.75" customHeight="1">
      <c r="A45" s="575">
        <v>23</v>
      </c>
      <c r="B45" s="957" t="s">
        <v>2335</v>
      </c>
      <c r="C45" s="957"/>
      <c r="D45" s="957"/>
      <c r="E45" s="957"/>
      <c r="F45" s="957"/>
      <c r="G45" s="957"/>
      <c r="H45" s="957"/>
      <c r="I45" s="957"/>
      <c r="J45" s="553"/>
      <c r="K45" s="554"/>
    </row>
    <row r="46" spans="1:11" s="555" customFormat="1" ht="18.75" hidden="1" customHeight="1">
      <c r="A46" s="575">
        <v>11</v>
      </c>
      <c r="B46" s="957" t="s">
        <v>2220</v>
      </c>
      <c r="C46" s="957"/>
      <c r="D46" s="957"/>
      <c r="E46" s="957"/>
      <c r="F46" s="957"/>
      <c r="G46" s="957"/>
      <c r="H46" s="957"/>
      <c r="I46" s="957"/>
      <c r="J46" s="553"/>
      <c r="K46" s="554"/>
    </row>
    <row r="47" spans="1:11" s="555" customFormat="1" ht="18.75" hidden="1" customHeight="1">
      <c r="A47" s="575">
        <v>12</v>
      </c>
      <c r="B47" s="957" t="s">
        <v>2221</v>
      </c>
      <c r="C47" s="957"/>
      <c r="D47" s="957"/>
      <c r="E47" s="957"/>
      <c r="F47" s="957"/>
      <c r="G47" s="957"/>
      <c r="H47" s="957"/>
      <c r="I47" s="957"/>
      <c r="J47" s="553"/>
      <c r="K47" s="554"/>
    </row>
    <row r="48" spans="1:11" s="555" customFormat="1" ht="18.75" hidden="1" customHeight="1">
      <c r="A48" s="575">
        <v>8</v>
      </c>
      <c r="B48" s="957" t="s">
        <v>2140</v>
      </c>
      <c r="C48" s="957"/>
      <c r="D48" s="957"/>
      <c r="E48" s="957"/>
      <c r="F48" s="957"/>
      <c r="G48" s="957"/>
      <c r="H48" s="957"/>
      <c r="I48" s="957"/>
      <c r="J48" s="553"/>
      <c r="K48" s="554"/>
    </row>
    <row r="49" spans="1:11" s="555" customFormat="1" ht="18.75" hidden="1" customHeight="1">
      <c r="A49" s="575">
        <v>20</v>
      </c>
      <c r="B49" s="957" t="s">
        <v>2141</v>
      </c>
      <c r="C49" s="957"/>
      <c r="D49" s="957"/>
      <c r="E49" s="957"/>
      <c r="F49" s="957"/>
      <c r="G49" s="957"/>
      <c r="H49" s="957"/>
      <c r="I49" s="957"/>
      <c r="J49" s="553"/>
      <c r="K49" s="554"/>
    </row>
    <row r="50" spans="1:11" s="555" customFormat="1" ht="18.75" hidden="1" customHeight="1">
      <c r="A50" s="575">
        <v>4</v>
      </c>
      <c r="B50" s="957" t="s">
        <v>2142</v>
      </c>
      <c r="C50" s="957"/>
      <c r="D50" s="957"/>
      <c r="E50" s="957"/>
      <c r="F50" s="957"/>
      <c r="G50" s="957"/>
      <c r="H50" s="957"/>
      <c r="I50" s="957"/>
      <c r="J50" s="553"/>
      <c r="K50" s="554"/>
    </row>
    <row r="51" spans="1:11" s="555" customFormat="1" ht="18.75" hidden="1" customHeight="1">
      <c r="A51" s="575">
        <v>18</v>
      </c>
      <c r="B51" s="957" t="s">
        <v>2131</v>
      </c>
      <c r="C51" s="957"/>
      <c r="D51" s="957"/>
      <c r="E51" s="957"/>
      <c r="F51" s="957"/>
      <c r="G51" s="957"/>
      <c r="H51" s="957"/>
      <c r="I51" s="957"/>
      <c r="J51" s="553"/>
      <c r="K51" s="554"/>
    </row>
    <row r="52" spans="1:11" s="555" customFormat="1" ht="18.75" hidden="1" customHeight="1">
      <c r="A52" s="575">
        <v>4</v>
      </c>
      <c r="B52" s="957" t="s">
        <v>2132</v>
      </c>
      <c r="C52" s="957"/>
      <c r="D52" s="957"/>
      <c r="E52" s="957"/>
      <c r="F52" s="957"/>
      <c r="G52" s="957"/>
      <c r="H52" s="957"/>
      <c r="I52" s="957"/>
      <c r="J52" s="553"/>
      <c r="K52" s="554"/>
    </row>
    <row r="53" spans="1:11" s="555" customFormat="1" ht="18.75" customHeight="1">
      <c r="A53" s="575">
        <v>24</v>
      </c>
      <c r="B53" s="957" t="s">
        <v>2133</v>
      </c>
      <c r="C53" s="957"/>
      <c r="D53" s="957"/>
      <c r="E53" s="957"/>
      <c r="F53" s="957"/>
      <c r="G53" s="957"/>
      <c r="H53" s="957"/>
      <c r="I53" s="957"/>
      <c r="J53" s="553"/>
      <c r="K53" s="554"/>
    </row>
    <row r="54" spans="1:11" s="555" customFormat="1" ht="18.75" customHeight="1">
      <c r="A54" s="575">
        <v>25</v>
      </c>
      <c r="B54" s="957" t="s">
        <v>2134</v>
      </c>
      <c r="C54" s="957"/>
      <c r="D54" s="957"/>
      <c r="E54" s="957"/>
      <c r="F54" s="957"/>
      <c r="G54" s="957"/>
      <c r="H54" s="957"/>
      <c r="I54" s="957"/>
      <c r="J54" s="553"/>
      <c r="K54" s="554"/>
    </row>
    <row r="55" spans="1:11" s="555" customFormat="1" ht="18.75" customHeight="1">
      <c r="A55" s="575">
        <v>26</v>
      </c>
      <c r="B55" s="957" t="s">
        <v>2161</v>
      </c>
      <c r="C55" s="957"/>
      <c r="D55" s="957"/>
      <c r="E55" s="957"/>
      <c r="F55" s="957"/>
      <c r="G55" s="957"/>
      <c r="H55" s="957"/>
      <c r="I55" s="957"/>
      <c r="J55" s="553"/>
      <c r="K55" s="554"/>
    </row>
    <row r="56" spans="1:11" s="555" customFormat="1" ht="18.75" customHeight="1">
      <c r="A56" s="575">
        <v>27</v>
      </c>
      <c r="B56" s="957" t="s">
        <v>2162</v>
      </c>
      <c r="C56" s="957"/>
      <c r="D56" s="957"/>
      <c r="E56" s="957"/>
      <c r="F56" s="957"/>
      <c r="G56" s="957"/>
      <c r="H56" s="957"/>
      <c r="I56" s="957"/>
      <c r="J56" s="553"/>
      <c r="K56" s="554"/>
    </row>
    <row r="57" spans="1:11" s="555" customFormat="1" ht="18.75" hidden="1" customHeight="1">
      <c r="A57" s="575">
        <v>9</v>
      </c>
      <c r="B57" s="957" t="s">
        <v>2163</v>
      </c>
      <c r="C57" s="957"/>
      <c r="D57" s="957"/>
      <c r="E57" s="957"/>
      <c r="F57" s="957"/>
      <c r="G57" s="957"/>
      <c r="H57" s="957"/>
      <c r="I57" s="957"/>
      <c r="J57" s="553"/>
      <c r="K57" s="554"/>
    </row>
    <row r="58" spans="1:11" s="555" customFormat="1" ht="18.75" customHeight="1">
      <c r="A58" s="575">
        <v>28</v>
      </c>
      <c r="B58" s="957" t="s">
        <v>2135</v>
      </c>
      <c r="C58" s="957"/>
      <c r="D58" s="957"/>
      <c r="E58" s="957"/>
      <c r="F58" s="957"/>
      <c r="G58" s="957"/>
      <c r="H58" s="957"/>
      <c r="I58" s="957"/>
      <c r="J58" s="553"/>
      <c r="K58" s="554"/>
    </row>
    <row r="59" spans="1:11" s="555" customFormat="1" ht="18.75" customHeight="1">
      <c r="A59" s="575">
        <v>29</v>
      </c>
      <c r="B59" s="957" t="s">
        <v>2136</v>
      </c>
      <c r="C59" s="957"/>
      <c r="D59" s="957"/>
      <c r="E59" s="957"/>
      <c r="F59" s="957"/>
      <c r="G59" s="957"/>
      <c r="H59" s="957"/>
      <c r="I59" s="957"/>
      <c r="J59" s="553"/>
      <c r="K59" s="554"/>
    </row>
    <row r="60" spans="1:11" s="555" customFormat="1" ht="18.75" hidden="1" customHeight="1">
      <c r="A60" s="575">
        <v>25</v>
      </c>
      <c r="B60" s="957" t="s">
        <v>2137</v>
      </c>
      <c r="C60" s="957"/>
      <c r="D60" s="957"/>
      <c r="E60" s="957"/>
      <c r="F60" s="957"/>
      <c r="G60" s="957"/>
      <c r="H60" s="957"/>
      <c r="I60" s="957"/>
      <c r="J60" s="553"/>
      <c r="K60" s="554"/>
    </row>
    <row r="61" spans="1:11" s="555" customFormat="1" ht="18.75" hidden="1" customHeight="1">
      <c r="A61" s="575">
        <v>26</v>
      </c>
      <c r="B61" s="957" t="s">
        <v>2138</v>
      </c>
      <c r="C61" s="957"/>
      <c r="D61" s="957"/>
      <c r="E61" s="957"/>
      <c r="F61" s="957"/>
      <c r="G61" s="957"/>
      <c r="H61" s="957"/>
      <c r="I61" s="957"/>
      <c r="J61" s="553"/>
      <c r="K61" s="554"/>
    </row>
    <row r="62" spans="1:11" s="555" customFormat="1" ht="18.75" hidden="1" customHeight="1">
      <c r="A62" s="575">
        <v>15</v>
      </c>
      <c r="B62" s="957" t="s">
        <v>467</v>
      </c>
      <c r="C62" s="957"/>
      <c r="D62" s="957"/>
      <c r="E62" s="957"/>
      <c r="F62" s="957"/>
      <c r="G62" s="957"/>
      <c r="H62" s="957"/>
      <c r="I62" s="957"/>
      <c r="J62" s="553"/>
      <c r="K62" s="554"/>
    </row>
    <row r="63" spans="1:11" s="555" customFormat="1" ht="18.75" customHeight="1">
      <c r="A63" s="575">
        <v>30</v>
      </c>
      <c r="B63" s="957" t="s">
        <v>2234</v>
      </c>
      <c r="C63" s="957"/>
      <c r="D63" s="957"/>
      <c r="E63" s="957"/>
      <c r="F63" s="957"/>
      <c r="G63" s="957"/>
      <c r="H63" s="957"/>
      <c r="I63" s="957"/>
      <c r="J63" s="553"/>
      <c r="K63" s="554"/>
    </row>
    <row r="64" spans="1:11" s="574" customFormat="1" ht="33.75" customHeight="1">
      <c r="A64" s="962" t="s">
        <v>2297</v>
      </c>
      <c r="B64" s="962"/>
      <c r="C64" s="962"/>
      <c r="D64" s="962"/>
      <c r="E64" s="962"/>
      <c r="F64" s="962"/>
      <c r="G64" s="962"/>
      <c r="H64" s="962"/>
      <c r="I64" s="962"/>
    </row>
    <row r="65" spans="1:9" s="574" customFormat="1" ht="51" customHeight="1">
      <c r="A65" s="962" t="s">
        <v>2346</v>
      </c>
      <c r="B65" s="962"/>
      <c r="C65" s="962"/>
      <c r="D65" s="962"/>
      <c r="E65" s="962"/>
      <c r="F65" s="962"/>
      <c r="G65" s="962"/>
      <c r="H65" s="962"/>
      <c r="I65" s="962"/>
    </row>
    <row r="67" spans="1:9" ht="13.5" customHeight="1">
      <c r="D67" s="168"/>
      <c r="E67" s="168"/>
      <c r="F67" s="169"/>
      <c r="G67" s="169"/>
      <c r="H67" s="168"/>
    </row>
    <row r="68" spans="1:9" ht="13.5" customHeight="1">
      <c r="D68" s="168"/>
      <c r="E68" s="191" t="str">
        <f>'lead 25-26'!$H$32</f>
        <v>Deputy Executive Engineer</v>
      </c>
      <c r="F68" s="171"/>
      <c r="G68" s="170"/>
      <c r="H68" s="191" t="str">
        <f>'lead 25-26'!$K$32</f>
        <v>Assistant  Engineer</v>
      </c>
    </row>
    <row r="69" spans="1:9" ht="13.5" customHeight="1">
      <c r="D69" s="168"/>
      <c r="E69" s="191" t="str">
        <f>'lead 25-26'!$H$33</f>
        <v>PRI Sub Division</v>
      </c>
      <c r="F69" s="171"/>
      <c r="G69" s="170"/>
      <c r="H69" s="191" t="str">
        <f>'lead 25-26'!$K$33</f>
        <v>Mandal Praja parishad</v>
      </c>
    </row>
    <row r="70" spans="1:9" ht="15.75">
      <c r="E70" s="191" t="str">
        <f>'lead 25-26'!$H$34</f>
        <v>Kanigiri</v>
      </c>
      <c r="F70" s="164"/>
      <c r="G70" s="164"/>
      <c r="H70" s="191" t="str">
        <f>'lead 25-26'!$K$34</f>
        <v>Kanigiri</v>
      </c>
    </row>
    <row r="71" spans="1:9">
      <c r="E71" s="21"/>
    </row>
    <row r="75" spans="1:9" ht="15">
      <c r="D75" s="172"/>
    </row>
    <row r="82" ht="13.5" customHeight="1"/>
  </sheetData>
  <mergeCells count="63">
    <mergeCell ref="A8:I8"/>
    <mergeCell ref="B17:I17"/>
    <mergeCell ref="B18:I18"/>
    <mergeCell ref="B19:I19"/>
    <mergeCell ref="B20:I20"/>
    <mergeCell ref="B9:I9"/>
    <mergeCell ref="B10:I10"/>
    <mergeCell ref="B11:I11"/>
    <mergeCell ref="B15:I15"/>
    <mergeCell ref="B16:I16"/>
    <mergeCell ref="B12:I12"/>
    <mergeCell ref="B13:I13"/>
    <mergeCell ref="B14:I14"/>
    <mergeCell ref="B59:I59"/>
    <mergeCell ref="B52:I52"/>
    <mergeCell ref="B53:I53"/>
    <mergeCell ref="B54:I54"/>
    <mergeCell ref="B58:I58"/>
    <mergeCell ref="B55:I55"/>
    <mergeCell ref="B56:I56"/>
    <mergeCell ref="B57:I57"/>
    <mergeCell ref="B37:I37"/>
    <mergeCell ref="B38:I38"/>
    <mergeCell ref="B51:I51"/>
    <mergeCell ref="B47:I47"/>
    <mergeCell ref="B48:I48"/>
    <mergeCell ref="B49:I49"/>
    <mergeCell ref="B50:I50"/>
    <mergeCell ref="B39:I39"/>
    <mergeCell ref="B40:I40"/>
    <mergeCell ref="B41:I41"/>
    <mergeCell ref="B46:I46"/>
    <mergeCell ref="B43:I43"/>
    <mergeCell ref="B42:I42"/>
    <mergeCell ref="B44:I44"/>
    <mergeCell ref="B45:I45"/>
    <mergeCell ref="A64:I64"/>
    <mergeCell ref="A65:I65"/>
    <mergeCell ref="B60:I60"/>
    <mergeCell ref="B61:I61"/>
    <mergeCell ref="B62:I62"/>
    <mergeCell ref="B63:I63"/>
    <mergeCell ref="A1:I1"/>
    <mergeCell ref="A3:I3"/>
    <mergeCell ref="A4:I4"/>
    <mergeCell ref="F5:G5"/>
    <mergeCell ref="A7:I7"/>
    <mergeCell ref="B21:I21"/>
    <mergeCell ref="B22:I22"/>
    <mergeCell ref="B23:I23"/>
    <mergeCell ref="B24:I24"/>
    <mergeCell ref="B25:I25"/>
    <mergeCell ref="B32:I32"/>
    <mergeCell ref="B35:I35"/>
    <mergeCell ref="B36:I36"/>
    <mergeCell ref="B33:I33"/>
    <mergeCell ref="B26:I26"/>
    <mergeCell ref="B28:I28"/>
    <mergeCell ref="B29:I29"/>
    <mergeCell ref="B30:I30"/>
    <mergeCell ref="B31:I31"/>
    <mergeCell ref="B34:I34"/>
    <mergeCell ref="B27:I27"/>
  </mergeCells>
  <pageMargins left="0.83" right="0.75" top="0.28999999999999998" bottom="0.31" header="0.17" footer="0.16"/>
  <pageSetup paperSize="9" scale="99" orientation="portrait" r:id="rId1"/>
  <headerFooter alignWithMargins="0"/>
  <rowBreaks count="1" manualBreakCount="1">
    <brk id="70" max="8" man="1"/>
  </rowBreak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filterMode="1">
    <tabColor rgb="FF00B050"/>
  </sheetPr>
  <dimension ref="A1:R1673"/>
  <sheetViews>
    <sheetView showZeros="0" defaultGridColor="0" view="pageBreakPreview" colorId="22" zoomScale="115" zoomScaleNormal="115" zoomScaleSheetLayoutView="115" workbookViewId="0">
      <selection sqref="A1:M1"/>
    </sheetView>
  </sheetViews>
  <sheetFormatPr defaultRowHeight="12.75"/>
  <cols>
    <col min="1" max="1" width="3.5703125" style="10" customWidth="1"/>
    <col min="2" max="2" width="30.42578125" style="10" customWidth="1"/>
    <col min="3" max="3" width="3.5703125" style="10" customWidth="1"/>
    <col min="4" max="4" width="1.7109375" style="10" customWidth="1"/>
    <col min="5" max="5" width="5.140625" style="747" customWidth="1"/>
    <col min="6" max="6" width="6.7109375" style="748" customWidth="1"/>
    <col min="7" max="7" width="6.140625" style="749" customWidth="1"/>
    <col min="8" max="8" width="7.42578125" style="21" customWidth="1"/>
    <col min="9" max="9" width="8.140625" style="22" customWidth="1"/>
    <col min="10" max="10" width="5.28515625" style="22" customWidth="1"/>
    <col min="11" max="11" width="8.42578125" style="21" customWidth="1"/>
    <col min="12" max="12" width="7.5703125" style="750" customWidth="1"/>
    <col min="13" max="13" width="10.85546875" style="22" customWidth="1"/>
    <col min="14" max="15" width="10.42578125" style="10" bestFit="1" customWidth="1"/>
    <col min="16" max="16384" width="9.140625" style="10"/>
  </cols>
  <sheetData>
    <row r="1" spans="1:13" ht="26.25" customHeight="1">
      <c r="A1" s="981" t="s">
        <v>2278</v>
      </c>
      <c r="B1" s="981"/>
      <c r="C1" s="981"/>
      <c r="D1" s="981"/>
      <c r="E1" s="981"/>
      <c r="F1" s="981"/>
      <c r="G1" s="981"/>
      <c r="H1" s="981"/>
      <c r="I1" s="981"/>
      <c r="J1" s="981"/>
      <c r="K1" s="981"/>
      <c r="L1" s="981"/>
      <c r="M1" s="981"/>
    </row>
    <row r="2" spans="1:13" ht="42" customHeight="1">
      <c r="A2" s="982" t="s">
        <v>850</v>
      </c>
      <c r="B2" s="982"/>
      <c r="C2" s="983" t="str">
        <f>'lead 25-26'!C2:L2</f>
        <v>Construction of Community Hall at Chakirala village and  GP of Kanigiri  Mandal.</v>
      </c>
      <c r="D2" s="983"/>
      <c r="E2" s="983"/>
      <c r="F2" s="983"/>
      <c r="G2" s="983"/>
      <c r="H2" s="983"/>
      <c r="I2" s="983"/>
      <c r="J2" s="983"/>
      <c r="K2" s="983"/>
      <c r="L2" s="983"/>
      <c r="M2" s="983"/>
    </row>
    <row r="3" spans="1:13" ht="15" customHeight="1">
      <c r="A3" s="187"/>
      <c r="B3" s="984"/>
      <c r="C3" s="984"/>
      <c r="D3" s="984"/>
      <c r="E3" s="984"/>
      <c r="F3" s="984"/>
      <c r="G3" s="984"/>
      <c r="H3" s="192"/>
      <c r="I3" s="985" t="s">
        <v>265</v>
      </c>
      <c r="J3" s="985"/>
      <c r="K3" s="985"/>
      <c r="L3" s="986" t="str">
        <f>'lead 25-26'!K4</f>
        <v>20.00 Lakhs</v>
      </c>
      <c r="M3" s="986"/>
    </row>
    <row r="4" spans="1:13" s="743" customFormat="1" ht="12.75" customHeight="1">
      <c r="A4" s="979" t="s">
        <v>266</v>
      </c>
      <c r="B4" s="979" t="s">
        <v>267</v>
      </c>
      <c r="C4" s="979" t="s">
        <v>114</v>
      </c>
      <c r="D4" s="979"/>
      <c r="E4" s="979"/>
      <c r="F4" s="979" t="s">
        <v>121</v>
      </c>
      <c r="G4" s="979"/>
      <c r="H4" s="979"/>
      <c r="I4" s="979" t="s">
        <v>6</v>
      </c>
      <c r="J4" s="979"/>
      <c r="K4" s="979" t="s">
        <v>8</v>
      </c>
      <c r="L4" s="980" t="s">
        <v>9</v>
      </c>
      <c r="M4" s="979" t="s">
        <v>10</v>
      </c>
    </row>
    <row r="5" spans="1:13" s="743" customFormat="1" ht="21.75" customHeight="1">
      <c r="A5" s="979"/>
      <c r="B5" s="979"/>
      <c r="C5" s="979"/>
      <c r="D5" s="979"/>
      <c r="E5" s="979"/>
      <c r="F5" s="744" t="s">
        <v>12</v>
      </c>
      <c r="G5" s="744" t="s">
        <v>13</v>
      </c>
      <c r="H5" s="741" t="s">
        <v>14</v>
      </c>
      <c r="I5" s="979"/>
      <c r="J5" s="979"/>
      <c r="K5" s="979"/>
      <c r="L5" s="980"/>
      <c r="M5" s="979"/>
    </row>
    <row r="6" spans="1:13" s="743" customFormat="1" ht="15.75">
      <c r="A6" s="741">
        <v>1</v>
      </c>
      <c r="B6" s="741">
        <v>2</v>
      </c>
      <c r="C6" s="979">
        <v>3</v>
      </c>
      <c r="D6" s="979"/>
      <c r="E6" s="979"/>
      <c r="F6" s="742">
        <v>4</v>
      </c>
      <c r="G6" s="742">
        <v>5</v>
      </c>
      <c r="H6" s="741">
        <v>6</v>
      </c>
      <c r="I6" s="745">
        <v>7</v>
      </c>
      <c r="J6" s="746"/>
      <c r="K6" s="741">
        <v>8</v>
      </c>
      <c r="L6" s="742">
        <v>9</v>
      </c>
      <c r="M6" s="741">
        <v>10</v>
      </c>
    </row>
    <row r="7" spans="1:13" s="187" customFormat="1" hidden="1">
      <c r="A7" s="179"/>
      <c r="B7" s="289" t="s">
        <v>291</v>
      </c>
      <c r="C7" s="279"/>
      <c r="D7" s="286"/>
      <c r="E7" s="290"/>
      <c r="F7" s="188"/>
      <c r="G7" s="188"/>
      <c r="H7" s="179"/>
      <c r="I7" s="19"/>
      <c r="J7" s="190"/>
      <c r="K7" s="179"/>
      <c r="L7" s="189"/>
      <c r="M7" s="179"/>
    </row>
    <row r="8" spans="1:13" ht="30" hidden="1" customHeight="1">
      <c r="A8" s="110">
        <v>1</v>
      </c>
      <c r="B8" s="964" t="s">
        <v>292</v>
      </c>
      <c r="C8" s="964"/>
      <c r="D8" s="964"/>
      <c r="E8" s="964"/>
      <c r="F8" s="964"/>
      <c r="G8" s="964"/>
      <c r="H8" s="964"/>
      <c r="I8" s="183"/>
      <c r="J8" s="186"/>
      <c r="K8" s="110"/>
      <c r="L8" s="210"/>
      <c r="M8" s="139"/>
    </row>
    <row r="9" spans="1:13" s="148" customFormat="1" ht="16.5" hidden="1" customHeight="1">
      <c r="A9" s="110"/>
      <c r="B9" s="401" t="s">
        <v>1792</v>
      </c>
      <c r="C9" s="402">
        <v>1</v>
      </c>
      <c r="D9" s="403" t="s">
        <v>268</v>
      </c>
      <c r="E9" s="404">
        <v>1</v>
      </c>
      <c r="F9" s="405">
        <v>11</v>
      </c>
      <c r="G9" s="405">
        <v>10</v>
      </c>
      <c r="H9" s="405">
        <v>0</v>
      </c>
      <c r="I9" s="207">
        <f t="shared" ref="I9" si="0">ROUND(IF(AND(F9:H9),C9*E9*F9*G9*H9,IF(AND(F9,G9),C9*E9*F9*G9,IF(AND(F9,H9),C9*E9*F9*H9,IF(AND(G9,H9),C9*E9*G9*H9,IF(F9,C9*E9*F9,IF(G9,C9*E9*G9,IF(H9,C9*E9*H9,C9*E9))))))),2)</f>
        <v>110</v>
      </c>
      <c r="J9" s="357" t="s">
        <v>102</v>
      </c>
      <c r="K9" s="147"/>
      <c r="L9" s="110"/>
      <c r="M9" s="147"/>
    </row>
    <row r="10" spans="1:13" s="148" customFormat="1" ht="16.5" hidden="1" customHeight="1">
      <c r="A10" s="110"/>
      <c r="B10" s="149"/>
      <c r="C10" s="150"/>
      <c r="D10" s="151"/>
      <c r="E10" s="152"/>
      <c r="F10" s="153"/>
      <c r="G10" s="153"/>
      <c r="H10" s="153"/>
      <c r="I10" s="185">
        <f>SUM(I9:I9)</f>
        <v>110</v>
      </c>
      <c r="J10" s="195" t="s">
        <v>102</v>
      </c>
      <c r="K10" s="147"/>
      <c r="L10" s="110"/>
      <c r="M10" s="147"/>
    </row>
    <row r="11" spans="1:13" s="148" customFormat="1" ht="16.5" hidden="1" customHeight="1">
      <c r="A11" s="110"/>
      <c r="B11" s="149" t="s">
        <v>293</v>
      </c>
      <c r="C11" s="150"/>
      <c r="D11" s="151"/>
      <c r="E11" s="152"/>
      <c r="F11" s="152"/>
      <c r="G11" s="153"/>
      <c r="H11" s="153"/>
      <c r="I11" s="185">
        <f>-ROUND(I10*40%,2)</f>
        <v>-44</v>
      </c>
      <c r="J11" s="195" t="s">
        <v>102</v>
      </c>
      <c r="K11" s="147"/>
      <c r="L11" s="110"/>
      <c r="M11" s="147"/>
    </row>
    <row r="12" spans="1:13" hidden="1">
      <c r="A12" s="110"/>
      <c r="B12" s="139"/>
      <c r="C12" s="154"/>
      <c r="D12" s="155"/>
      <c r="E12" s="156"/>
      <c r="F12" s="157"/>
      <c r="G12" s="157"/>
      <c r="H12" s="157"/>
      <c r="I12" s="185"/>
      <c r="J12" s="195" t="s">
        <v>102</v>
      </c>
      <c r="K12" s="12">
        <f>'DATA 2025-26'!G41</f>
        <v>6.06</v>
      </c>
      <c r="L12" s="210" t="s">
        <v>270</v>
      </c>
      <c r="M12" s="11">
        <f>ROUND(I12*K12,0)</f>
        <v>0</v>
      </c>
    </row>
    <row r="13" spans="1:13" s="763" customFormat="1" ht="83.25" customHeight="1">
      <c r="A13" s="757">
        <v>1</v>
      </c>
      <c r="B13" s="965" t="s">
        <v>2228</v>
      </c>
      <c r="C13" s="965"/>
      <c r="D13" s="965"/>
      <c r="E13" s="965"/>
      <c r="F13" s="965"/>
      <c r="G13" s="965"/>
      <c r="H13" s="965"/>
      <c r="I13" s="759"/>
      <c r="J13" s="760"/>
      <c r="K13" s="757"/>
      <c r="L13" s="761"/>
      <c r="M13" s="762"/>
    </row>
    <row r="14" spans="1:13" s="771" customFormat="1" ht="16.5" customHeight="1">
      <c r="A14" s="757"/>
      <c r="B14" s="764" t="s">
        <v>1230</v>
      </c>
      <c r="C14" s="765">
        <v>1</v>
      </c>
      <c r="D14" s="766" t="s">
        <v>268</v>
      </c>
      <c r="E14" s="767">
        <v>8</v>
      </c>
      <c r="F14" s="768">
        <v>1.5</v>
      </c>
      <c r="G14" s="768">
        <v>1.5</v>
      </c>
      <c r="H14" s="768">
        <v>1.5</v>
      </c>
      <c r="I14" s="769">
        <f>ROUND(IF(AND(F14:H14),C14*E14*F14*G14*H14,IF(AND(F14,G14),C14*E14*F14*G14,IF(AND(F14,H14),C14*E14*F14*H14,IF(AND(G14,H14),C14*E14*G14*H14,IF(F14,C14*E14*F14,IF(G14,C14*E14*G14,IF(H14,C14*E14*H14,C14*E14))))))),2)</f>
        <v>27</v>
      </c>
      <c r="J14" s="770" t="s">
        <v>5</v>
      </c>
      <c r="K14" s="764"/>
      <c r="L14" s="757"/>
      <c r="M14" s="764"/>
    </row>
    <row r="15" spans="1:13" s="771" customFormat="1" ht="16.5" customHeight="1">
      <c r="A15" s="757"/>
      <c r="B15" s="764" t="s">
        <v>2279</v>
      </c>
      <c r="C15" s="765">
        <v>1</v>
      </c>
      <c r="D15" s="766" t="s">
        <v>268</v>
      </c>
      <c r="E15" s="767">
        <v>1</v>
      </c>
      <c r="F15" s="768">
        <v>31.86</v>
      </c>
      <c r="G15" s="768">
        <v>0.45</v>
      </c>
      <c r="H15" s="768">
        <v>0.3</v>
      </c>
      <c r="I15" s="769">
        <f>ROUND(IF(AND(F15:H15),C15*E15*F15*G15*H15,IF(AND(F15,G15),C15*E15*F15*G15,IF(AND(F15,H15),C15*E15*F15*H15,IF(AND(G15,H15),C15*E15*G15*H15,IF(F15,C15*E15*F15,IF(G15,C15*E15*G15,IF(H15,C15*E15*H15,C15*E15))))))),2)</f>
        <v>4.3</v>
      </c>
      <c r="J15" s="770" t="s">
        <v>5</v>
      </c>
      <c r="K15" s="764"/>
      <c r="L15" s="757"/>
      <c r="M15" s="764"/>
    </row>
    <row r="16" spans="1:13" s="771" customFormat="1" ht="16.5" customHeight="1">
      <c r="A16" s="757"/>
      <c r="B16" s="764" t="s">
        <v>2284</v>
      </c>
      <c r="C16" s="765">
        <v>1</v>
      </c>
      <c r="D16" s="766" t="s">
        <v>268</v>
      </c>
      <c r="E16" s="767">
        <v>1</v>
      </c>
      <c r="F16" s="768">
        <v>7.74</v>
      </c>
      <c r="G16" s="768">
        <v>0.45</v>
      </c>
      <c r="H16" s="768">
        <v>0.3</v>
      </c>
      <c r="I16" s="769">
        <f>ROUND(IF(AND(F16:H16),C16*E16*F16*G16*H16,IF(AND(F16,G16),C16*E16*F16*G16,IF(AND(F16,H16),C16*E16*F16*H16,IF(AND(G16,H16),C16*E16*G16*H16,IF(F16,C16*E16*F16,IF(G16,C16*E16*G16,IF(H16,C16*E16*H16,C16*E16))))))),2)</f>
        <v>1.04</v>
      </c>
      <c r="J16" s="770" t="s">
        <v>5</v>
      </c>
      <c r="K16" s="764"/>
      <c r="L16" s="757"/>
      <c r="M16" s="764"/>
    </row>
    <row r="17" spans="1:13" s="771" customFormat="1" ht="16.5" customHeight="1">
      <c r="A17" s="757"/>
      <c r="B17" s="764" t="s">
        <v>2280</v>
      </c>
      <c r="C17" s="765">
        <v>1</v>
      </c>
      <c r="D17" s="766" t="s">
        <v>268</v>
      </c>
      <c r="E17" s="767">
        <v>2</v>
      </c>
      <c r="F17" s="768">
        <v>5.49</v>
      </c>
      <c r="G17" s="768">
        <v>0.23</v>
      </c>
      <c r="H17" s="768">
        <v>0.1</v>
      </c>
      <c r="I17" s="769">
        <f>ROUND(IF(AND(F17:H17),C17*E17*F17*G17*H17,IF(AND(F17,G17),C17*E17*F17*G17,IF(AND(F17,H17),C17*E17*F17*H17,IF(AND(G17,H17),C17*E17*G17*H17,IF(F17,C17*E17*F17,IF(G17,C17*E17*G17,IF(H17,C17*E17*H17,C17*E17))))))),2)</f>
        <v>0.25</v>
      </c>
      <c r="J17" s="770" t="s">
        <v>5</v>
      </c>
      <c r="K17" s="764"/>
      <c r="L17" s="757"/>
      <c r="M17" s="764"/>
    </row>
    <row r="18" spans="1:13" s="771" customFormat="1" ht="16.5" customHeight="1">
      <c r="A18" s="757"/>
      <c r="B18" s="773"/>
      <c r="C18" s="774"/>
      <c r="D18" s="775"/>
      <c r="E18" s="776"/>
      <c r="F18" s="777"/>
      <c r="G18" s="777"/>
      <c r="H18" s="777"/>
      <c r="I18" s="769"/>
      <c r="J18" s="778"/>
      <c r="K18" s="764"/>
      <c r="L18" s="761"/>
      <c r="M18" s="764"/>
    </row>
    <row r="19" spans="1:13" s="763" customFormat="1">
      <c r="A19" s="757"/>
      <c r="B19" s="764"/>
      <c r="C19" s="779"/>
      <c r="D19" s="780"/>
      <c r="E19" s="767"/>
      <c r="F19" s="781"/>
      <c r="G19" s="782"/>
      <c r="H19" s="757"/>
      <c r="I19" s="769">
        <f>SUM(I14:I18)</f>
        <v>32.590000000000003</v>
      </c>
      <c r="J19" s="783" t="s">
        <v>5</v>
      </c>
      <c r="K19" s="768">
        <f>'DATA 2025-26'!G47</f>
        <v>254.34</v>
      </c>
      <c r="L19" s="761" t="s">
        <v>269</v>
      </c>
      <c r="M19" s="784">
        <f>ROUND(I19*K19,0)</f>
        <v>8289</v>
      </c>
    </row>
    <row r="20" spans="1:13" s="763" customFormat="1" ht="57" customHeight="1">
      <c r="A20" s="757">
        <v>2</v>
      </c>
      <c r="B20" s="965" t="s">
        <v>294</v>
      </c>
      <c r="C20" s="965"/>
      <c r="D20" s="965"/>
      <c r="E20" s="965"/>
      <c r="F20" s="965"/>
      <c r="G20" s="965"/>
      <c r="H20" s="965"/>
      <c r="I20" s="759"/>
      <c r="J20" s="760"/>
      <c r="K20" s="757"/>
      <c r="L20" s="761"/>
      <c r="M20" s="762"/>
    </row>
    <row r="21" spans="1:13" s="771" customFormat="1" ht="16.5" customHeight="1">
      <c r="A21" s="757"/>
      <c r="B21" s="764" t="s">
        <v>1230</v>
      </c>
      <c r="C21" s="765">
        <v>1</v>
      </c>
      <c r="D21" s="766" t="s">
        <v>268</v>
      </c>
      <c r="E21" s="767">
        <v>8</v>
      </c>
      <c r="F21" s="768">
        <v>1.4</v>
      </c>
      <c r="G21" s="768">
        <v>1.4</v>
      </c>
      <c r="H21" s="768">
        <v>0.15</v>
      </c>
      <c r="I21" s="769">
        <f>ROUND(IF(AND(F21:H21),C21*E21*F21*G21*H21,IF(AND(F21,G21),C21*E21*F21*G21,IF(AND(F21,H21),C21*E21*F21*H21,IF(AND(G21,H21),C21*E21*G21*H21,IF(F21,C21*E21*F21,IF(G21,C21*E21*G21,IF(H21,C21*E21*H21,C21*E21))))))),2)</f>
        <v>2.35</v>
      </c>
      <c r="J21" s="770" t="s">
        <v>5</v>
      </c>
      <c r="K21" s="764"/>
      <c r="L21" s="757"/>
      <c r="M21" s="764"/>
    </row>
    <row r="22" spans="1:13" s="771" customFormat="1" ht="16.5" customHeight="1">
      <c r="A22" s="757"/>
      <c r="B22" s="764" t="s">
        <v>2279</v>
      </c>
      <c r="C22" s="765">
        <v>1</v>
      </c>
      <c r="D22" s="766" t="s">
        <v>268</v>
      </c>
      <c r="E22" s="767">
        <v>1</v>
      </c>
      <c r="F22" s="768">
        <v>31.86</v>
      </c>
      <c r="G22" s="768">
        <v>0.45</v>
      </c>
      <c r="H22" s="768">
        <v>0.15</v>
      </c>
      <c r="I22" s="769">
        <f>ROUND(IF(AND(F22:H22),C22*E22*F22*G22*H22,IF(AND(F22,G22),C22*E22*F22*G22,IF(AND(F22,H22),C22*E22*F22*H22,IF(AND(G22,H22),C22*E22*G22*H22,IF(F22,C22*E22*F22,IF(G22,C22*E22*G22,IF(H22,C22*E22*H22,C22*E22))))))),2)</f>
        <v>2.15</v>
      </c>
      <c r="J22" s="770" t="s">
        <v>5</v>
      </c>
      <c r="K22" s="764"/>
      <c r="L22" s="757"/>
      <c r="M22" s="764"/>
    </row>
    <row r="23" spans="1:13" s="771" customFormat="1" ht="16.5" customHeight="1">
      <c r="A23" s="757"/>
      <c r="B23" s="764" t="s">
        <v>2280</v>
      </c>
      <c r="C23" s="765">
        <v>1</v>
      </c>
      <c r="D23" s="766" t="s">
        <v>268</v>
      </c>
      <c r="E23" s="767">
        <v>2</v>
      </c>
      <c r="F23" s="768">
        <v>5.49</v>
      </c>
      <c r="G23" s="768">
        <v>0.23</v>
      </c>
      <c r="H23" s="768">
        <v>0.1</v>
      </c>
      <c r="I23" s="769">
        <f>ROUND(IF(AND(F23:H23),C23*E23*F23*G23*H23,IF(AND(F23,G23),C23*E23*F23*G23,IF(AND(F23,H23),C23*E23*F23*H23,IF(AND(G23,H23),C23*E23*G23*H23,IF(F23,C23*E23*F23,IF(G23,C23*E23*G23,IF(H23,C23*E23*H23,C23*E23))))))),2)</f>
        <v>0.25</v>
      </c>
      <c r="J23" s="770" t="s">
        <v>5</v>
      </c>
      <c r="K23" s="764"/>
      <c r="L23" s="757"/>
      <c r="M23" s="764"/>
    </row>
    <row r="24" spans="1:13" s="771" customFormat="1" ht="16.5" customHeight="1">
      <c r="A24" s="757"/>
      <c r="B24" s="764" t="s">
        <v>566</v>
      </c>
      <c r="C24" s="765">
        <v>1</v>
      </c>
      <c r="D24" s="766" t="s">
        <v>268</v>
      </c>
      <c r="E24" s="767">
        <v>1</v>
      </c>
      <c r="F24" s="768">
        <v>7.74</v>
      </c>
      <c r="G24" s="768">
        <v>0.9</v>
      </c>
      <c r="H24" s="768">
        <v>0.1</v>
      </c>
      <c r="I24" s="769">
        <f>ROUND(IF(AND(F24:H24),C24*E24*F24*G24*H24,IF(AND(F24,G24),C24*E24*F24*G24,IF(AND(F24,H24),C24*E24*F24*H24,IF(AND(G24,H24),C24*E24*G24*H24,IF(F24,C24*E24*F24,IF(G24,C24*E24*G24,IF(H24,C24*E24*H24,C24*E24))))))),2)</f>
        <v>0.7</v>
      </c>
      <c r="J24" s="770" t="s">
        <v>5</v>
      </c>
      <c r="K24" s="764"/>
      <c r="L24" s="757"/>
      <c r="M24" s="764"/>
    </row>
    <row r="25" spans="1:13" s="771" customFormat="1" ht="16.5" customHeight="1">
      <c r="A25" s="757"/>
      <c r="B25" s="764" t="s">
        <v>2281</v>
      </c>
      <c r="C25" s="765"/>
      <c r="D25" s="766"/>
      <c r="E25" s="767"/>
      <c r="F25" s="768"/>
      <c r="G25" s="768"/>
      <c r="H25" s="768"/>
      <c r="I25" s="769"/>
      <c r="J25" s="770"/>
      <c r="K25" s="764"/>
      <c r="L25" s="757"/>
      <c r="M25" s="764"/>
    </row>
    <row r="26" spans="1:13" s="771" customFormat="1" ht="16.5" customHeight="1">
      <c r="A26" s="757"/>
      <c r="B26" s="764" t="s">
        <v>745</v>
      </c>
      <c r="C26" s="765">
        <v>1</v>
      </c>
      <c r="D26" s="766" t="s">
        <v>268</v>
      </c>
      <c r="E26" s="767">
        <v>1</v>
      </c>
      <c r="F26" s="768">
        <v>5.49</v>
      </c>
      <c r="G26" s="768">
        <v>7.32</v>
      </c>
      <c r="H26" s="768">
        <v>0.1</v>
      </c>
      <c r="I26" s="769">
        <f>ROUND(IF(AND(F26:H26),C26*E26*F26*G26*H26,IF(AND(F26,G26),C26*E26*F26*G26,IF(AND(F26,H26),C26*E26*F26*H26,IF(AND(G26,H26),C26*E26*G26*H26,IF(F26,C26*E26*F26,IF(G26,C26*E26*G26,IF(H26,C26*E26*H26,C26*E26))))))),2)</f>
        <v>4.0199999999999996</v>
      </c>
      <c r="J26" s="770" t="s">
        <v>5</v>
      </c>
      <c r="K26" s="764"/>
      <c r="L26" s="757"/>
      <c r="M26" s="764"/>
    </row>
    <row r="27" spans="1:13" s="771" customFormat="1" ht="16.5" customHeight="1">
      <c r="A27" s="757"/>
      <c r="B27" s="764" t="s">
        <v>2315</v>
      </c>
      <c r="C27" s="765">
        <v>1</v>
      </c>
      <c r="D27" s="766" t="s">
        <v>268</v>
      </c>
      <c r="E27" s="767">
        <v>1</v>
      </c>
      <c r="F27" s="768">
        <v>5.49</v>
      </c>
      <c r="G27" s="768">
        <v>2.44</v>
      </c>
      <c r="H27" s="768">
        <v>0.1</v>
      </c>
      <c r="I27" s="769">
        <f>ROUND(IF(AND(F27:H27),C27*E27*F27*G27*H27,IF(AND(F27,G27),C27*E27*F27*G27,IF(AND(F27,H27),C27*E27*F27*H27,IF(AND(G27,H27),C27*E27*G27*H27,IF(F27,C27*E27*F27,IF(G27,C27*E27*G27,IF(H27,C27*E27*H27,C27*E27))))))),2)</f>
        <v>1.34</v>
      </c>
      <c r="J27" s="770" t="s">
        <v>5</v>
      </c>
      <c r="K27" s="764"/>
      <c r="L27" s="757"/>
      <c r="M27" s="764"/>
    </row>
    <row r="28" spans="1:13" s="771" customFormat="1" ht="16.5" customHeight="1">
      <c r="A28" s="757"/>
      <c r="B28" s="773"/>
      <c r="C28" s="774"/>
      <c r="D28" s="775"/>
      <c r="E28" s="776"/>
      <c r="F28" s="777"/>
      <c r="G28" s="777"/>
      <c r="H28" s="777"/>
      <c r="I28" s="769"/>
      <c r="J28" s="778"/>
      <c r="K28" s="764"/>
      <c r="L28" s="761"/>
      <c r="M28" s="764"/>
    </row>
    <row r="29" spans="1:13" s="763" customFormat="1">
      <c r="A29" s="757"/>
      <c r="B29" s="764"/>
      <c r="C29" s="779"/>
      <c r="D29" s="780"/>
      <c r="E29" s="767"/>
      <c r="F29" s="781"/>
      <c r="G29" s="782"/>
      <c r="H29" s="757"/>
      <c r="I29" s="769">
        <f>SUM(I21:I28)</f>
        <v>10.809999999999999</v>
      </c>
      <c r="J29" s="783" t="s">
        <v>5</v>
      </c>
      <c r="K29" s="768">
        <f>'DATA 2025-26'!G96</f>
        <v>5190.92</v>
      </c>
      <c r="L29" s="761" t="s">
        <v>269</v>
      </c>
      <c r="M29" s="784">
        <f>ROUND(I29*K29,0)</f>
        <v>56114</v>
      </c>
    </row>
    <row r="30" spans="1:13" ht="57" hidden="1" customHeight="1">
      <c r="A30" s="110">
        <v>4</v>
      </c>
      <c r="B30" s="964" t="s">
        <v>67</v>
      </c>
      <c r="C30" s="964"/>
      <c r="D30" s="964"/>
      <c r="E30" s="964"/>
      <c r="F30" s="964"/>
      <c r="G30" s="964"/>
      <c r="H30" s="964"/>
      <c r="I30" s="183"/>
      <c r="J30" s="186"/>
      <c r="K30" s="110"/>
      <c r="L30" s="210"/>
      <c r="M30" s="139"/>
    </row>
    <row r="31" spans="1:13" s="148" customFormat="1" ht="16.5" hidden="1" customHeight="1">
      <c r="A31" s="110"/>
      <c r="B31" s="174" t="s">
        <v>1793</v>
      </c>
      <c r="C31" s="396">
        <v>1</v>
      </c>
      <c r="D31" s="175" t="s">
        <v>268</v>
      </c>
      <c r="E31" s="121">
        <v>1</v>
      </c>
      <c r="F31" s="176">
        <v>27.98</v>
      </c>
      <c r="G31" s="176">
        <v>0.75</v>
      </c>
      <c r="H31" s="176">
        <v>0.15</v>
      </c>
      <c r="I31" s="193">
        <f t="shared" ref="I31:I34" si="1">ROUND(IF(AND(F31:H31),C31*E31*F31*G31*H31,IF(AND(F31,G31),C31*E31*F31*G31,IF(AND(F31,H31),C31*E31*F31*H31,IF(AND(G31,H31),C31*E31*G31*H31,IF(F31,C31*E31*F31,IF(G31,C31*E31*G31,IF(H31,C31*E31*H31,C31*E31))))))),2)</f>
        <v>3.15</v>
      </c>
      <c r="J31" s="195" t="s">
        <v>5</v>
      </c>
      <c r="K31" s="147"/>
      <c r="L31" s="210"/>
      <c r="M31" s="147"/>
    </row>
    <row r="32" spans="1:13" s="148" customFormat="1" ht="16.5" hidden="1" customHeight="1">
      <c r="A32" s="110"/>
      <c r="B32" s="174" t="s">
        <v>1794</v>
      </c>
      <c r="C32" s="396">
        <v>1</v>
      </c>
      <c r="D32" s="175" t="s">
        <v>268</v>
      </c>
      <c r="E32" s="121">
        <v>8</v>
      </c>
      <c r="F32" s="176">
        <v>2.1</v>
      </c>
      <c r="G32" s="176">
        <v>0.75</v>
      </c>
      <c r="H32" s="176">
        <v>0.15</v>
      </c>
      <c r="I32" s="193">
        <f>-ROUND(IF(AND(F32:H32),C32*E32*F32*G32*H32,IF(AND(F32,G32),C32*E32*F32*G32,IF(AND(F32,H32),C32*E32*F32*H32,IF(AND(G32,H32),C32*E32*G32*H32,IF(F32,C32*E32*F32,IF(G32,C32*E32*G32,IF(H32,C32*E32*H32,C32*E32))))))),2)</f>
        <v>-1.89</v>
      </c>
      <c r="J32" s="195" t="s">
        <v>5</v>
      </c>
      <c r="K32" s="147"/>
      <c r="L32" s="210"/>
      <c r="M32" s="147"/>
    </row>
    <row r="33" spans="1:13" s="148" customFormat="1" ht="16.5" hidden="1" customHeight="1">
      <c r="A33" s="110"/>
      <c r="B33" s="174" t="s">
        <v>1796</v>
      </c>
      <c r="C33" s="396"/>
      <c r="D33" s="175"/>
      <c r="E33" s="121"/>
      <c r="F33" s="176"/>
      <c r="G33" s="176"/>
      <c r="H33" s="176"/>
      <c r="I33" s="193"/>
      <c r="J33" s="195"/>
      <c r="K33" s="147"/>
      <c r="L33" s="210"/>
      <c r="M33" s="147"/>
    </row>
    <row r="34" spans="1:13" s="148" customFormat="1" ht="16.5" hidden="1" customHeight="1">
      <c r="A34" s="110"/>
      <c r="B34" s="174" t="s">
        <v>1797</v>
      </c>
      <c r="C34" s="396">
        <v>1</v>
      </c>
      <c r="D34" s="175" t="s">
        <v>268</v>
      </c>
      <c r="E34" s="121">
        <v>2</v>
      </c>
      <c r="F34" s="176">
        <v>5.2600000000000007</v>
      </c>
      <c r="G34" s="176">
        <v>0.38</v>
      </c>
      <c r="H34" s="176">
        <v>0.15</v>
      </c>
      <c r="I34" s="193">
        <f t="shared" si="1"/>
        <v>0.6</v>
      </c>
      <c r="J34" s="195" t="s">
        <v>5</v>
      </c>
      <c r="K34" s="147"/>
      <c r="L34" s="210"/>
      <c r="M34" s="147"/>
    </row>
    <row r="35" spans="1:13" s="148" customFormat="1" ht="16.5" hidden="1" customHeight="1">
      <c r="A35" s="110"/>
      <c r="B35" s="174" t="s">
        <v>1798</v>
      </c>
      <c r="C35" s="396">
        <v>1</v>
      </c>
      <c r="D35" s="175" t="s">
        <v>268</v>
      </c>
      <c r="E35" s="121">
        <v>1</v>
      </c>
      <c r="F35" s="176">
        <v>0.23</v>
      </c>
      <c r="G35" s="176">
        <v>0.38</v>
      </c>
      <c r="H35" s="176">
        <v>0.15</v>
      </c>
      <c r="I35" s="193">
        <f>-ROUND(IF(AND(F35:H35),C35*E35*F35*G35*H35,IF(AND(F35,G35),C35*E35*F35*G35,IF(AND(F35,H35),C35*E35*F35*H35,IF(AND(G35,H35),C35*E35*G35*H35,IF(F35,C35*E35*F35,IF(G35,C35*E35*G35,IF(H35,C35*E35*H35,C35*E35))))))),2)</f>
        <v>-0.01</v>
      </c>
      <c r="J35" s="195" t="s">
        <v>5</v>
      </c>
      <c r="K35" s="147"/>
      <c r="L35" s="210"/>
      <c r="M35" s="147"/>
    </row>
    <row r="36" spans="1:13" s="148" customFormat="1" ht="16.5" hidden="1" customHeight="1">
      <c r="A36" s="110"/>
      <c r="B36" s="174" t="s">
        <v>1799</v>
      </c>
      <c r="C36" s="141"/>
      <c r="D36" s="142"/>
      <c r="E36" s="143"/>
      <c r="F36" s="144"/>
      <c r="G36" s="144"/>
      <c r="H36" s="145"/>
      <c r="I36" s="184"/>
      <c r="J36" s="195"/>
      <c r="K36" s="147"/>
      <c r="L36" s="210"/>
      <c r="M36" s="147"/>
    </row>
    <row r="37" spans="1:13" s="148" customFormat="1" ht="16.5" hidden="1" customHeight="1">
      <c r="A37" s="110"/>
      <c r="B37" s="149" t="s">
        <v>745</v>
      </c>
      <c r="C37" s="150">
        <v>1</v>
      </c>
      <c r="D37" s="151" t="s">
        <v>268</v>
      </c>
      <c r="E37" s="152">
        <v>1</v>
      </c>
      <c r="F37" s="153">
        <v>5.48</v>
      </c>
      <c r="G37" s="153">
        <v>8.0499999999999989</v>
      </c>
      <c r="H37" s="153">
        <v>0.1</v>
      </c>
      <c r="I37" s="185">
        <f t="shared" ref="I37" si="2">ROUND(IF(AND(F37:H37),C37*E37*F37*G37*H37,IF(AND(F37,G37),C37*E37*F37*G37,IF(AND(F37,H37),C37*E37*F37*H37,IF(AND(G37,H37),C37*E37*G37*H37,IF(F37,C37*E37*F37,IF(G37,C37*E37*G37,IF(H37,C37*E37*H37,C37*E37))))))),2)</f>
        <v>4.41</v>
      </c>
      <c r="J37" s="195" t="s">
        <v>5</v>
      </c>
      <c r="K37" s="147"/>
      <c r="L37" s="210"/>
      <c r="M37" s="147"/>
    </row>
    <row r="38" spans="1:13" s="148" customFormat="1" ht="16.5" hidden="1" customHeight="1">
      <c r="A38" s="110"/>
      <c r="B38" s="149" t="s">
        <v>1795</v>
      </c>
      <c r="C38" s="150">
        <v>1</v>
      </c>
      <c r="D38" s="151" t="s">
        <v>268</v>
      </c>
      <c r="E38" s="152">
        <v>2</v>
      </c>
      <c r="F38" s="153">
        <v>5.48</v>
      </c>
      <c r="G38" s="153">
        <v>0.23</v>
      </c>
      <c r="H38" s="153">
        <v>0.1</v>
      </c>
      <c r="I38" s="193">
        <f>-ROUND(IF(AND(F38:H38),C38*E38*F38*G38*H38,IF(AND(F38,G38),C38*E38*F38*G38,IF(AND(F38,H38),C38*E38*F38*H38,IF(AND(G38,H38),C38*E38*G38*H38,IF(F38,C38*E38*F38,IF(G38,C38*E38*G38,IF(H38,C38*E38*H38,C38*E38))))))),2)</f>
        <v>-0.25</v>
      </c>
      <c r="J38" s="195" t="s">
        <v>5</v>
      </c>
      <c r="K38" s="147"/>
      <c r="L38" s="210"/>
      <c r="M38" s="147"/>
    </row>
    <row r="39" spans="1:13" s="148" customFormat="1" ht="16.5" hidden="1" customHeight="1">
      <c r="A39" s="110"/>
      <c r="B39" s="149"/>
      <c r="C39" s="150"/>
      <c r="D39" s="151"/>
      <c r="E39" s="152"/>
      <c r="F39" s="153"/>
      <c r="G39" s="153"/>
      <c r="H39" s="153"/>
      <c r="I39" s="185"/>
      <c r="J39" s="195"/>
      <c r="K39" s="147"/>
      <c r="L39" s="210"/>
      <c r="M39" s="147"/>
    </row>
    <row r="40" spans="1:13" hidden="1">
      <c r="A40" s="110"/>
      <c r="B40" s="147"/>
      <c r="C40" s="154"/>
      <c r="D40" s="155"/>
      <c r="E40" s="156"/>
      <c r="F40" s="157"/>
      <c r="G40" s="158"/>
      <c r="H40" s="110"/>
      <c r="I40" s="185"/>
      <c r="J40" s="195" t="s">
        <v>5</v>
      </c>
      <c r="K40" s="12">
        <f>'DATA 2025-26'!G108</f>
        <v>4432.18</v>
      </c>
      <c r="L40" s="210" t="s">
        <v>269</v>
      </c>
      <c r="M40" s="11">
        <f>ROUND(I40*K40,0)</f>
        <v>0</v>
      </c>
    </row>
    <row r="41" spans="1:13" s="763" customFormat="1" ht="43.5" customHeight="1">
      <c r="A41" s="757">
        <v>3</v>
      </c>
      <c r="B41" s="965" t="s">
        <v>1833</v>
      </c>
      <c r="C41" s="965"/>
      <c r="D41" s="965"/>
      <c r="E41" s="965"/>
      <c r="F41" s="965"/>
      <c r="G41" s="965"/>
      <c r="H41" s="965"/>
      <c r="I41" s="759"/>
      <c r="J41" s="760"/>
      <c r="K41" s="757"/>
      <c r="L41" s="761"/>
      <c r="M41" s="762"/>
    </row>
    <row r="42" spans="1:13" s="771" customFormat="1" ht="16.5" customHeight="1">
      <c r="A42" s="757"/>
      <c r="B42" s="764" t="s">
        <v>745</v>
      </c>
      <c r="C42" s="765">
        <v>1</v>
      </c>
      <c r="D42" s="766" t="s">
        <v>268</v>
      </c>
      <c r="E42" s="767">
        <v>1</v>
      </c>
      <c r="F42" s="768">
        <v>5.49</v>
      </c>
      <c r="G42" s="768">
        <v>7.32</v>
      </c>
      <c r="H42" s="768">
        <v>0.8</v>
      </c>
      <c r="I42" s="769">
        <f>ROUND(IF(AND(F42:H42),C42*E42*F42*G42*H42,IF(AND(F42,G42),C42*E42*F42*G42,IF(AND(F42,H42),C42*E42*F42*H42,IF(AND(G42,H42),C42*E42*G42*H42,IF(F42,C42*E42*F42,IF(G42,C42*E42*G42,IF(H42,C42*E42*H42,C42*E42))))))),2)</f>
        <v>32.15</v>
      </c>
      <c r="J42" s="770" t="s">
        <v>5</v>
      </c>
      <c r="K42" s="764"/>
      <c r="L42" s="757"/>
      <c r="M42" s="764"/>
    </row>
    <row r="43" spans="1:13" s="771" customFormat="1" ht="16.5" customHeight="1">
      <c r="A43" s="757"/>
      <c r="B43" s="764" t="s">
        <v>2315</v>
      </c>
      <c r="C43" s="765">
        <v>1</v>
      </c>
      <c r="D43" s="766" t="s">
        <v>268</v>
      </c>
      <c r="E43" s="767">
        <v>1</v>
      </c>
      <c r="F43" s="768">
        <v>5.49</v>
      </c>
      <c r="G43" s="768">
        <v>2.44</v>
      </c>
      <c r="H43" s="768">
        <v>0.65</v>
      </c>
      <c r="I43" s="769">
        <f>ROUND(IF(AND(F43:H43),C43*E43*F43*G43*H43,IF(AND(F43,G43),C43*E43*F43*G43,IF(AND(F43,H43),C43*E43*F43*H43,IF(AND(G43,H43),C43*E43*G43*H43,IF(F43,C43*E43*F43,IF(G43,C43*E43*G43,IF(H43,C43*E43*H43,C43*E43))))))),2)</f>
        <v>8.7100000000000009</v>
      </c>
      <c r="J43" s="770" t="s">
        <v>5</v>
      </c>
      <c r="K43" s="764"/>
      <c r="L43" s="757"/>
      <c r="M43" s="764"/>
    </row>
    <row r="44" spans="1:13" s="771" customFormat="1" ht="16.5" customHeight="1">
      <c r="A44" s="757"/>
      <c r="B44" s="764" t="s">
        <v>566</v>
      </c>
      <c r="C44" s="765">
        <v>1</v>
      </c>
      <c r="D44" s="766" t="s">
        <v>268</v>
      </c>
      <c r="E44" s="767">
        <v>1</v>
      </c>
      <c r="F44" s="768">
        <v>7.74</v>
      </c>
      <c r="G44" s="768">
        <v>0.9</v>
      </c>
      <c r="H44" s="768">
        <v>0.6</v>
      </c>
      <c r="I44" s="769">
        <f>ROUND(IF(AND(F44:H44),C44*E44*F44*G44*H44,IF(AND(F44,G44),C44*E44*F44*G44,IF(AND(F44,H44),C44*E44*F44*H44,IF(AND(G44,H44),C44*E44*G44*H44,IF(F44,C44*E44*F44,IF(G44,C44*E44*G44,IF(H44,C44*E44*H44,C44*E44))))))),2)</f>
        <v>4.18</v>
      </c>
      <c r="J44" s="770" t="s">
        <v>5</v>
      </c>
      <c r="K44" s="764"/>
      <c r="L44" s="757"/>
      <c r="M44" s="764"/>
    </row>
    <row r="45" spans="1:13" s="771" customFormat="1" ht="16.5" customHeight="1">
      <c r="A45" s="757"/>
      <c r="B45" s="764"/>
      <c r="C45" s="765"/>
      <c r="D45" s="766"/>
      <c r="E45" s="767"/>
      <c r="F45" s="768"/>
      <c r="G45" s="768"/>
      <c r="H45" s="768"/>
      <c r="I45" s="769"/>
      <c r="J45" s="770"/>
      <c r="K45" s="764"/>
      <c r="L45" s="761"/>
      <c r="M45" s="764"/>
    </row>
    <row r="46" spans="1:13" s="763" customFormat="1">
      <c r="A46" s="757"/>
      <c r="B46" s="764"/>
      <c r="C46" s="779"/>
      <c r="D46" s="780"/>
      <c r="E46" s="767"/>
      <c r="F46" s="781"/>
      <c r="G46" s="782"/>
      <c r="H46" s="757"/>
      <c r="I46" s="769">
        <f>SUM(I42:I45)</f>
        <v>45.04</v>
      </c>
      <c r="J46" s="783" t="s">
        <v>5</v>
      </c>
      <c r="K46" s="768">
        <f>'DATA 2025-26'!G66</f>
        <v>317.87</v>
      </c>
      <c r="L46" s="761" t="s">
        <v>269</v>
      </c>
      <c r="M46" s="784">
        <f>ROUND(I46*K46,0)</f>
        <v>14317</v>
      </c>
    </row>
    <row r="47" spans="1:13" ht="43.5" hidden="1" customHeight="1">
      <c r="A47" s="110">
        <v>4</v>
      </c>
      <c r="B47" s="964" t="s">
        <v>642</v>
      </c>
      <c r="C47" s="964"/>
      <c r="D47" s="964"/>
      <c r="E47" s="964"/>
      <c r="F47" s="964"/>
      <c r="G47" s="964"/>
      <c r="H47" s="964"/>
      <c r="I47" s="183"/>
      <c r="J47" s="186"/>
      <c r="K47" s="110"/>
      <c r="L47" s="210"/>
      <c r="M47" s="139"/>
    </row>
    <row r="48" spans="1:13" s="148" customFormat="1" ht="16.5" hidden="1" customHeight="1">
      <c r="A48" s="110"/>
      <c r="B48" s="174" t="s">
        <v>641</v>
      </c>
      <c r="C48" s="141"/>
      <c r="D48" s="142"/>
      <c r="E48" s="143"/>
      <c r="F48" s="144"/>
      <c r="G48" s="144"/>
      <c r="H48" s="145"/>
      <c r="I48" s="184"/>
      <c r="J48" s="195"/>
      <c r="K48" s="147"/>
      <c r="L48" s="210"/>
      <c r="M48" s="147"/>
    </row>
    <row r="49" spans="1:13" s="148" customFormat="1" ht="16.5" hidden="1" customHeight="1">
      <c r="A49" s="110"/>
      <c r="B49" s="149" t="s">
        <v>643</v>
      </c>
      <c r="C49" s="150">
        <v>1</v>
      </c>
      <c r="D49" s="151" t="s">
        <v>268</v>
      </c>
      <c r="E49" s="152">
        <v>1</v>
      </c>
      <c r="F49" s="153">
        <v>2.72</v>
      </c>
      <c r="G49" s="153">
        <v>0.77</v>
      </c>
      <c r="H49" s="153">
        <v>1.25</v>
      </c>
      <c r="I49" s="185">
        <f t="shared" ref="I49" si="3">ROUND(IF(AND(F49:H49),C49*E49*F49*G49*H49,IF(AND(F49,G49),C49*E49*F49*G49,IF(AND(F49,H49),C49*E49*F49*H49,IF(AND(G49,H49),C49*E49*G49*H49,IF(F49,C49*E49*F49,IF(G49,C49*E49*G49,IF(H49,C49*E49*H49,C49*E49))))))),2)</f>
        <v>2.62</v>
      </c>
      <c r="J49" s="195" t="s">
        <v>5</v>
      </c>
      <c r="K49" s="147"/>
      <c r="L49" s="210"/>
      <c r="M49" s="147"/>
    </row>
    <row r="50" spans="1:13" s="148" customFormat="1" ht="16.5" hidden="1" customHeight="1">
      <c r="A50" s="110"/>
      <c r="B50" s="149" t="s">
        <v>640</v>
      </c>
      <c r="C50" s="150">
        <v>1</v>
      </c>
      <c r="D50" s="151" t="s">
        <v>268</v>
      </c>
      <c r="E50" s="152">
        <v>1</v>
      </c>
      <c r="F50" s="153">
        <v>3.16</v>
      </c>
      <c r="G50" s="153">
        <v>1.27</v>
      </c>
      <c r="H50" s="153">
        <f>(0.1+0.77)/2</f>
        <v>0.435</v>
      </c>
      <c r="I50" s="185">
        <f t="shared" ref="I50:I54" si="4">ROUND(IF(AND(F50:H50),C50*E50*F50*G50*H50,IF(AND(F50,G50),C50*E50*F50*G50,IF(AND(F50,H50),C50*E50*F50*H50,IF(AND(G50,H50),C50*E50*G50*H50,IF(F50,C50*E50*F50,IF(G50,C50*E50*G50,IF(H50,C50*E50*H50,C50*E50))))))),2)</f>
        <v>1.75</v>
      </c>
      <c r="J50" s="195" t="s">
        <v>5</v>
      </c>
      <c r="K50" s="147"/>
      <c r="L50" s="210"/>
      <c r="M50" s="147"/>
    </row>
    <row r="51" spans="1:13" s="148" customFormat="1" ht="16.5" hidden="1" customHeight="1">
      <c r="A51" s="110"/>
      <c r="B51" s="149" t="s">
        <v>644</v>
      </c>
      <c r="C51" s="150">
        <v>1</v>
      </c>
      <c r="D51" s="151" t="s">
        <v>268</v>
      </c>
      <c r="E51" s="152">
        <v>1</v>
      </c>
      <c r="F51" s="153">
        <v>0.77</v>
      </c>
      <c r="G51" s="153">
        <v>1.27</v>
      </c>
      <c r="H51" s="153">
        <v>0.5</v>
      </c>
      <c r="I51" s="185">
        <f t="shared" si="4"/>
        <v>0.49</v>
      </c>
      <c r="J51" s="195" t="s">
        <v>5</v>
      </c>
      <c r="K51" s="147"/>
      <c r="L51" s="210"/>
      <c r="M51" s="147"/>
    </row>
    <row r="52" spans="1:13" s="148" customFormat="1" ht="16.5" hidden="1" customHeight="1">
      <c r="A52" s="110"/>
      <c r="B52" s="149" t="s">
        <v>645</v>
      </c>
      <c r="C52" s="150">
        <v>1</v>
      </c>
      <c r="D52" s="151" t="s">
        <v>268</v>
      </c>
      <c r="E52" s="152">
        <v>1</v>
      </c>
      <c r="F52" s="153">
        <v>4.99</v>
      </c>
      <c r="G52" s="153">
        <v>2.2000000000000002</v>
      </c>
      <c r="H52" s="153">
        <v>1.05</v>
      </c>
      <c r="I52" s="185">
        <f t="shared" si="4"/>
        <v>11.53</v>
      </c>
      <c r="J52" s="195" t="s">
        <v>5</v>
      </c>
      <c r="K52" s="147"/>
      <c r="L52" s="210"/>
      <c r="M52" s="147"/>
    </row>
    <row r="53" spans="1:13" s="148" customFormat="1" ht="16.5" hidden="1" customHeight="1">
      <c r="A53" s="110"/>
      <c r="B53" s="149" t="s">
        <v>646</v>
      </c>
      <c r="C53" s="150">
        <v>1</v>
      </c>
      <c r="D53" s="151" t="s">
        <v>268</v>
      </c>
      <c r="E53" s="152">
        <v>1</v>
      </c>
      <c r="F53" s="153">
        <v>2.89</v>
      </c>
      <c r="G53" s="153">
        <v>1.17</v>
      </c>
      <c r="H53" s="153">
        <v>0.9</v>
      </c>
      <c r="I53" s="185">
        <f t="shared" si="4"/>
        <v>3.04</v>
      </c>
      <c r="J53" s="195" t="s">
        <v>5</v>
      </c>
      <c r="K53" s="147"/>
      <c r="L53" s="210"/>
      <c r="M53" s="147"/>
    </row>
    <row r="54" spans="1:13" s="148" customFormat="1" ht="16.5" hidden="1" customHeight="1">
      <c r="A54" s="110"/>
      <c r="B54" s="149" t="s">
        <v>647</v>
      </c>
      <c r="C54" s="150">
        <v>1</v>
      </c>
      <c r="D54" s="151" t="s">
        <v>268</v>
      </c>
      <c r="E54" s="152">
        <v>1</v>
      </c>
      <c r="F54" s="153">
        <v>1.72</v>
      </c>
      <c r="G54" s="153">
        <v>1.17</v>
      </c>
      <c r="H54" s="153">
        <f>(0.2+0.9)/2</f>
        <v>0.55000000000000004</v>
      </c>
      <c r="I54" s="185">
        <f t="shared" si="4"/>
        <v>1.1100000000000001</v>
      </c>
      <c r="J54" s="195" t="s">
        <v>5</v>
      </c>
      <c r="K54" s="147"/>
      <c r="L54" s="210"/>
      <c r="M54" s="147"/>
    </row>
    <row r="55" spans="1:13" s="148" customFormat="1" ht="16.5" hidden="1" customHeight="1">
      <c r="A55" s="110"/>
      <c r="B55" s="149"/>
      <c r="C55" s="150"/>
      <c r="D55" s="151"/>
      <c r="E55" s="152"/>
      <c r="F55" s="153"/>
      <c r="G55" s="153"/>
      <c r="H55" s="153"/>
      <c r="I55" s="185"/>
      <c r="J55" s="195"/>
      <c r="K55" s="147"/>
      <c r="L55" s="210"/>
      <c r="M55" s="147"/>
    </row>
    <row r="56" spans="1:13" hidden="1">
      <c r="A56" s="110"/>
      <c r="B56" s="147"/>
      <c r="C56" s="154"/>
      <c r="D56" s="155"/>
      <c r="E56" s="156"/>
      <c r="F56" s="157"/>
      <c r="G56" s="158"/>
      <c r="H56" s="110"/>
      <c r="I56" s="185"/>
      <c r="J56" s="195" t="s">
        <v>5</v>
      </c>
      <c r="K56" s="12">
        <f>'DATA 2025-26'!G74</f>
        <v>473.15</v>
      </c>
      <c r="L56" s="210" t="s">
        <v>269</v>
      </c>
      <c r="M56" s="11">
        <f>ROUND(I56*K56,0)</f>
        <v>0</v>
      </c>
    </row>
    <row r="57" spans="1:13" ht="57" hidden="1" customHeight="1">
      <c r="A57" s="110">
        <v>3</v>
      </c>
      <c r="B57" s="964" t="s">
        <v>55</v>
      </c>
      <c r="C57" s="964"/>
      <c r="D57" s="964"/>
      <c r="E57" s="964"/>
      <c r="F57" s="964"/>
      <c r="G57" s="964"/>
      <c r="H57" s="964"/>
      <c r="I57" s="183"/>
      <c r="J57" s="186"/>
      <c r="K57" s="110"/>
      <c r="L57" s="210"/>
      <c r="M57" s="139"/>
    </row>
    <row r="58" spans="1:13" s="148" customFormat="1" ht="16.5" hidden="1" customHeight="1">
      <c r="A58" s="110"/>
      <c r="B58" s="147"/>
      <c r="C58" s="206">
        <v>1</v>
      </c>
      <c r="D58" s="205" t="s">
        <v>268</v>
      </c>
      <c r="E58" s="156">
        <v>1</v>
      </c>
      <c r="F58" s="12">
        <v>5.7</v>
      </c>
      <c r="G58" s="12">
        <v>2.65</v>
      </c>
      <c r="H58" s="12">
        <v>0.65</v>
      </c>
      <c r="I58" s="185">
        <f>ROUND(IF(AND(F58:H58),C58*E58*F58*G58*H58,IF(AND(F58,G58),C58*E58*F58*G58,IF(AND(F58,H58),C58*E58*F58*H58,IF(AND(G58,H58),C58*E58*G58*H58,IF(F58,C58*E58*F58,IF(G58,C58*E58*G58,IF(H58,C58*E58*H58,C58*E58))))))),2)</f>
        <v>9.82</v>
      </c>
      <c r="J58" s="339" t="s">
        <v>5</v>
      </c>
      <c r="K58" s="147"/>
      <c r="L58" s="110"/>
      <c r="M58" s="147"/>
    </row>
    <row r="59" spans="1:13" s="148" customFormat="1" ht="16.5" hidden="1" customHeight="1">
      <c r="A59" s="110"/>
      <c r="B59" s="147"/>
      <c r="C59" s="206">
        <v>1</v>
      </c>
      <c r="D59" s="205" t="s">
        <v>268</v>
      </c>
      <c r="E59" s="156">
        <v>1</v>
      </c>
      <c r="F59" s="12">
        <v>5.15</v>
      </c>
      <c r="G59" s="12">
        <v>3.55</v>
      </c>
      <c r="H59" s="12">
        <v>0.65</v>
      </c>
      <c r="I59" s="185">
        <f>ROUND(IF(AND(F59:H59),C59*E59*F59*G59*H59,IF(AND(F59,G59),C59*E59*F59*G59,IF(AND(F59,H59),C59*E59*F59*H59,IF(AND(G59,H59),C59*E59*G59*H59,IF(F59,C59*E59*F59,IF(G59,C59*E59*G59,IF(H59,C59*E59*H59,C59*E59))))))),2)</f>
        <v>11.88</v>
      </c>
      <c r="J59" s="339" t="s">
        <v>5</v>
      </c>
      <c r="K59" s="147"/>
      <c r="L59" s="110"/>
      <c r="M59" s="147"/>
    </row>
    <row r="60" spans="1:13" s="148" customFormat="1" ht="16.5" hidden="1" customHeight="1">
      <c r="A60" s="110"/>
      <c r="B60" s="147"/>
      <c r="C60" s="206">
        <v>1</v>
      </c>
      <c r="D60" s="205" t="s">
        <v>268</v>
      </c>
      <c r="E60" s="156">
        <v>1</v>
      </c>
      <c r="F60" s="12">
        <v>5.15</v>
      </c>
      <c r="G60" s="12">
        <v>3.55</v>
      </c>
      <c r="H60" s="12">
        <v>0.65</v>
      </c>
      <c r="I60" s="185">
        <f>ROUND(IF(AND(F60:H60),C60*E60*F60*G60*H60,IF(AND(F60,G60),C60*E60*F60*G60,IF(AND(F60,H60),C60*E60*F60*H60,IF(AND(G60,H60),C60*E60*G60*H60,IF(F60,C60*E60*F60,IF(G60,C60*E60*G60,IF(H60,C60*E60*H60,C60*E60))))))),2)</f>
        <v>11.88</v>
      </c>
      <c r="J60" s="339" t="s">
        <v>5</v>
      </c>
      <c r="K60" s="147"/>
      <c r="L60" s="110"/>
      <c r="M60" s="147"/>
    </row>
    <row r="61" spans="1:13" s="148" customFormat="1" ht="16.5" hidden="1" customHeight="1">
      <c r="A61" s="110"/>
      <c r="B61" s="149"/>
      <c r="C61" s="150"/>
      <c r="D61" s="151"/>
      <c r="E61" s="152"/>
      <c r="F61" s="153"/>
      <c r="G61" s="153"/>
      <c r="H61" s="153"/>
      <c r="I61" s="185"/>
      <c r="J61" s="195"/>
      <c r="K61" s="147"/>
      <c r="L61" s="210"/>
      <c r="M61" s="147"/>
    </row>
    <row r="62" spans="1:13" hidden="1">
      <c r="A62" s="110"/>
      <c r="B62" s="147"/>
      <c r="C62" s="154"/>
      <c r="D62" s="155"/>
      <c r="E62" s="156"/>
      <c r="F62" s="157"/>
      <c r="G62" s="158"/>
      <c r="H62" s="110"/>
      <c r="I62" s="185"/>
      <c r="J62" s="195" t="s">
        <v>5</v>
      </c>
      <c r="K62" s="12">
        <f>'DATA 2025-26'!G56</f>
        <v>134.78</v>
      </c>
      <c r="L62" s="210" t="s">
        <v>269</v>
      </c>
      <c r="M62" s="11">
        <f>ROUND(I62*K62,0)</f>
        <v>0</v>
      </c>
    </row>
    <row r="63" spans="1:13" s="763" customFormat="1" ht="30.75" customHeight="1">
      <c r="A63" s="757">
        <v>4</v>
      </c>
      <c r="B63" s="965" t="s">
        <v>280</v>
      </c>
      <c r="C63" s="965"/>
      <c r="D63" s="965"/>
      <c r="E63" s="965"/>
      <c r="F63" s="965"/>
      <c r="G63" s="965"/>
      <c r="H63" s="965"/>
      <c r="I63" s="759"/>
      <c r="J63" s="760"/>
      <c r="K63" s="757"/>
      <c r="L63" s="761"/>
      <c r="M63" s="762"/>
    </row>
    <row r="64" spans="1:13" s="771" customFormat="1" ht="16.5" customHeight="1">
      <c r="A64" s="757"/>
      <c r="B64" s="764" t="s">
        <v>2302</v>
      </c>
      <c r="C64" s="765">
        <v>1</v>
      </c>
      <c r="D64" s="766" t="s">
        <v>268</v>
      </c>
      <c r="E64" s="767">
        <v>8</v>
      </c>
      <c r="F64" s="768">
        <v>1.5</v>
      </c>
      <c r="G64" s="768">
        <v>1.5</v>
      </c>
      <c r="H64" s="768">
        <v>1.5</v>
      </c>
      <c r="I64" s="769">
        <f>ROUND(IF(AND(F64:H64),C64*E64*F64*G64*H64,IF(AND(F64,G64),C64*E64*F64*G64,IF(AND(F64,H64),C64*E64*F64*H64,IF(AND(G64,H64),C64*E64*G64*H64,IF(F64,C64*E64*F64,IF(G64,C64*E64*G64,IF(H64,C64*E64*H64,C64*E64))))))),2)</f>
        <v>27</v>
      </c>
      <c r="J64" s="770" t="s">
        <v>5</v>
      </c>
      <c r="K64" s="764"/>
      <c r="L64" s="757"/>
      <c r="M64" s="764"/>
    </row>
    <row r="65" spans="1:13" s="771" customFormat="1" ht="16.5" customHeight="1">
      <c r="A65" s="757"/>
      <c r="B65" s="764" t="s">
        <v>2285</v>
      </c>
      <c r="C65" s="765">
        <v>1</v>
      </c>
      <c r="D65" s="766" t="s">
        <v>268</v>
      </c>
      <c r="E65" s="767">
        <v>8</v>
      </c>
      <c r="F65" s="768">
        <v>1.4</v>
      </c>
      <c r="G65" s="768">
        <v>1.4</v>
      </c>
      <c r="H65" s="768">
        <v>0.15</v>
      </c>
      <c r="I65" s="769">
        <f>ROUND(IF(AND(F65:H65),C65*E65*F65*G65*H65,IF(AND(F65,G65),C65*E65*F65*G65,IF(AND(F65,H65),C65*E65*F65*H65,IF(AND(G65,H65),C65*E65*G65*H65,IF(F65,C65*E65*F65,IF(G65,C65*E65*G65,IF(H65,C65*E65*H65,C65*E65))))))),2)</f>
        <v>2.35</v>
      </c>
      <c r="J65" s="770" t="s">
        <v>5</v>
      </c>
      <c r="K65" s="764"/>
      <c r="L65" s="757"/>
      <c r="M65" s="764"/>
    </row>
    <row r="66" spans="1:13" s="771" customFormat="1" ht="16.5" customHeight="1">
      <c r="A66" s="757"/>
      <c r="B66" s="764" t="s">
        <v>2286</v>
      </c>
      <c r="C66" s="765">
        <v>1</v>
      </c>
      <c r="D66" s="766" t="s">
        <v>268</v>
      </c>
      <c r="E66" s="767">
        <v>8</v>
      </c>
      <c r="F66" s="768">
        <v>1.4</v>
      </c>
      <c r="G66" s="768">
        <v>1.4</v>
      </c>
      <c r="H66" s="768">
        <v>0.3</v>
      </c>
      <c r="I66" s="769">
        <f>-ROUND(IF(AND(F66:H66),C66*E66*F66*G66*H66,IF(AND(F66,G66),C66*E66*F66*G66,IF(AND(F66,H66),C66*E66*F66*H66,IF(AND(G66,H66),C66*E66*G66*H66,IF(F66,C66*E66*F66,IF(G66,C66*E66*G66,IF(H66,C66*E66*H66,C66*E66))))))),2)</f>
        <v>-4.7</v>
      </c>
      <c r="J66" s="770" t="s">
        <v>5</v>
      </c>
      <c r="K66" s="764"/>
      <c r="L66" s="757"/>
      <c r="M66" s="764"/>
    </row>
    <row r="67" spans="1:13" s="771" customFormat="1" ht="16.5" customHeight="1">
      <c r="A67" s="757"/>
      <c r="B67" s="764" t="s">
        <v>2272</v>
      </c>
      <c r="C67" s="765">
        <v>1</v>
      </c>
      <c r="D67" s="766" t="s">
        <v>268</v>
      </c>
      <c r="E67" s="767">
        <v>8</v>
      </c>
      <c r="F67" s="768">
        <v>0.45</v>
      </c>
      <c r="G67" s="768">
        <v>0.6</v>
      </c>
      <c r="H67" s="768">
        <v>0.6</v>
      </c>
      <c r="I67" s="769">
        <f>-ROUND(IF(AND(F67:H67),C67*E67*F67*G67*H67,IF(AND(F67,G67),C67*E67*F67*G67,IF(AND(F67,H67),C67*E67*F67*H67,IF(AND(G67,H67),C67*E67*G67*H67,IF(F67,C67*E67*F67,IF(G67,C67*E67*G67,IF(H67,C67*E67*H67,C67*E67))))))),2)</f>
        <v>-1.3</v>
      </c>
      <c r="J67" s="770" t="s">
        <v>5</v>
      </c>
      <c r="K67" s="764"/>
      <c r="L67" s="757"/>
      <c r="M67" s="764"/>
    </row>
    <row r="68" spans="1:13" s="771" customFormat="1" ht="16.5" customHeight="1">
      <c r="A68" s="757"/>
      <c r="B68" s="764" t="s">
        <v>279</v>
      </c>
      <c r="C68" s="765">
        <v>1</v>
      </c>
      <c r="D68" s="766" t="s">
        <v>268</v>
      </c>
      <c r="E68" s="767">
        <v>8</v>
      </c>
      <c r="F68" s="768">
        <v>0.23</v>
      </c>
      <c r="G68" s="768">
        <v>0.35</v>
      </c>
      <c r="H68" s="768">
        <v>0.45</v>
      </c>
      <c r="I68" s="769">
        <f>-ROUND(IF(AND(F68:H68),C68*E68*F68*G68*H68,IF(AND(F68,G68),C68*E68*F68*G68,IF(AND(F68,H68),C68*E68*F68*H68,IF(AND(G68,H68),C68*E68*G68*H68,IF(F68,C68*E68*F68,IF(G68,C68*E68*G68,IF(H68,C68*E68*H68,C68*E68))))))),2)</f>
        <v>-0.28999999999999998</v>
      </c>
      <c r="J68" s="770" t="s">
        <v>5</v>
      </c>
      <c r="K68" s="764"/>
      <c r="L68" s="757"/>
      <c r="M68" s="764"/>
    </row>
    <row r="69" spans="1:13" s="771" customFormat="1" ht="16.5" customHeight="1">
      <c r="A69" s="757"/>
      <c r="B69" s="773"/>
      <c r="C69" s="774"/>
      <c r="D69" s="775"/>
      <c r="E69" s="776"/>
      <c r="F69" s="777"/>
      <c r="G69" s="777"/>
      <c r="H69" s="777"/>
      <c r="I69" s="769"/>
      <c r="J69" s="783"/>
      <c r="K69" s="764"/>
      <c r="L69" s="761"/>
      <c r="M69" s="764"/>
    </row>
    <row r="70" spans="1:13" s="763" customFormat="1">
      <c r="A70" s="757"/>
      <c r="B70" s="764"/>
      <c r="C70" s="779"/>
      <c r="D70" s="780"/>
      <c r="E70" s="767"/>
      <c r="F70" s="781"/>
      <c r="G70" s="782"/>
      <c r="H70" s="757"/>
      <c r="I70" s="769">
        <f>SUM(I64:I69)</f>
        <v>23.060000000000002</v>
      </c>
      <c r="J70" s="783" t="s">
        <v>5</v>
      </c>
      <c r="K70" s="768">
        <f>'DATA 2025-26'!G82</f>
        <v>377.66</v>
      </c>
      <c r="L70" s="761" t="s">
        <v>269</v>
      </c>
      <c r="M70" s="784">
        <f>ROUND(I70*K70,0)</f>
        <v>8709</v>
      </c>
    </row>
    <row r="71" spans="1:13" s="763" customFormat="1" ht="87.75" customHeight="1">
      <c r="A71" s="757">
        <v>5</v>
      </c>
      <c r="B71" s="965" t="s">
        <v>2257</v>
      </c>
      <c r="C71" s="965"/>
      <c r="D71" s="965"/>
      <c r="E71" s="965"/>
      <c r="F71" s="965"/>
      <c r="G71" s="965"/>
      <c r="H71" s="965"/>
      <c r="I71" s="759"/>
      <c r="J71" s="760"/>
      <c r="K71" s="757"/>
      <c r="L71" s="761"/>
      <c r="M71" s="762"/>
    </row>
    <row r="72" spans="1:13" s="771" customFormat="1" ht="16.5" customHeight="1">
      <c r="A72" s="757"/>
      <c r="B72" s="764"/>
      <c r="C72" s="765">
        <v>1</v>
      </c>
      <c r="D72" s="766" t="s">
        <v>268</v>
      </c>
      <c r="E72" s="767">
        <v>8</v>
      </c>
      <c r="F72" s="768">
        <v>1.4</v>
      </c>
      <c r="G72" s="768">
        <v>1.4</v>
      </c>
      <c r="H72" s="768">
        <v>0.35</v>
      </c>
      <c r="I72" s="769">
        <f>ROUND(IF(AND(F72:H72),C72*E72*F72*G72*H72,IF(AND(F72,G72),C72*E72*F72*G72,IF(AND(F72,H72),C72*E72*F72*H72,IF(AND(G72,H72),C72*E72*G72*H72,IF(F72,C72*E72*F72,IF(G72,C72*E72*G72,IF(H72,C72*E72*H72,C72*E72))))))),2)</f>
        <v>5.49</v>
      </c>
      <c r="J72" s="770" t="s">
        <v>5</v>
      </c>
      <c r="K72" s="764"/>
      <c r="L72" s="757"/>
      <c r="M72" s="764"/>
    </row>
    <row r="73" spans="1:13" s="771" customFormat="1" ht="16.5" customHeight="1">
      <c r="A73" s="757"/>
      <c r="B73" s="773"/>
      <c r="C73" s="774"/>
      <c r="D73" s="775"/>
      <c r="E73" s="776"/>
      <c r="F73" s="777"/>
      <c r="G73" s="777"/>
      <c r="H73" s="777"/>
      <c r="I73" s="769"/>
      <c r="J73" s="783"/>
      <c r="K73" s="764"/>
      <c r="L73" s="761"/>
      <c r="M73" s="764"/>
    </row>
    <row r="74" spans="1:13" s="763" customFormat="1">
      <c r="A74" s="757"/>
      <c r="B74" s="764"/>
      <c r="C74" s="779"/>
      <c r="D74" s="780"/>
      <c r="E74" s="767"/>
      <c r="F74" s="781"/>
      <c r="G74" s="782"/>
      <c r="H74" s="757"/>
      <c r="I74" s="769">
        <f>SUM(I72:I73)</f>
        <v>5.49</v>
      </c>
      <c r="J74" s="783" t="s">
        <v>5</v>
      </c>
      <c r="K74" s="768">
        <f>'DATA 2025-26'!G130</f>
        <v>9871.81</v>
      </c>
      <c r="L74" s="761" t="s">
        <v>269</v>
      </c>
      <c r="M74" s="784">
        <f>ROUND(I74*K74,0)</f>
        <v>54196</v>
      </c>
    </row>
    <row r="75" spans="1:13" s="763" customFormat="1" ht="17.25" customHeight="1">
      <c r="A75" s="757">
        <v>6</v>
      </c>
      <c r="B75" s="965" t="s">
        <v>295</v>
      </c>
      <c r="C75" s="965"/>
      <c r="D75" s="965"/>
      <c r="E75" s="965"/>
      <c r="F75" s="965"/>
      <c r="G75" s="965"/>
      <c r="H75" s="965"/>
      <c r="I75" s="759"/>
      <c r="J75" s="760"/>
      <c r="K75" s="757"/>
      <c r="L75" s="761"/>
      <c r="M75" s="762"/>
    </row>
    <row r="76" spans="1:13" s="771" customFormat="1" ht="16.5" customHeight="1">
      <c r="A76" s="757"/>
      <c r="B76" s="764" t="s">
        <v>2271</v>
      </c>
      <c r="C76" s="765">
        <v>1</v>
      </c>
      <c r="D76" s="766" t="s">
        <v>268</v>
      </c>
      <c r="E76" s="767">
        <v>8</v>
      </c>
      <c r="F76" s="768">
        <v>0.45</v>
      </c>
      <c r="G76" s="768">
        <v>0.6</v>
      </c>
      <c r="H76" s="768">
        <v>0.6</v>
      </c>
      <c r="I76" s="769">
        <f>ROUND(IF(AND(F76:H76),C76*E76*F76*G76*H76,IF(AND(F76,G76),C76*E76*F76*G76,IF(AND(F76,H76),C76*E76*F76*H76,IF(AND(G76,H76),C76*E76*G76*H76,IF(F76,C76*E76*F76,IF(G76,C76*E76*G76,IF(H76,C76*E76*H76,C76*E76))))))),2)</f>
        <v>1.3</v>
      </c>
      <c r="J76" s="770" t="s">
        <v>5</v>
      </c>
      <c r="K76" s="764"/>
      <c r="L76" s="757"/>
      <c r="M76" s="764"/>
    </row>
    <row r="77" spans="1:13" s="771" customFormat="1" ht="16.5" customHeight="1">
      <c r="A77" s="757"/>
      <c r="B77" s="785"/>
      <c r="C77" s="759"/>
      <c r="D77" s="766"/>
      <c r="E77" s="767"/>
      <c r="F77" s="781"/>
      <c r="G77" s="781"/>
      <c r="H77" s="781"/>
      <c r="I77" s="786"/>
      <c r="J77" s="783"/>
      <c r="K77" s="764"/>
      <c r="L77" s="761"/>
      <c r="M77" s="764"/>
    </row>
    <row r="78" spans="1:13" s="763" customFormat="1">
      <c r="A78" s="757"/>
      <c r="B78" s="764"/>
      <c r="C78" s="779"/>
      <c r="D78" s="780"/>
      <c r="E78" s="767"/>
      <c r="F78" s="781"/>
      <c r="G78" s="782"/>
      <c r="H78" s="757"/>
      <c r="I78" s="769">
        <f>SUM(I76:I77)</f>
        <v>1.3</v>
      </c>
      <c r="J78" s="783" t="s">
        <v>5</v>
      </c>
      <c r="K78" s="768">
        <f>'DATA 2025-26'!G137</f>
        <v>10370.58</v>
      </c>
      <c r="L78" s="761" t="s">
        <v>269</v>
      </c>
      <c r="M78" s="784">
        <f>ROUND(I78*K78,0)</f>
        <v>13482</v>
      </c>
    </row>
    <row r="79" spans="1:13" s="763" customFormat="1" ht="17.25" customHeight="1">
      <c r="A79" s="757">
        <v>7</v>
      </c>
      <c r="B79" s="965" t="s">
        <v>296</v>
      </c>
      <c r="C79" s="965"/>
      <c r="D79" s="965"/>
      <c r="E79" s="965"/>
      <c r="F79" s="965"/>
      <c r="G79" s="965"/>
      <c r="H79" s="965"/>
      <c r="I79" s="759"/>
      <c r="J79" s="760"/>
      <c r="K79" s="757"/>
      <c r="L79" s="761"/>
      <c r="M79" s="762"/>
    </row>
    <row r="80" spans="1:13" s="771" customFormat="1" ht="16.5" customHeight="1">
      <c r="A80" s="757"/>
      <c r="B80" s="764" t="s">
        <v>2287</v>
      </c>
      <c r="C80" s="765">
        <v>1</v>
      </c>
      <c r="D80" s="766" t="s">
        <v>268</v>
      </c>
      <c r="E80" s="767">
        <v>8</v>
      </c>
      <c r="F80" s="768">
        <v>0.23</v>
      </c>
      <c r="G80" s="768">
        <v>0.35</v>
      </c>
      <c r="H80" s="768">
        <v>0.45</v>
      </c>
      <c r="I80" s="769">
        <f>ROUND(IF(AND(F80:H80),C80*E80*F80*G80*H80,IF(AND(F80,G80),C80*E80*F80*G80,IF(AND(F80,H80),C80*E80*F80*H80,IF(AND(G80,H80),C80*E80*G80*H80,IF(F80,C80*E80*F80,IF(G80,C80*E80*G80,IF(H80,C80*E80*H80,C80*E80))))))),2)</f>
        <v>0.28999999999999998</v>
      </c>
      <c r="J80" s="770" t="s">
        <v>5</v>
      </c>
      <c r="K80" s="764"/>
      <c r="L80" s="757"/>
      <c r="M80" s="764"/>
    </row>
    <row r="81" spans="1:13" s="771" customFormat="1" ht="16.5" customHeight="1">
      <c r="A81" s="757"/>
      <c r="B81" s="764" t="s">
        <v>2288</v>
      </c>
      <c r="C81" s="765">
        <v>1</v>
      </c>
      <c r="D81" s="766" t="s">
        <v>268</v>
      </c>
      <c r="E81" s="767">
        <v>8</v>
      </c>
      <c r="F81" s="768">
        <v>0.23</v>
      </c>
      <c r="G81" s="768">
        <v>0.35</v>
      </c>
      <c r="H81" s="768">
        <v>0.9</v>
      </c>
      <c r="I81" s="769">
        <f>ROUND(IF(AND(F81:H81),C81*E81*F81*G81*H81,IF(AND(F81,G81),C81*E81*F81*G81,IF(AND(F81,H81),C81*E81*F81*H81,IF(AND(G81,H81),C81*E81*G81*H81,IF(F81,C81*E81*F81,IF(G81,C81*E81*G81,IF(H81,C81*E81*H81,C81*E81))))))),2)</f>
        <v>0.57999999999999996</v>
      </c>
      <c r="J81" s="770" t="s">
        <v>5</v>
      </c>
      <c r="K81" s="764"/>
      <c r="L81" s="757"/>
      <c r="M81" s="764"/>
    </row>
    <row r="82" spans="1:13" s="771" customFormat="1" ht="16.5" customHeight="1">
      <c r="A82" s="757"/>
      <c r="B82" s="764" t="s">
        <v>2289</v>
      </c>
      <c r="C82" s="765">
        <v>1</v>
      </c>
      <c r="D82" s="766" t="s">
        <v>268</v>
      </c>
      <c r="E82" s="767">
        <v>8</v>
      </c>
      <c r="F82" s="768">
        <v>0.23</v>
      </c>
      <c r="G82" s="768">
        <v>0.35</v>
      </c>
      <c r="H82" s="768">
        <v>3.35</v>
      </c>
      <c r="I82" s="769">
        <f>ROUND(IF(AND(F82:H82),C82*E82*F82*G82*H82,IF(AND(F82,G82),C82*E82*F82*G82,IF(AND(F82,H82),C82*E82*F82*H82,IF(AND(G82,H82),C82*E82*G82*H82,IF(F82,C82*E82*F82,IF(G82,C82*E82*G82,IF(H82,C82*E82*H82,C82*E82))))))),2)</f>
        <v>2.16</v>
      </c>
      <c r="J82" s="770" t="s">
        <v>5</v>
      </c>
      <c r="K82" s="764"/>
      <c r="L82" s="757"/>
      <c r="M82" s="764"/>
    </row>
    <row r="83" spans="1:13" s="771" customFormat="1" ht="16.5" customHeight="1">
      <c r="A83" s="757"/>
      <c r="B83" s="773"/>
      <c r="C83" s="774"/>
      <c r="D83" s="775"/>
      <c r="E83" s="776"/>
      <c r="F83" s="777"/>
      <c r="G83" s="777"/>
      <c r="H83" s="777"/>
      <c r="I83" s="769"/>
      <c r="J83" s="783"/>
      <c r="K83" s="764"/>
      <c r="L83" s="761"/>
      <c r="M83" s="764"/>
    </row>
    <row r="84" spans="1:13" s="763" customFormat="1">
      <c r="A84" s="757"/>
      <c r="B84" s="764"/>
      <c r="C84" s="779"/>
      <c r="D84" s="780"/>
      <c r="E84" s="767"/>
      <c r="F84" s="781"/>
      <c r="G84" s="782"/>
      <c r="H84" s="757"/>
      <c r="I84" s="769">
        <f>SUM(I80:I83)</f>
        <v>3.0300000000000002</v>
      </c>
      <c r="J84" s="783" t="s">
        <v>5</v>
      </c>
      <c r="K84" s="768">
        <f>'DATA 2025-26'!E166</f>
        <v>12653.1</v>
      </c>
      <c r="L84" s="761" t="s">
        <v>269</v>
      </c>
      <c r="M84" s="784">
        <f>ROUND(I84*K84,0)</f>
        <v>38339</v>
      </c>
    </row>
    <row r="85" spans="1:13" s="763" customFormat="1" ht="17.25" customHeight="1">
      <c r="A85" s="757">
        <v>8</v>
      </c>
      <c r="B85" s="965" t="s">
        <v>297</v>
      </c>
      <c r="C85" s="965"/>
      <c r="D85" s="965"/>
      <c r="E85" s="965"/>
      <c r="F85" s="965"/>
      <c r="G85" s="965"/>
      <c r="H85" s="965"/>
      <c r="I85" s="759"/>
      <c r="J85" s="760"/>
      <c r="K85" s="757"/>
      <c r="L85" s="761"/>
      <c r="M85" s="762"/>
    </row>
    <row r="86" spans="1:13" s="771" customFormat="1" ht="16.5" customHeight="1">
      <c r="A86" s="757"/>
      <c r="B86" s="772" t="s">
        <v>575</v>
      </c>
      <c r="C86" s="765">
        <v>1</v>
      </c>
      <c r="D86" s="766" t="s">
        <v>268</v>
      </c>
      <c r="E86" s="767">
        <v>1</v>
      </c>
      <c r="F86" s="768">
        <v>32.299999999999997</v>
      </c>
      <c r="G86" s="768">
        <v>0.23</v>
      </c>
      <c r="H86" s="768">
        <v>0.3</v>
      </c>
      <c r="I86" s="769">
        <f>ROUND(IF(AND(F86:H86),C86*E86*F86*G86*H86,IF(AND(F86,G86),C86*E86*F86*G86,IF(AND(F86,H86),C86*E86*F86*H86,IF(AND(G86,H86),C86*E86*G86*H86,IF(F86,C86*E86*F86,IF(G86,C86*E86*G86,IF(H86,C86*E86*H86,C86*E86))))))),2)</f>
        <v>2.23</v>
      </c>
      <c r="J86" s="770" t="s">
        <v>5</v>
      </c>
      <c r="K86" s="764"/>
      <c r="L86" s="757"/>
      <c r="M86" s="764"/>
    </row>
    <row r="87" spans="1:13" s="771" customFormat="1" ht="16.5" customHeight="1">
      <c r="A87" s="757"/>
      <c r="B87" s="772" t="s">
        <v>2290</v>
      </c>
      <c r="C87" s="765">
        <v>1</v>
      </c>
      <c r="D87" s="766" t="s">
        <v>268</v>
      </c>
      <c r="E87" s="767">
        <v>2</v>
      </c>
      <c r="F87" s="768">
        <v>5.49</v>
      </c>
      <c r="G87" s="768">
        <v>0.23</v>
      </c>
      <c r="H87" s="768">
        <v>0.3</v>
      </c>
      <c r="I87" s="769">
        <f>ROUND(IF(AND(F87:H87),C87*E87*F87*G87*H87,IF(AND(F87,G87),C87*E87*F87*G87,IF(AND(F87,H87),C87*E87*F87*H87,IF(AND(G87,H87),C87*E87*G87*H87,IF(F87,C87*E87*F87,IF(G87,C87*E87*G87,IF(H87,C87*E87*H87,C87*E87))))))),2)</f>
        <v>0.76</v>
      </c>
      <c r="J87" s="770" t="s">
        <v>5</v>
      </c>
      <c r="K87" s="764"/>
      <c r="L87" s="757"/>
      <c r="M87" s="764"/>
    </row>
    <row r="88" spans="1:13" s="771" customFormat="1" ht="16.5" customHeight="1">
      <c r="A88" s="757"/>
      <c r="B88" s="773"/>
      <c r="C88" s="774"/>
      <c r="D88" s="775"/>
      <c r="E88" s="776"/>
      <c r="F88" s="777"/>
      <c r="G88" s="777"/>
      <c r="H88" s="777"/>
      <c r="I88" s="769"/>
      <c r="J88" s="783"/>
      <c r="K88" s="764"/>
      <c r="L88" s="761"/>
      <c r="M88" s="764"/>
    </row>
    <row r="89" spans="1:13" s="763" customFormat="1">
      <c r="A89" s="757"/>
      <c r="B89" s="764"/>
      <c r="C89" s="779"/>
      <c r="D89" s="780"/>
      <c r="E89" s="767"/>
      <c r="F89" s="781"/>
      <c r="G89" s="782"/>
      <c r="H89" s="757"/>
      <c r="I89" s="769">
        <f>SUM(I86:I88)</f>
        <v>2.99</v>
      </c>
      <c r="J89" s="783" t="s">
        <v>5</v>
      </c>
      <c r="K89" s="768">
        <f>'DATA 2025-26'!G144</f>
        <v>12257.73</v>
      </c>
      <c r="L89" s="761" t="s">
        <v>269</v>
      </c>
      <c r="M89" s="784">
        <f>ROUND(I89*K89,0)</f>
        <v>36651</v>
      </c>
    </row>
    <row r="90" spans="1:13" s="763" customFormat="1" ht="17.25" customHeight="1">
      <c r="A90" s="757">
        <v>9</v>
      </c>
      <c r="B90" s="965" t="s">
        <v>298</v>
      </c>
      <c r="C90" s="965"/>
      <c r="D90" s="965"/>
      <c r="E90" s="965"/>
      <c r="F90" s="965"/>
      <c r="G90" s="965"/>
      <c r="H90" s="965"/>
      <c r="I90" s="759"/>
      <c r="J90" s="760"/>
      <c r="K90" s="757"/>
      <c r="L90" s="761"/>
      <c r="M90" s="762"/>
    </row>
    <row r="91" spans="1:13" s="771" customFormat="1" ht="16.5" customHeight="1">
      <c r="A91" s="757"/>
      <c r="B91" s="764" t="s">
        <v>2303</v>
      </c>
      <c r="C91" s="765">
        <v>1</v>
      </c>
      <c r="D91" s="766" t="s">
        <v>268</v>
      </c>
      <c r="E91" s="767">
        <v>2</v>
      </c>
      <c r="F91" s="768">
        <v>10.44</v>
      </c>
      <c r="G91" s="768">
        <v>0.23</v>
      </c>
      <c r="H91" s="768">
        <v>0.3</v>
      </c>
      <c r="I91" s="769">
        <f>ROUND(IF(AND(F91:H91),C91*E91*F91*G91*H91,IF(AND(F91,G91),C91*E91*F91*G91,IF(AND(F91,H91),C91*E91*F91*H91,IF(AND(G91,H91),C91*E91*G91*H91,IF(F91,C91*E91*F91,IF(G91,C91*E91*G91,IF(H91,C91*E91*H91,C91*E91))))))),2)</f>
        <v>1.44</v>
      </c>
      <c r="J91" s="770" t="s">
        <v>5</v>
      </c>
      <c r="K91" s="764"/>
      <c r="L91" s="757"/>
      <c r="M91" s="764"/>
    </row>
    <row r="92" spans="1:13" s="771" customFormat="1" ht="16.5" customHeight="1">
      <c r="A92" s="757"/>
      <c r="B92" s="764" t="s">
        <v>2304</v>
      </c>
      <c r="C92" s="765">
        <v>1</v>
      </c>
      <c r="D92" s="766" t="s">
        <v>268</v>
      </c>
      <c r="E92" s="767">
        <v>4</v>
      </c>
      <c r="F92" s="768">
        <v>5.4</v>
      </c>
      <c r="G92" s="768">
        <v>0.23</v>
      </c>
      <c r="H92" s="768">
        <v>0.45</v>
      </c>
      <c r="I92" s="769">
        <f>ROUND(IF(AND(F92:H92),C92*E92*F92*G92*H92,IF(AND(F92,G92),C92*E92*F92*G92,IF(AND(F92,H92),C92*E92*F92*H92,IF(AND(G92,H92),C92*E92*G92*H92,IF(F92,C92*E92*F92,IF(G92,C92*E92*G92,IF(H92,C92*E92*H92,C92*E92))))))),2)</f>
        <v>2.2400000000000002</v>
      </c>
      <c r="J92" s="770" t="s">
        <v>5</v>
      </c>
      <c r="K92" s="764"/>
      <c r="L92" s="757"/>
      <c r="M92" s="764"/>
    </row>
    <row r="93" spans="1:13" s="771" customFormat="1" ht="16.5" customHeight="1">
      <c r="A93" s="757"/>
      <c r="B93" s="764" t="s">
        <v>2291</v>
      </c>
      <c r="C93" s="765">
        <v>1</v>
      </c>
      <c r="D93" s="766" t="s">
        <v>268</v>
      </c>
      <c r="E93" s="767">
        <v>2</v>
      </c>
      <c r="F93" s="768">
        <v>0.9</v>
      </c>
      <c r="G93" s="768">
        <v>0.23</v>
      </c>
      <c r="H93" s="768">
        <v>0.3</v>
      </c>
      <c r="I93" s="769">
        <f>ROUND(IF(AND(F93:H93),C93*E93*F93*G93*H93,IF(AND(F93,G93),C93*E93*F93*G93,IF(AND(F93,H93),C93*E93*F93*H93,IF(AND(G93,H93),C93*E93*G93*H93,IF(F93,C93*E93*F93,IF(G93,C93*E93*G93,IF(H93,C93*E93*H93,C93*E93))))))),2)</f>
        <v>0.12</v>
      </c>
      <c r="J93" s="770" t="s">
        <v>5</v>
      </c>
      <c r="K93" s="764"/>
      <c r="L93" s="757"/>
      <c r="M93" s="764"/>
    </row>
    <row r="94" spans="1:13" s="771" customFormat="1" ht="16.5" customHeight="1">
      <c r="A94" s="757"/>
      <c r="B94" s="773"/>
      <c r="C94" s="774"/>
      <c r="D94" s="775"/>
      <c r="E94" s="776"/>
      <c r="F94" s="777"/>
      <c r="G94" s="777"/>
      <c r="H94" s="777"/>
      <c r="I94" s="769"/>
      <c r="J94" s="783"/>
      <c r="K94" s="764"/>
      <c r="L94" s="761"/>
      <c r="M94" s="764"/>
    </row>
    <row r="95" spans="1:13" s="763" customFormat="1">
      <c r="A95" s="757"/>
      <c r="B95" s="764"/>
      <c r="C95" s="779"/>
      <c r="D95" s="780"/>
      <c r="E95" s="767"/>
      <c r="F95" s="781"/>
      <c r="G95" s="782"/>
      <c r="H95" s="757"/>
      <c r="I95" s="769">
        <f>SUM(I91:I94)</f>
        <v>3.8000000000000003</v>
      </c>
      <c r="J95" s="783" t="s">
        <v>5</v>
      </c>
      <c r="K95" s="768">
        <f>'DATA 2025-26'!E195</f>
        <v>11770.33</v>
      </c>
      <c r="L95" s="761" t="s">
        <v>269</v>
      </c>
      <c r="M95" s="784">
        <f>ROUND(I95*K95,0)</f>
        <v>44727</v>
      </c>
    </row>
    <row r="96" spans="1:13" ht="17.25" hidden="1" customHeight="1">
      <c r="A96" s="110">
        <v>12</v>
      </c>
      <c r="B96" s="964" t="s">
        <v>299</v>
      </c>
      <c r="C96" s="964"/>
      <c r="D96" s="964"/>
      <c r="E96" s="964"/>
      <c r="F96" s="964"/>
      <c r="G96" s="964"/>
      <c r="H96" s="964"/>
      <c r="I96" s="183"/>
      <c r="J96" s="186"/>
      <c r="K96" s="110"/>
      <c r="L96" s="210"/>
      <c r="M96" s="139"/>
    </row>
    <row r="97" spans="1:13" s="148" customFormat="1" ht="16.5" hidden="1" customHeight="1">
      <c r="A97" s="110"/>
      <c r="B97" s="147" t="s">
        <v>263</v>
      </c>
      <c r="C97" s="183">
        <v>1</v>
      </c>
      <c r="D97" s="205" t="s">
        <v>268</v>
      </c>
      <c r="E97" s="156">
        <v>1</v>
      </c>
      <c r="F97" s="157">
        <v>3.18</v>
      </c>
      <c r="G97" s="157">
        <v>1</v>
      </c>
      <c r="H97" s="157">
        <v>0</v>
      </c>
      <c r="I97" s="207">
        <f t="shared" ref="I97:I98" si="5">ROUND(IF(AND(F97:H97),C97*E97*F97*G97*H97,IF(AND(F97,G97),C97*E97*F97*G97,IF(AND(F97,H97),C97*E97*F97*H97,IF(AND(G97,H97),C97*E97*G97*H97,IF(F97,C97*E97*F97,IF(G97,C97*E97*G97,IF(H97,C97*E97*H97,C97*E97))))))),2)</f>
        <v>3.18</v>
      </c>
      <c r="J97" s="195" t="s">
        <v>102</v>
      </c>
      <c r="K97" s="147"/>
      <c r="L97" s="110"/>
      <c r="M97" s="147"/>
    </row>
    <row r="98" spans="1:13" s="148" customFormat="1" ht="16.5" hidden="1" customHeight="1">
      <c r="A98" s="110"/>
      <c r="B98" s="147" t="s">
        <v>747</v>
      </c>
      <c r="C98" s="183">
        <v>1</v>
      </c>
      <c r="D98" s="205" t="s">
        <v>268</v>
      </c>
      <c r="E98" s="156">
        <v>1</v>
      </c>
      <c r="F98" s="157">
        <v>3.5</v>
      </c>
      <c r="G98" s="157">
        <v>1.2</v>
      </c>
      <c r="H98" s="157">
        <v>0</v>
      </c>
      <c r="I98" s="207">
        <f t="shared" si="5"/>
        <v>4.2</v>
      </c>
      <c r="J98" s="195" t="s">
        <v>102</v>
      </c>
      <c r="K98" s="147"/>
      <c r="L98" s="110"/>
      <c r="M98" s="147"/>
    </row>
    <row r="99" spans="1:13" s="148" customFormat="1" ht="16.5" hidden="1" customHeight="1">
      <c r="A99" s="110"/>
      <c r="B99" s="147" t="s">
        <v>746</v>
      </c>
      <c r="C99" s="183">
        <v>1</v>
      </c>
      <c r="D99" s="205" t="s">
        <v>268</v>
      </c>
      <c r="E99" s="156">
        <v>1</v>
      </c>
      <c r="F99" s="157">
        <v>3.56</v>
      </c>
      <c r="G99" s="157">
        <v>1.2</v>
      </c>
      <c r="H99" s="157">
        <v>0</v>
      </c>
      <c r="I99" s="207">
        <f t="shared" ref="I99" si="6">ROUND(IF(AND(F99:H99),C99*E99*F99*G99*H99,IF(AND(F99,G99),C99*E99*F99*G99,IF(AND(F99,H99),C99*E99*F99*H99,IF(AND(G99,H99),C99*E99*G99*H99,IF(F99,C99*E99*F99,IF(G99,C99*E99*G99,IF(H99,C99*E99*H99,C99*E99))))))),2)</f>
        <v>4.2699999999999996</v>
      </c>
      <c r="J99" s="195" t="s">
        <v>102</v>
      </c>
      <c r="K99" s="147"/>
      <c r="L99" s="110"/>
      <c r="M99" s="147"/>
    </row>
    <row r="100" spans="1:13" s="148" customFormat="1" ht="16.5" hidden="1" customHeight="1">
      <c r="A100" s="110"/>
      <c r="B100" s="149"/>
      <c r="C100" s="150"/>
      <c r="D100" s="151"/>
      <c r="E100" s="152"/>
      <c r="F100" s="153"/>
      <c r="G100" s="153"/>
      <c r="H100" s="153"/>
      <c r="I100" s="185"/>
      <c r="J100" s="195"/>
      <c r="K100" s="147"/>
      <c r="L100" s="210"/>
      <c r="M100" s="147"/>
    </row>
    <row r="101" spans="1:13" hidden="1">
      <c r="A101" s="110"/>
      <c r="B101" s="147"/>
      <c r="C101" s="154"/>
      <c r="D101" s="155"/>
      <c r="E101" s="156"/>
      <c r="F101" s="157"/>
      <c r="G101" s="158"/>
      <c r="H101" s="110"/>
      <c r="I101" s="185"/>
      <c r="J101" s="195" t="s">
        <v>102</v>
      </c>
      <c r="K101" s="12">
        <f>'DATA 2025-26'!E219</f>
        <v>1603.1999999999998</v>
      </c>
      <c r="L101" s="210" t="s">
        <v>270</v>
      </c>
      <c r="M101" s="11">
        <f>ROUND(I101*K101,0)</f>
        <v>0</v>
      </c>
    </row>
    <row r="102" spans="1:13" s="763" customFormat="1" ht="17.25" customHeight="1">
      <c r="A102" s="757">
        <v>10</v>
      </c>
      <c r="B102" s="965" t="s">
        <v>300</v>
      </c>
      <c r="C102" s="965"/>
      <c r="D102" s="965"/>
      <c r="E102" s="965"/>
      <c r="F102" s="965"/>
      <c r="G102" s="965"/>
      <c r="H102" s="965"/>
      <c r="I102" s="759"/>
      <c r="J102" s="760"/>
      <c r="K102" s="757"/>
      <c r="L102" s="761"/>
      <c r="M102" s="762"/>
    </row>
    <row r="103" spans="1:13" s="771" customFormat="1" ht="16.5" customHeight="1">
      <c r="A103" s="757"/>
      <c r="B103" s="764"/>
      <c r="C103" s="765">
        <v>1</v>
      </c>
      <c r="D103" s="766" t="s">
        <v>268</v>
      </c>
      <c r="E103" s="767">
        <v>1</v>
      </c>
      <c r="F103" s="768">
        <v>6.54</v>
      </c>
      <c r="G103" s="768">
        <v>10.74</v>
      </c>
      <c r="H103" s="768">
        <v>0</v>
      </c>
      <c r="I103" s="769">
        <f>ROUND(IF(AND(F103:H103),C103*E103*F103*G103*H103,IF(AND(F103,G103),C103*E103*F103*G103,IF(AND(F103,H103),C103*E103*F103*H103,IF(AND(G103,H103),C103*E103*G103*H103,IF(F103,C103*E103*F103,IF(G103,C103*E103*G103,IF(H103,C103*E103*H103,C103*E103))))))),2)</f>
        <v>70.239999999999995</v>
      </c>
      <c r="J103" s="770" t="s">
        <v>102</v>
      </c>
      <c r="K103" s="764"/>
      <c r="L103" s="757"/>
      <c r="M103" s="764"/>
    </row>
    <row r="104" spans="1:13" s="771" customFormat="1" ht="16.5" customHeight="1">
      <c r="A104" s="757"/>
      <c r="B104" s="764" t="s">
        <v>2294</v>
      </c>
      <c r="C104" s="765">
        <v>1</v>
      </c>
      <c r="D104" s="766" t="s">
        <v>268</v>
      </c>
      <c r="E104" s="767">
        <v>1</v>
      </c>
      <c r="F104" s="768">
        <v>6.54</v>
      </c>
      <c r="G104" s="768">
        <v>0.9</v>
      </c>
      <c r="H104" s="768">
        <v>0</v>
      </c>
      <c r="I104" s="769">
        <f>ROUND(IF(AND(F104:H104),C104*E104*F104*G104*H104,IF(AND(F104,G104),C104*E104*F104*G104,IF(AND(F104,H104),C104*E104*F104*H104,IF(AND(G104,H104),C104*E104*G104*H104,IF(F104,C104*E104*F104,IF(G104,C104*E104*G104,IF(H104,C104*E104*H104,C104*E104))))))),2)</f>
        <v>5.89</v>
      </c>
      <c r="J104" s="770" t="s">
        <v>102</v>
      </c>
      <c r="K104" s="764"/>
      <c r="L104" s="757"/>
      <c r="M104" s="764"/>
    </row>
    <row r="105" spans="1:13" s="771" customFormat="1" ht="16.5" customHeight="1">
      <c r="A105" s="757"/>
      <c r="B105" s="787"/>
      <c r="C105" s="788"/>
      <c r="D105" s="789"/>
      <c r="E105" s="790"/>
      <c r="F105" s="791"/>
      <c r="G105" s="791"/>
      <c r="H105" s="792"/>
      <c r="I105" s="793"/>
      <c r="J105" s="783"/>
      <c r="K105" s="764"/>
      <c r="L105" s="761"/>
      <c r="M105" s="764"/>
    </row>
    <row r="106" spans="1:13" s="763" customFormat="1">
      <c r="A106" s="757"/>
      <c r="B106" s="764"/>
      <c r="C106" s="779"/>
      <c r="D106" s="780"/>
      <c r="E106" s="767"/>
      <c r="F106" s="781"/>
      <c r="G106" s="782"/>
      <c r="H106" s="757"/>
      <c r="I106" s="769">
        <f>SUM(I103:I105)</f>
        <v>76.13</v>
      </c>
      <c r="J106" s="783" t="s">
        <v>102</v>
      </c>
      <c r="K106" s="768">
        <f>'DATA 2025-26'!E211</f>
        <v>1428.4</v>
      </c>
      <c r="L106" s="761" t="s">
        <v>270</v>
      </c>
      <c r="M106" s="784">
        <f>ROUND(I106*K106,0)</f>
        <v>108744</v>
      </c>
    </row>
    <row r="107" spans="1:13" ht="17.25" hidden="1" customHeight="1">
      <c r="A107" s="110">
        <v>13</v>
      </c>
      <c r="B107" s="964" t="s">
        <v>570</v>
      </c>
      <c r="C107" s="964"/>
      <c r="D107" s="964"/>
      <c r="E107" s="964"/>
      <c r="F107" s="964"/>
      <c r="G107" s="964"/>
      <c r="H107" s="964"/>
      <c r="I107" s="183"/>
      <c r="J107" s="186"/>
      <c r="K107" s="110"/>
      <c r="L107" s="210"/>
      <c r="M107" s="139"/>
    </row>
    <row r="108" spans="1:13" s="148" customFormat="1" ht="16.5" hidden="1" customHeight="1">
      <c r="A108" s="110"/>
      <c r="B108" s="147" t="s">
        <v>1336</v>
      </c>
      <c r="C108" s="183"/>
      <c r="D108" s="205"/>
      <c r="E108" s="156"/>
      <c r="F108" s="157"/>
      <c r="G108" s="157"/>
      <c r="H108" s="157"/>
      <c r="I108" s="206"/>
      <c r="J108" s="195"/>
      <c r="K108" s="147"/>
      <c r="L108" s="210"/>
      <c r="M108" s="147"/>
    </row>
    <row r="109" spans="1:13" s="148" customFormat="1" ht="16.5" hidden="1" customHeight="1">
      <c r="A109" s="110"/>
      <c r="B109" s="147"/>
      <c r="C109" s="183">
        <v>1</v>
      </c>
      <c r="D109" s="205" t="s">
        <v>268</v>
      </c>
      <c r="E109" s="156">
        <v>1</v>
      </c>
      <c r="F109" s="157">
        <v>23.5</v>
      </c>
      <c r="G109" s="157">
        <v>0.97</v>
      </c>
      <c r="H109" s="157">
        <v>0</v>
      </c>
      <c r="I109" s="207">
        <f t="shared" ref="I109" si="7">ROUND(IF(AND(F109:H109),C109*E109*F109*G109*H109,IF(AND(F109,G109),C109*E109*F109*G109,IF(AND(F109,H109),C109*E109*F109*H109,IF(AND(G109,H109),C109*E109*G109*H109,IF(F109,C109*E109*F109,IF(G109,C109*E109*G109,IF(H109,C109*E109*H109,C109*E109))))))),2)</f>
        <v>22.8</v>
      </c>
      <c r="J109" s="195" t="s">
        <v>102</v>
      </c>
      <c r="K109" s="147"/>
      <c r="L109" s="210"/>
      <c r="M109" s="147"/>
    </row>
    <row r="110" spans="1:13" s="148" customFormat="1" ht="16.5" hidden="1" customHeight="1">
      <c r="A110" s="110"/>
      <c r="B110" s="291"/>
      <c r="C110" s="292"/>
      <c r="D110" s="175"/>
      <c r="E110" s="293"/>
      <c r="F110" s="294"/>
      <c r="G110" s="294"/>
      <c r="H110" s="295"/>
      <c r="I110" s="193"/>
      <c r="J110" s="195"/>
      <c r="K110" s="147"/>
      <c r="L110" s="210"/>
      <c r="M110" s="147"/>
    </row>
    <row r="111" spans="1:13" hidden="1">
      <c r="A111" s="110"/>
      <c r="B111" s="147"/>
      <c r="C111" s="154"/>
      <c r="D111" s="155"/>
      <c r="E111" s="156"/>
      <c r="F111" s="157"/>
      <c r="G111" s="158"/>
      <c r="H111" s="110"/>
      <c r="I111" s="185"/>
      <c r="J111" s="195" t="s">
        <v>102</v>
      </c>
      <c r="K111" s="12">
        <f>'DATA 2025-26'!E203</f>
        <v>1103.3800000000001</v>
      </c>
      <c r="L111" s="210" t="s">
        <v>270</v>
      </c>
      <c r="M111" s="11">
        <f>ROUND(I111*K111,0)</f>
        <v>0</v>
      </c>
    </row>
    <row r="112" spans="1:13" ht="18.75" hidden="1" customHeight="1">
      <c r="A112" s="110">
        <v>11</v>
      </c>
      <c r="B112" s="964" t="s">
        <v>1115</v>
      </c>
      <c r="C112" s="964"/>
      <c r="D112" s="964"/>
      <c r="E112" s="964"/>
      <c r="F112" s="964"/>
      <c r="G112" s="964"/>
      <c r="H112" s="964"/>
      <c r="I112" s="183"/>
      <c r="J112" s="186"/>
      <c r="K112" s="110"/>
      <c r="L112" s="210"/>
      <c r="M112" s="139"/>
    </row>
    <row r="113" spans="1:13" s="148" customFormat="1" ht="16.5" hidden="1" customHeight="1">
      <c r="A113" s="110"/>
      <c r="B113" s="147" t="s">
        <v>1258</v>
      </c>
      <c r="C113" s="183"/>
      <c r="D113" s="205"/>
      <c r="E113" s="156"/>
      <c r="F113" s="157"/>
      <c r="G113" s="157"/>
      <c r="H113" s="157"/>
      <c r="I113" s="206"/>
      <c r="J113" s="195"/>
      <c r="K113" s="147"/>
      <c r="L113" s="210"/>
      <c r="M113" s="147"/>
    </row>
    <row r="114" spans="1:13" s="148" customFormat="1" ht="16.5" hidden="1" customHeight="1">
      <c r="A114" s="110"/>
      <c r="B114" s="147" t="s">
        <v>1259</v>
      </c>
      <c r="C114" s="183">
        <v>1</v>
      </c>
      <c r="D114" s="205" t="s">
        <v>268</v>
      </c>
      <c r="E114" s="156">
        <v>2</v>
      </c>
      <c r="F114" s="157">
        <v>3.33</v>
      </c>
      <c r="G114" s="157">
        <v>1.32</v>
      </c>
      <c r="H114" s="157">
        <v>0</v>
      </c>
      <c r="I114" s="207">
        <f t="shared" ref="I114:I115" si="8">ROUND(IF(AND(F114:H114),C114*E114*F114*G114*H114,IF(AND(F114,G114),C114*E114*F114*G114,IF(AND(F114,H114),C114*E114*F114*H114,IF(AND(G114,H114),C114*E114*G114*H114,IF(F114,C114*E114*F114,IF(G114,C114*E114*G114,IF(H114,C114*E114*H114,C114*E114))))))),2)</f>
        <v>8.7899999999999991</v>
      </c>
      <c r="J114" s="195" t="s">
        <v>102</v>
      </c>
      <c r="K114" s="147"/>
      <c r="L114" s="210"/>
      <c r="M114" s="147"/>
    </row>
    <row r="115" spans="1:13" s="148" customFormat="1" ht="16.5" hidden="1" customHeight="1">
      <c r="A115" s="110"/>
      <c r="B115" s="147"/>
      <c r="C115" s="183">
        <v>2</v>
      </c>
      <c r="D115" s="205" t="s">
        <v>268</v>
      </c>
      <c r="E115" s="156">
        <v>0.5</v>
      </c>
      <c r="F115" s="157">
        <v>0.94</v>
      </c>
      <c r="G115" s="157">
        <v>1.35</v>
      </c>
      <c r="H115" s="157">
        <v>0</v>
      </c>
      <c r="I115" s="207">
        <f t="shared" si="8"/>
        <v>1.27</v>
      </c>
      <c r="J115" s="195" t="s">
        <v>102</v>
      </c>
      <c r="K115" s="147"/>
      <c r="L115" s="210"/>
      <c r="M115" s="147"/>
    </row>
    <row r="116" spans="1:13" s="148" customFormat="1" ht="16.5" hidden="1" customHeight="1">
      <c r="A116" s="110"/>
      <c r="B116" s="149"/>
      <c r="C116" s="150"/>
      <c r="D116" s="151"/>
      <c r="E116" s="152"/>
      <c r="F116" s="153"/>
      <c r="G116" s="153"/>
      <c r="H116" s="153"/>
      <c r="I116" s="185"/>
      <c r="J116" s="195"/>
      <c r="K116" s="147"/>
      <c r="L116" s="210"/>
      <c r="M116" s="147"/>
    </row>
    <row r="117" spans="1:13" hidden="1">
      <c r="A117" s="110"/>
      <c r="B117" s="147"/>
      <c r="C117" s="154"/>
      <c r="D117" s="155"/>
      <c r="E117" s="156"/>
      <c r="F117" s="157"/>
      <c r="G117" s="158"/>
      <c r="H117" s="110"/>
      <c r="I117" s="185"/>
      <c r="J117" s="195" t="s">
        <v>102</v>
      </c>
      <c r="K117" s="12">
        <f>'DATA 2025-26'!E266</f>
        <v>622.29</v>
      </c>
      <c r="L117" s="210" t="s">
        <v>270</v>
      </c>
      <c r="M117" s="11">
        <f>ROUND(I117*K117,0)</f>
        <v>0</v>
      </c>
    </row>
    <row r="118" spans="1:13" ht="18.75" hidden="1" customHeight="1">
      <c r="A118" s="110">
        <v>16</v>
      </c>
      <c r="B118" s="964" t="s">
        <v>1116</v>
      </c>
      <c r="C118" s="964"/>
      <c r="D118" s="964"/>
      <c r="E118" s="964"/>
      <c r="F118" s="964"/>
      <c r="G118" s="964"/>
      <c r="H118" s="964"/>
      <c r="I118" s="183"/>
      <c r="J118" s="186"/>
      <c r="K118" s="110"/>
      <c r="L118" s="210"/>
      <c r="M118" s="139"/>
    </row>
    <row r="119" spans="1:13" s="148" customFormat="1" ht="16.5" hidden="1" customHeight="1">
      <c r="A119" s="110"/>
      <c r="B119" s="147" t="s">
        <v>1331</v>
      </c>
      <c r="C119" s="183"/>
      <c r="D119" s="205"/>
      <c r="E119" s="156"/>
      <c r="F119" s="157"/>
      <c r="G119" s="157"/>
      <c r="H119" s="157"/>
      <c r="I119" s="206"/>
      <c r="J119" s="195"/>
      <c r="K119" s="147"/>
      <c r="L119" s="210"/>
      <c r="M119" s="147"/>
    </row>
    <row r="120" spans="1:13" s="148" customFormat="1" ht="16.5" hidden="1" customHeight="1">
      <c r="A120" s="110"/>
      <c r="B120" s="147" t="s">
        <v>1016</v>
      </c>
      <c r="C120" s="183">
        <v>1</v>
      </c>
      <c r="D120" s="205" t="s">
        <v>268</v>
      </c>
      <c r="E120" s="156">
        <v>5</v>
      </c>
      <c r="F120" s="157">
        <v>1.52</v>
      </c>
      <c r="G120" s="157">
        <v>0.23</v>
      </c>
      <c r="H120" s="157">
        <v>0</v>
      </c>
      <c r="I120" s="207">
        <f t="shared" ref="I120:I121" si="9">ROUND(IF(AND(F120:H120),C120*E120*F120*G120*H120,IF(AND(F120,G120),C120*E120*F120*G120,IF(AND(F120,H120),C120*E120*F120*H120,IF(AND(G120,H120),C120*E120*G120*H120,IF(F120,C120*E120*F120,IF(G120,C120*E120*G120,IF(H120,C120*E120*H120,C120*E120))))))),2)</f>
        <v>1.75</v>
      </c>
      <c r="J120" s="195" t="s">
        <v>102</v>
      </c>
      <c r="K120" s="147"/>
      <c r="L120" s="210"/>
      <c r="M120" s="147"/>
    </row>
    <row r="121" spans="1:13" s="148" customFormat="1" ht="16.5" hidden="1" customHeight="1">
      <c r="A121" s="110"/>
      <c r="B121" s="147"/>
      <c r="C121" s="183">
        <v>1</v>
      </c>
      <c r="D121" s="205" t="s">
        <v>268</v>
      </c>
      <c r="E121" s="156">
        <v>4</v>
      </c>
      <c r="F121" s="157">
        <v>1.83</v>
      </c>
      <c r="G121" s="157">
        <v>0.23</v>
      </c>
      <c r="H121" s="157">
        <v>0</v>
      </c>
      <c r="I121" s="207">
        <f t="shared" si="9"/>
        <v>1.68</v>
      </c>
      <c r="J121" s="195" t="s">
        <v>102</v>
      </c>
      <c r="K121" s="147"/>
      <c r="L121" s="210"/>
      <c r="M121" s="147"/>
    </row>
    <row r="122" spans="1:13" s="148" customFormat="1" ht="16.5" hidden="1" customHeight="1">
      <c r="A122" s="110"/>
      <c r="B122" s="147" t="s">
        <v>1332</v>
      </c>
      <c r="C122" s="183"/>
      <c r="D122" s="205"/>
      <c r="E122" s="156"/>
      <c r="F122" s="157"/>
      <c r="G122" s="157"/>
      <c r="H122" s="157"/>
      <c r="I122" s="206"/>
      <c r="J122" s="195"/>
      <c r="K122" s="147"/>
      <c r="L122" s="210"/>
      <c r="M122" s="147"/>
    </row>
    <row r="123" spans="1:13" s="148" customFormat="1" ht="16.5" hidden="1" customHeight="1">
      <c r="A123" s="110"/>
      <c r="B123" s="147" t="s">
        <v>1016</v>
      </c>
      <c r="C123" s="183">
        <v>1</v>
      </c>
      <c r="D123" s="205" t="s">
        <v>268</v>
      </c>
      <c r="E123" s="156">
        <v>8</v>
      </c>
      <c r="F123" s="157">
        <v>1.52</v>
      </c>
      <c r="G123" s="157">
        <v>0.23</v>
      </c>
      <c r="H123" s="157">
        <v>0</v>
      </c>
      <c r="I123" s="207">
        <f t="shared" ref="I123" si="10">ROUND(IF(AND(F123:H123),C123*E123*F123*G123*H123,IF(AND(F123,G123),C123*E123*F123*G123,IF(AND(F123,H123),C123*E123*F123*H123,IF(AND(G123,H123),C123*E123*G123*H123,IF(F123,C123*E123*F123,IF(G123,C123*E123*G123,IF(H123,C123*E123*H123,C123*E123))))))),2)</f>
        <v>2.8</v>
      </c>
      <c r="J123" s="195" t="s">
        <v>102</v>
      </c>
      <c r="K123" s="147"/>
      <c r="L123" s="210"/>
      <c r="M123" s="147"/>
    </row>
    <row r="124" spans="1:13" s="148" customFormat="1" ht="16.5" hidden="1" customHeight="1">
      <c r="A124" s="110"/>
      <c r="B124" s="147" t="s">
        <v>1330</v>
      </c>
      <c r="C124" s="183"/>
      <c r="D124" s="205"/>
      <c r="E124" s="156"/>
      <c r="F124" s="157"/>
      <c r="G124" s="157"/>
      <c r="H124" s="157"/>
      <c r="I124" s="206"/>
      <c r="J124" s="195"/>
      <c r="K124" s="147"/>
      <c r="L124" s="210"/>
      <c r="M124" s="147"/>
    </row>
    <row r="125" spans="1:13" s="148" customFormat="1" ht="16.5" hidden="1" customHeight="1">
      <c r="A125" s="110"/>
      <c r="B125" s="147" t="s">
        <v>1029</v>
      </c>
      <c r="C125" s="183">
        <v>1</v>
      </c>
      <c r="D125" s="205" t="s">
        <v>268</v>
      </c>
      <c r="E125" s="156">
        <v>1</v>
      </c>
      <c r="F125" s="157">
        <v>2.7</v>
      </c>
      <c r="G125" s="157">
        <v>1.52</v>
      </c>
      <c r="H125" s="157">
        <v>0</v>
      </c>
      <c r="I125" s="207">
        <f t="shared" ref="I125:I126" si="11">ROUND(IF(AND(F125:H125),C125*E125*F125*G125*H125,IF(AND(F125,G125),C125*E125*F125*G125,IF(AND(F125,H125),C125*E125*F125*H125,IF(AND(G125,H125),C125*E125*G125*H125,IF(F125,C125*E125*F125,IF(G125,C125*E125*G125,IF(H125,C125*E125*H125,C125*E125))))))),2)</f>
        <v>4.0999999999999996</v>
      </c>
      <c r="J125" s="195" t="s">
        <v>102</v>
      </c>
      <c r="K125" s="147"/>
      <c r="L125" s="210"/>
      <c r="M125" s="147"/>
    </row>
    <row r="126" spans="1:13" s="148" customFormat="1" ht="16.5" hidden="1" customHeight="1">
      <c r="A126" s="110"/>
      <c r="B126" s="147" t="s">
        <v>1030</v>
      </c>
      <c r="C126" s="183">
        <v>1</v>
      </c>
      <c r="D126" s="205" t="s">
        <v>268</v>
      </c>
      <c r="E126" s="156">
        <v>1</v>
      </c>
      <c r="F126" s="157">
        <v>1.4</v>
      </c>
      <c r="G126" s="157">
        <v>1.4</v>
      </c>
      <c r="H126" s="157">
        <v>0</v>
      </c>
      <c r="I126" s="207">
        <f t="shared" si="11"/>
        <v>1.96</v>
      </c>
      <c r="J126" s="195" t="s">
        <v>102</v>
      </c>
      <c r="K126" s="147"/>
      <c r="L126" s="210"/>
      <c r="M126" s="147"/>
    </row>
    <row r="127" spans="1:13" s="148" customFormat="1" ht="16.5" hidden="1" customHeight="1">
      <c r="A127" s="110"/>
      <c r="B127" s="149"/>
      <c r="C127" s="150"/>
      <c r="D127" s="151"/>
      <c r="E127" s="152"/>
      <c r="F127" s="153"/>
      <c r="G127" s="153"/>
      <c r="H127" s="153"/>
      <c r="I127" s="185"/>
      <c r="J127" s="195"/>
      <c r="K127" s="147"/>
      <c r="L127" s="210"/>
      <c r="M127" s="147"/>
    </row>
    <row r="128" spans="1:13" hidden="1">
      <c r="A128" s="110"/>
      <c r="B128" s="147"/>
      <c r="C128" s="154"/>
      <c r="D128" s="155"/>
      <c r="E128" s="156"/>
      <c r="F128" s="157"/>
      <c r="G128" s="158"/>
      <c r="H128" s="110"/>
      <c r="I128" s="185"/>
      <c r="J128" s="195" t="s">
        <v>102</v>
      </c>
      <c r="K128" s="12">
        <f>'DATA 2025-26'!E274</f>
        <v>449.76</v>
      </c>
      <c r="L128" s="210" t="s">
        <v>270</v>
      </c>
      <c r="M128" s="11">
        <f>ROUND(I128*K128,0)</f>
        <v>0</v>
      </c>
    </row>
    <row r="129" spans="1:13" s="763" customFormat="1" ht="98.25" customHeight="1">
      <c r="A129" s="757">
        <v>11</v>
      </c>
      <c r="B129" s="965" t="s">
        <v>2201</v>
      </c>
      <c r="C129" s="965"/>
      <c r="D129" s="965"/>
      <c r="E129" s="965"/>
      <c r="F129" s="965"/>
      <c r="G129" s="965"/>
      <c r="H129" s="965"/>
      <c r="I129" s="759"/>
      <c r="J129" s="760"/>
      <c r="K129" s="757"/>
      <c r="L129" s="761"/>
      <c r="M129" s="762"/>
    </row>
    <row r="130" spans="1:13" s="771" customFormat="1" ht="16.5" customHeight="1">
      <c r="A130" s="757"/>
      <c r="B130" s="772" t="s">
        <v>2292</v>
      </c>
      <c r="C130" s="765">
        <v>1</v>
      </c>
      <c r="D130" s="766" t="s">
        <v>268</v>
      </c>
      <c r="E130" s="767">
        <v>1</v>
      </c>
      <c r="F130" s="768">
        <v>32.299999999999997</v>
      </c>
      <c r="G130" s="768">
        <v>0.23</v>
      </c>
      <c r="H130" s="781">
        <v>0.15</v>
      </c>
      <c r="I130" s="769">
        <f>ROUND(IF(AND(F130:H130),C130*E130*F130*G130*H130,IF(AND(F130,G130),C130*E130*F130*G130,IF(AND(F130,H130),C130*E130*F130*H130,IF(AND(G130,H130),C130*E130*G130*H130,IF(F130,C130*E130*F130,IF(G130,C130*E130*G130,IF(H130,C130*E130*H130,C130*E130))))))),2)</f>
        <v>1.1100000000000001</v>
      </c>
      <c r="J130" s="770" t="s">
        <v>5</v>
      </c>
      <c r="K130" s="764"/>
      <c r="L130" s="757"/>
      <c r="M130" s="764"/>
    </row>
    <row r="131" spans="1:13" s="771" customFormat="1" ht="16.5" customHeight="1">
      <c r="A131" s="757"/>
      <c r="B131" s="773"/>
      <c r="C131" s="774"/>
      <c r="D131" s="775"/>
      <c r="E131" s="776"/>
      <c r="F131" s="781"/>
      <c r="G131" s="781"/>
      <c r="H131" s="781"/>
      <c r="I131" s="769"/>
      <c r="J131" s="783"/>
      <c r="K131" s="764"/>
      <c r="L131" s="761"/>
      <c r="M131" s="764"/>
    </row>
    <row r="132" spans="1:13" s="763" customFormat="1">
      <c r="A132" s="757"/>
      <c r="B132" s="764"/>
      <c r="C132" s="779"/>
      <c r="D132" s="780"/>
      <c r="E132" s="767"/>
      <c r="F132" s="781"/>
      <c r="G132" s="782"/>
      <c r="H132" s="757"/>
      <c r="I132" s="769">
        <f>SUM(I130:I131)</f>
        <v>1.1100000000000001</v>
      </c>
      <c r="J132" s="783" t="s">
        <v>5</v>
      </c>
      <c r="K132" s="768">
        <f>'DATA 2025-26'!E173</f>
        <v>12842.84</v>
      </c>
      <c r="L132" s="761" t="s">
        <v>269</v>
      </c>
      <c r="M132" s="784">
        <f>ROUND(I132*K132,0)</f>
        <v>14256</v>
      </c>
    </row>
    <row r="133" spans="1:13" s="763" customFormat="1" ht="17.25" customHeight="1">
      <c r="A133" s="757">
        <v>12</v>
      </c>
      <c r="B133" s="965" t="s">
        <v>636</v>
      </c>
      <c r="C133" s="965"/>
      <c r="D133" s="965"/>
      <c r="E133" s="965"/>
      <c r="F133" s="965"/>
      <c r="G133" s="965"/>
      <c r="H133" s="965"/>
      <c r="I133" s="759"/>
      <c r="J133" s="760"/>
      <c r="K133" s="757"/>
      <c r="L133" s="761"/>
      <c r="M133" s="762"/>
    </row>
    <row r="134" spans="1:13" s="771" customFormat="1" ht="16.5" customHeight="1">
      <c r="A134" s="757"/>
      <c r="B134" s="772"/>
      <c r="C134" s="765">
        <v>1</v>
      </c>
      <c r="D134" s="766" t="s">
        <v>268</v>
      </c>
      <c r="E134" s="767">
        <v>4</v>
      </c>
      <c r="F134" s="768">
        <v>1.8</v>
      </c>
      <c r="G134" s="768">
        <v>0</v>
      </c>
      <c r="H134" s="768">
        <v>0</v>
      </c>
      <c r="I134" s="769">
        <f>ROUND(IF(AND(F134:H134),C134*E134*F134*G134*H134,IF(AND(F134,G134),C134*E134*F134*G134,IF(AND(F134,H134),C134*E134*F134*H134,IF(AND(G134,H134),C134*E134*G134*H134,IF(F134,C134*E134*F134,IF(G134,C134*E134*G134,IF(H134,C134*E134*H134,C134*E134))))))),2)</f>
        <v>7.2</v>
      </c>
      <c r="J134" s="770" t="s">
        <v>274</v>
      </c>
      <c r="K134" s="764"/>
      <c r="L134" s="757"/>
      <c r="M134" s="764"/>
    </row>
    <row r="135" spans="1:13" s="771" customFormat="1" ht="16.5" customHeight="1">
      <c r="A135" s="757"/>
      <c r="B135" s="772"/>
      <c r="C135" s="765">
        <v>1</v>
      </c>
      <c r="D135" s="766" t="s">
        <v>268</v>
      </c>
      <c r="E135" s="767">
        <v>4</v>
      </c>
      <c r="F135" s="768">
        <v>1.2</v>
      </c>
      <c r="G135" s="768">
        <v>0</v>
      </c>
      <c r="H135" s="768">
        <v>0</v>
      </c>
      <c r="I135" s="769">
        <f>ROUND(IF(AND(F135:H135),C135*E135*F135*G135*H135,IF(AND(F135,G135),C135*E135*F135*G135,IF(AND(F135,H135),C135*E135*F135*H135,IF(AND(G135,H135),C135*E135*G135*H135,IF(F135,C135*E135*F135,IF(G135,C135*E135*G135,IF(H135,C135*E135*H135,C135*E135))))))),2)</f>
        <v>4.8</v>
      </c>
      <c r="J135" s="770" t="s">
        <v>274</v>
      </c>
      <c r="K135" s="764"/>
      <c r="L135" s="757"/>
      <c r="M135" s="764"/>
    </row>
    <row r="136" spans="1:13" s="771" customFormat="1" ht="16.5" customHeight="1">
      <c r="A136" s="757"/>
      <c r="B136" s="772"/>
      <c r="C136" s="765"/>
      <c r="D136" s="766"/>
      <c r="E136" s="767"/>
      <c r="F136" s="768"/>
      <c r="G136" s="768"/>
      <c r="H136" s="768"/>
      <c r="I136" s="769"/>
      <c r="J136" s="770"/>
      <c r="K136" s="764"/>
      <c r="L136" s="761"/>
      <c r="M136" s="764"/>
    </row>
    <row r="137" spans="1:13" s="763" customFormat="1">
      <c r="A137" s="757"/>
      <c r="B137" s="764"/>
      <c r="C137" s="779"/>
      <c r="D137" s="780"/>
      <c r="E137" s="767"/>
      <c r="F137" s="781"/>
      <c r="G137" s="782"/>
      <c r="H137" s="757"/>
      <c r="I137" s="769">
        <f>SUM(I134:I136)</f>
        <v>12</v>
      </c>
      <c r="J137" s="783" t="s">
        <v>274</v>
      </c>
      <c r="K137" s="768">
        <f>'DATA 2025-26'!E244</f>
        <v>838.22</v>
      </c>
      <c r="L137" s="761" t="s">
        <v>276</v>
      </c>
      <c r="M137" s="784">
        <f>ROUND(I137*K137,0)</f>
        <v>10059</v>
      </c>
    </row>
    <row r="138" spans="1:13" s="763" customFormat="1" ht="64.5" customHeight="1">
      <c r="A138" s="757">
        <v>13</v>
      </c>
      <c r="B138" s="965" t="s">
        <v>144</v>
      </c>
      <c r="C138" s="965"/>
      <c r="D138" s="965"/>
      <c r="E138" s="965"/>
      <c r="F138" s="965"/>
      <c r="G138" s="965"/>
      <c r="H138" s="965"/>
      <c r="I138" s="759"/>
      <c r="J138" s="760"/>
      <c r="K138" s="757"/>
      <c r="L138" s="761"/>
      <c r="M138" s="762"/>
    </row>
    <row r="139" spans="1:13" s="771" customFormat="1" ht="16.5" customHeight="1">
      <c r="A139" s="757"/>
      <c r="B139" s="764"/>
      <c r="C139" s="765">
        <v>1</v>
      </c>
      <c r="D139" s="766" t="s">
        <v>268</v>
      </c>
      <c r="E139" s="767">
        <v>1</v>
      </c>
      <c r="F139" s="768">
        <v>6.54</v>
      </c>
      <c r="G139" s="768">
        <v>10.74</v>
      </c>
      <c r="H139" s="768">
        <v>0</v>
      </c>
      <c r="I139" s="769">
        <f>ROUND(IF(AND(F139:H139),C139*E139*F139*G139*H139,IF(AND(F139,G139),C139*E139*F139*G139,IF(AND(F139,H139),C139*E139*F139*H139,IF(AND(G139,H139),C139*E139*G139*H139,IF(F139,C139*E139*F139,IF(G139,C139*E139*G139,IF(H139,C139*E139*H139,C139*E139))))))),2)</f>
        <v>70.239999999999995</v>
      </c>
      <c r="J139" s="770" t="s">
        <v>102</v>
      </c>
      <c r="K139" s="764"/>
      <c r="L139" s="761"/>
      <c r="M139" s="764"/>
    </row>
    <row r="140" spans="1:13" s="771" customFormat="1" ht="16.5" customHeight="1">
      <c r="A140" s="757"/>
      <c r="B140" s="764" t="s">
        <v>2294</v>
      </c>
      <c r="C140" s="765">
        <v>1</v>
      </c>
      <c r="D140" s="766" t="s">
        <v>268</v>
      </c>
      <c r="E140" s="767">
        <v>1</v>
      </c>
      <c r="F140" s="768">
        <v>6.54</v>
      </c>
      <c r="G140" s="768">
        <v>0.9</v>
      </c>
      <c r="H140" s="768">
        <v>0</v>
      </c>
      <c r="I140" s="769">
        <f>ROUND(IF(AND(F140:H140),C140*E140*F140*G140*H140,IF(AND(F140,G140),C140*E140*F140*G140,IF(AND(F140,H140),C140*E140*F140*H140,IF(AND(G140,H140),C140*E140*G140*H140,IF(F140,C140*E140*F140,IF(G140,C140*E140*G140,IF(H140,C140*E140*H140,C140*E140))))))),2)</f>
        <v>5.89</v>
      </c>
      <c r="J140" s="770" t="s">
        <v>102</v>
      </c>
      <c r="K140" s="764"/>
      <c r="L140" s="761"/>
      <c r="M140" s="764"/>
    </row>
    <row r="141" spans="1:13" s="771" customFormat="1" ht="16.5" customHeight="1">
      <c r="A141" s="757"/>
      <c r="B141" s="773"/>
      <c r="C141" s="765"/>
      <c r="D141" s="766"/>
      <c r="E141" s="767"/>
      <c r="F141" s="768"/>
      <c r="G141" s="768"/>
      <c r="H141" s="768"/>
      <c r="I141" s="769"/>
      <c r="J141" s="770"/>
      <c r="K141" s="764"/>
      <c r="L141" s="761"/>
      <c r="M141" s="764"/>
    </row>
    <row r="142" spans="1:13" s="763" customFormat="1">
      <c r="A142" s="757"/>
      <c r="B142" s="764"/>
      <c r="C142" s="779"/>
      <c r="D142" s="780"/>
      <c r="E142" s="767"/>
      <c r="F142" s="781"/>
      <c r="G142" s="782"/>
      <c r="H142" s="757"/>
      <c r="I142" s="769">
        <f>SUM(I139:I141)</f>
        <v>76.13</v>
      </c>
      <c r="J142" s="783" t="s">
        <v>102</v>
      </c>
      <c r="K142" s="768">
        <f>'DATA 2025-26'!E611</f>
        <v>390.11</v>
      </c>
      <c r="L142" s="761" t="s">
        <v>270</v>
      </c>
      <c r="M142" s="784">
        <f>ROUND(I142*K142,0)</f>
        <v>29699</v>
      </c>
    </row>
    <row r="143" spans="1:13" ht="64.5" hidden="1" customHeight="1">
      <c r="A143" s="110">
        <v>14</v>
      </c>
      <c r="B143" s="964" t="s">
        <v>1114</v>
      </c>
      <c r="C143" s="964"/>
      <c r="D143" s="964"/>
      <c r="E143" s="964"/>
      <c r="F143" s="964"/>
      <c r="G143" s="964"/>
      <c r="H143" s="964"/>
      <c r="I143" s="183"/>
      <c r="J143" s="186"/>
      <c r="K143" s="110"/>
      <c r="L143" s="210"/>
      <c r="M143" s="139"/>
    </row>
    <row r="144" spans="1:13" s="148" customFormat="1" ht="16.5" hidden="1" customHeight="1">
      <c r="A144" s="110"/>
      <c r="B144" s="147" t="s">
        <v>1257</v>
      </c>
      <c r="C144" s="183"/>
      <c r="D144" s="205"/>
      <c r="E144" s="156"/>
      <c r="F144" s="157"/>
      <c r="G144" s="157"/>
      <c r="H144" s="157"/>
      <c r="I144" s="206"/>
      <c r="J144" s="195"/>
      <c r="K144" s="147"/>
      <c r="L144" s="210"/>
      <c r="M144" s="147"/>
    </row>
    <row r="145" spans="1:13" s="148" customFormat="1" ht="16.5" hidden="1" customHeight="1">
      <c r="A145" s="110"/>
      <c r="B145" s="147"/>
      <c r="C145" s="183">
        <v>1</v>
      </c>
      <c r="D145" s="205" t="s">
        <v>268</v>
      </c>
      <c r="E145" s="156">
        <v>1</v>
      </c>
      <c r="F145" s="157">
        <v>10.45</v>
      </c>
      <c r="G145" s="157">
        <v>12</v>
      </c>
      <c r="H145" s="157">
        <v>0</v>
      </c>
      <c r="I145" s="207">
        <f t="shared" ref="I145:I146" si="12">ROUND(IF(AND(F145:H145),C145*E145*F145*G145*H145,IF(AND(F145,G145),C145*E145*F145*G145,IF(AND(F145,H145),C145*E145*F145*H145,IF(AND(G145,H145),C145*E145*G145*H145,IF(F145,C145*E145*F145,IF(G145,C145*E145*G145,IF(H145,C145*E145*H145,C145*E145))))))),2)</f>
        <v>125.4</v>
      </c>
      <c r="J145" s="195" t="s">
        <v>102</v>
      </c>
      <c r="K145" s="147"/>
      <c r="L145" s="210"/>
      <c r="M145" s="147"/>
    </row>
    <row r="146" spans="1:13" s="148" customFormat="1" ht="16.5" hidden="1" customHeight="1">
      <c r="A146" s="110"/>
      <c r="B146" s="147"/>
      <c r="C146" s="183">
        <v>1</v>
      </c>
      <c r="D146" s="205" t="s">
        <v>268</v>
      </c>
      <c r="E146" s="156">
        <v>1</v>
      </c>
      <c r="F146" s="157">
        <v>3.52</v>
      </c>
      <c r="G146" s="157">
        <v>0.9</v>
      </c>
      <c r="H146" s="157">
        <v>0</v>
      </c>
      <c r="I146" s="207">
        <f t="shared" si="12"/>
        <v>3.17</v>
      </c>
      <c r="J146" s="195" t="s">
        <v>102</v>
      </c>
      <c r="K146" s="147"/>
      <c r="L146" s="210"/>
      <c r="M146" s="147"/>
    </row>
    <row r="147" spans="1:13" s="148" customFormat="1" ht="16.5" hidden="1" customHeight="1">
      <c r="A147" s="110"/>
      <c r="B147" s="149"/>
      <c r="C147" s="150"/>
      <c r="D147" s="151"/>
      <c r="E147" s="152"/>
      <c r="F147" s="153"/>
      <c r="G147" s="153"/>
      <c r="H147" s="153"/>
      <c r="I147" s="185"/>
      <c r="J147" s="195"/>
      <c r="K147" s="147"/>
      <c r="L147" s="210"/>
      <c r="M147" s="147"/>
    </row>
    <row r="148" spans="1:13" hidden="1">
      <c r="A148" s="110"/>
      <c r="B148" s="147"/>
      <c r="C148" s="154"/>
      <c r="D148" s="155"/>
      <c r="E148" s="156"/>
      <c r="F148" s="157"/>
      <c r="G148" s="158"/>
      <c r="H148" s="110"/>
      <c r="I148" s="185"/>
      <c r="J148" s="195" t="s">
        <v>102</v>
      </c>
      <c r="K148" s="12">
        <f>'DATA 2025-26'!E626</f>
        <v>445.9</v>
      </c>
      <c r="L148" s="210" t="s">
        <v>270</v>
      </c>
      <c r="M148" s="11">
        <f>ROUND(I148*K148,0)</f>
        <v>0</v>
      </c>
    </row>
    <row r="149" spans="1:13" s="763" customFormat="1" ht="44.25" customHeight="1">
      <c r="A149" s="757">
        <v>14</v>
      </c>
      <c r="B149" s="965" t="s">
        <v>963</v>
      </c>
      <c r="C149" s="965"/>
      <c r="D149" s="965"/>
      <c r="E149" s="965"/>
      <c r="F149" s="965"/>
      <c r="G149" s="965"/>
      <c r="H149" s="965"/>
      <c r="I149" s="759"/>
      <c r="J149" s="760"/>
      <c r="K149" s="757"/>
      <c r="L149" s="761"/>
      <c r="M149" s="762"/>
    </row>
    <row r="150" spans="1:13" s="771" customFormat="1" ht="16.5" customHeight="1">
      <c r="A150" s="757"/>
      <c r="B150" s="764" t="s">
        <v>2279</v>
      </c>
      <c r="C150" s="765">
        <v>1</v>
      </c>
      <c r="D150" s="766" t="s">
        <v>268</v>
      </c>
      <c r="E150" s="767">
        <v>1</v>
      </c>
      <c r="F150" s="768">
        <v>31.86</v>
      </c>
      <c r="G150" s="768">
        <v>0.45</v>
      </c>
      <c r="H150" s="768">
        <v>0.9</v>
      </c>
      <c r="I150" s="769">
        <f>ROUND(IF(AND(F150:H150),C150*E150*F150*G150*H150,IF(AND(F150,G150),C150*E150*F150*G150,IF(AND(F150,H150),C150*E150*F150*H150,IF(AND(G150,H150),C150*E150*G150*H150,IF(F150,C150*E150*F150,IF(G150,C150*E150*G150,IF(H150,C150*E150*H150,C150*E150))))))),2)</f>
        <v>12.9</v>
      </c>
      <c r="J150" s="770" t="s">
        <v>5</v>
      </c>
      <c r="K150" s="764"/>
      <c r="L150" s="761"/>
      <c r="M150" s="764"/>
    </row>
    <row r="151" spans="1:13" s="771" customFormat="1" ht="16.5" customHeight="1">
      <c r="A151" s="757"/>
      <c r="B151" s="764" t="s">
        <v>2284</v>
      </c>
      <c r="C151" s="765">
        <v>1</v>
      </c>
      <c r="D151" s="766" t="s">
        <v>268</v>
      </c>
      <c r="E151" s="767">
        <v>1</v>
      </c>
      <c r="F151" s="768">
        <v>7.74</v>
      </c>
      <c r="G151" s="768">
        <v>0.45</v>
      </c>
      <c r="H151" s="768">
        <v>0.6</v>
      </c>
      <c r="I151" s="769">
        <f>ROUND(IF(AND(F151:H151),C151*E151*F151*G151*H151,IF(AND(F151,G151),C151*E151*F151*G151,IF(AND(F151,H151),C151*E151*F151*H151,IF(AND(G151,H151),C151*E151*G151*H151,IF(F151,C151*E151*F151,IF(G151,C151*E151*G151,IF(H151,C151*E151*H151,C151*E151))))))),2)</f>
        <v>2.09</v>
      </c>
      <c r="J151" s="770" t="s">
        <v>5</v>
      </c>
      <c r="K151" s="764"/>
      <c r="L151" s="761"/>
      <c r="M151" s="764"/>
    </row>
    <row r="152" spans="1:13" s="771" customFormat="1" ht="16.5" customHeight="1">
      <c r="A152" s="757"/>
      <c r="B152" s="773"/>
      <c r="C152" s="774"/>
      <c r="D152" s="775"/>
      <c r="E152" s="776"/>
      <c r="F152" s="777"/>
      <c r="G152" s="777"/>
      <c r="H152" s="777"/>
      <c r="I152" s="769"/>
      <c r="J152" s="783"/>
      <c r="K152" s="764"/>
      <c r="L152" s="761"/>
      <c r="M152" s="764"/>
    </row>
    <row r="153" spans="1:13" s="763" customFormat="1">
      <c r="A153" s="757"/>
      <c r="B153" s="764"/>
      <c r="C153" s="779"/>
      <c r="D153" s="780"/>
      <c r="E153" s="767"/>
      <c r="F153" s="781"/>
      <c r="G153" s="782"/>
      <c r="H153" s="757"/>
      <c r="I153" s="769">
        <f>SUM(I150:I152)</f>
        <v>14.99</v>
      </c>
      <c r="J153" s="783" t="s">
        <v>5</v>
      </c>
      <c r="K153" s="768">
        <f>'DATA 2025-26'!G395</f>
        <v>3777.32</v>
      </c>
      <c r="L153" s="761" t="s">
        <v>269</v>
      </c>
      <c r="M153" s="784">
        <f>ROUND(I153*K153,0)</f>
        <v>56622</v>
      </c>
    </row>
    <row r="154" spans="1:13" s="763" customFormat="1" ht="69.75" customHeight="1">
      <c r="A154" s="757">
        <v>15</v>
      </c>
      <c r="B154" s="965" t="s">
        <v>301</v>
      </c>
      <c r="C154" s="965"/>
      <c r="D154" s="965"/>
      <c r="E154" s="965"/>
      <c r="F154" s="965"/>
      <c r="G154" s="965"/>
      <c r="H154" s="965"/>
      <c r="I154" s="759"/>
      <c r="J154" s="760"/>
      <c r="K154" s="757"/>
      <c r="L154" s="761"/>
      <c r="M154" s="762"/>
    </row>
    <row r="155" spans="1:13" s="771" customFormat="1" ht="16.5" customHeight="1">
      <c r="A155" s="757"/>
      <c r="B155" s="764" t="s">
        <v>575</v>
      </c>
      <c r="C155" s="765">
        <v>1</v>
      </c>
      <c r="D155" s="766" t="s">
        <v>268</v>
      </c>
      <c r="E155" s="767">
        <v>1</v>
      </c>
      <c r="F155" s="768">
        <v>32.299999999999997</v>
      </c>
      <c r="G155" s="768">
        <v>0.23</v>
      </c>
      <c r="H155" s="768">
        <v>3.35</v>
      </c>
      <c r="I155" s="769">
        <f>ROUND(IF(AND(F155:H155),C155*E155*F155*G155*H155,IF(AND(F155,G155),C155*E155*F155*G155,IF(AND(F155,H155),C155*E155*F155*H155,IF(AND(G155,H155),C155*E155*G155*H155,IF(F155,C155*E155*F155,IF(G155,C155*E155*G155,IF(H155,C155*E155*H155,C155*E155))))))),2)</f>
        <v>24.89</v>
      </c>
      <c r="J155" s="770" t="s">
        <v>5</v>
      </c>
      <c r="K155" s="764"/>
      <c r="L155" s="757"/>
      <c r="M155" s="764"/>
    </row>
    <row r="156" spans="1:13" s="771" customFormat="1" ht="16.5" customHeight="1">
      <c r="A156" s="757"/>
      <c r="B156" s="764" t="s">
        <v>279</v>
      </c>
      <c r="C156" s="765">
        <v>1</v>
      </c>
      <c r="D156" s="766" t="s">
        <v>268</v>
      </c>
      <c r="E156" s="767">
        <v>8</v>
      </c>
      <c r="F156" s="768">
        <v>0.23</v>
      </c>
      <c r="G156" s="768">
        <v>0.23</v>
      </c>
      <c r="H156" s="768">
        <v>3.35</v>
      </c>
      <c r="I156" s="769">
        <f t="shared" ref="I156:I161" si="13">-ROUND(IF(AND(F156:H156),C156*E156*F156*G156*H156,IF(AND(F156,G156),C156*E156*F156*G156,IF(AND(F156,H156),C156*E156*F156*H156,IF(AND(G156,H156),C156*E156*G156*H156,IF(F156,C156*E156*F156,IF(G156,C156*E156*G156,IF(H156,C156*E156*H156,C156*E156))))))),2)</f>
        <v>-1.42</v>
      </c>
      <c r="J156" s="770" t="s">
        <v>5</v>
      </c>
      <c r="K156" s="764"/>
      <c r="L156" s="757"/>
      <c r="M156" s="764"/>
    </row>
    <row r="157" spans="1:13" s="771" customFormat="1" ht="16.5" customHeight="1">
      <c r="A157" s="757"/>
      <c r="B157" s="764" t="s">
        <v>578</v>
      </c>
      <c r="C157" s="765">
        <v>1</v>
      </c>
      <c r="D157" s="766" t="s">
        <v>268</v>
      </c>
      <c r="E157" s="767">
        <v>1</v>
      </c>
      <c r="F157" s="768">
        <v>1.2</v>
      </c>
      <c r="G157" s="768">
        <v>0.23</v>
      </c>
      <c r="H157" s="768">
        <v>2.1</v>
      </c>
      <c r="I157" s="769">
        <f t="shared" si="13"/>
        <v>-0.57999999999999996</v>
      </c>
      <c r="J157" s="770" t="s">
        <v>5</v>
      </c>
      <c r="K157" s="764"/>
      <c r="L157" s="757"/>
      <c r="M157" s="764"/>
    </row>
    <row r="158" spans="1:13" s="771" customFormat="1" ht="16.5" customHeight="1">
      <c r="A158" s="757"/>
      <c r="B158" s="764" t="s">
        <v>578</v>
      </c>
      <c r="C158" s="765">
        <v>1</v>
      </c>
      <c r="D158" s="766" t="s">
        <v>268</v>
      </c>
      <c r="E158" s="767">
        <v>2</v>
      </c>
      <c r="F158" s="768">
        <v>0.9</v>
      </c>
      <c r="G158" s="768">
        <v>0.23</v>
      </c>
      <c r="H158" s="768">
        <v>2.1</v>
      </c>
      <c r="I158" s="769">
        <f t="shared" si="13"/>
        <v>-0.87</v>
      </c>
      <c r="J158" s="770" t="s">
        <v>5</v>
      </c>
      <c r="K158" s="764"/>
      <c r="L158" s="757"/>
      <c r="M158" s="764"/>
    </row>
    <row r="159" spans="1:13" s="771" customFormat="1" ht="16.5" customHeight="1">
      <c r="A159" s="757"/>
      <c r="B159" s="764" t="s">
        <v>2181</v>
      </c>
      <c r="C159" s="765">
        <v>1</v>
      </c>
      <c r="D159" s="766" t="s">
        <v>268</v>
      </c>
      <c r="E159" s="767">
        <v>4</v>
      </c>
      <c r="F159" s="768">
        <v>1.5</v>
      </c>
      <c r="G159" s="768">
        <v>0.23</v>
      </c>
      <c r="H159" s="768">
        <v>1.35</v>
      </c>
      <c r="I159" s="769">
        <f t="shared" si="13"/>
        <v>-1.86</v>
      </c>
      <c r="J159" s="770" t="s">
        <v>5</v>
      </c>
      <c r="K159" s="764"/>
      <c r="L159" s="757"/>
      <c r="M159" s="764"/>
    </row>
    <row r="160" spans="1:13" s="771" customFormat="1" ht="16.5" customHeight="1">
      <c r="A160" s="757"/>
      <c r="B160" s="764" t="s">
        <v>2181</v>
      </c>
      <c r="C160" s="765">
        <v>1</v>
      </c>
      <c r="D160" s="766" t="s">
        <v>268</v>
      </c>
      <c r="E160" s="767">
        <v>4</v>
      </c>
      <c r="F160" s="768">
        <v>0.9</v>
      </c>
      <c r="G160" s="768">
        <v>0.23</v>
      </c>
      <c r="H160" s="768">
        <v>1.35</v>
      </c>
      <c r="I160" s="769">
        <f t="shared" si="13"/>
        <v>-1.1200000000000001</v>
      </c>
      <c r="J160" s="770" t="s">
        <v>5</v>
      </c>
      <c r="K160" s="764"/>
      <c r="L160" s="757"/>
      <c r="M160" s="764"/>
    </row>
    <row r="161" spans="1:13" s="771" customFormat="1" ht="16.5" customHeight="1">
      <c r="A161" s="757"/>
      <c r="B161" s="764" t="s">
        <v>2273</v>
      </c>
      <c r="C161" s="765">
        <v>1</v>
      </c>
      <c r="D161" s="766" t="s">
        <v>268</v>
      </c>
      <c r="E161" s="767">
        <v>1</v>
      </c>
      <c r="F161" s="768">
        <v>32.94</v>
      </c>
      <c r="G161" s="768">
        <v>0.23</v>
      </c>
      <c r="H161" s="768">
        <v>0.15</v>
      </c>
      <c r="I161" s="769">
        <f t="shared" si="13"/>
        <v>-1.1399999999999999</v>
      </c>
      <c r="J161" s="770" t="s">
        <v>5</v>
      </c>
      <c r="K161" s="764"/>
      <c r="L161" s="757"/>
      <c r="M161" s="764"/>
    </row>
    <row r="162" spans="1:13" s="771" customFormat="1" ht="16.5" customHeight="1">
      <c r="A162" s="757"/>
      <c r="B162" s="764" t="s">
        <v>2314</v>
      </c>
      <c r="C162" s="765">
        <v>1</v>
      </c>
      <c r="D162" s="766" t="s">
        <v>268</v>
      </c>
      <c r="E162" s="767">
        <v>1</v>
      </c>
      <c r="F162" s="768">
        <v>5.49</v>
      </c>
      <c r="G162" s="768">
        <v>0.23</v>
      </c>
      <c r="H162" s="768">
        <v>0.75</v>
      </c>
      <c r="I162" s="769">
        <f t="shared" ref="I162:I171" si="14">ROUND(IF(AND(F162:H162),C162*E162*F162*G162*H162,IF(AND(F162,G162),C162*E162*F162*G162,IF(AND(F162,H162),C162*E162*F162*H162,IF(AND(G162,H162),C162*E162*G162*H162,IF(F162,C162*E162*F162,IF(G162,C162*E162*G162,IF(H162,C162*E162*H162,C162*E162))))))),2)</f>
        <v>0.95</v>
      </c>
      <c r="J162" s="770" t="s">
        <v>5</v>
      </c>
      <c r="K162" s="764"/>
      <c r="L162" s="757"/>
      <c r="M162" s="764"/>
    </row>
    <row r="163" spans="1:13" s="771" customFormat="1" ht="16.5" customHeight="1">
      <c r="A163" s="757"/>
      <c r="B163" s="764" t="s">
        <v>2316</v>
      </c>
      <c r="C163" s="765">
        <v>2</v>
      </c>
      <c r="D163" s="766" t="s">
        <v>268</v>
      </c>
      <c r="E163" s="767">
        <v>1</v>
      </c>
      <c r="F163" s="768">
        <v>0.6</v>
      </c>
      <c r="G163" s="768">
        <v>0.6</v>
      </c>
      <c r="H163" s="768">
        <v>0.15</v>
      </c>
      <c r="I163" s="769">
        <f t="shared" si="14"/>
        <v>0.11</v>
      </c>
      <c r="J163" s="770" t="s">
        <v>5</v>
      </c>
      <c r="K163" s="764"/>
      <c r="L163" s="757"/>
      <c r="M163" s="764"/>
    </row>
    <row r="164" spans="1:13" s="771" customFormat="1" ht="16.5" customHeight="1">
      <c r="A164" s="757"/>
      <c r="B164" s="764" t="s">
        <v>2317</v>
      </c>
      <c r="C164" s="765">
        <v>2</v>
      </c>
      <c r="D164" s="766" t="s">
        <v>268</v>
      </c>
      <c r="E164" s="767">
        <v>1</v>
      </c>
      <c r="F164" s="768">
        <v>0.6</v>
      </c>
      <c r="G164" s="768">
        <v>0.45</v>
      </c>
      <c r="H164" s="768">
        <v>0.15</v>
      </c>
      <c r="I164" s="769">
        <f t="shared" si="14"/>
        <v>0.08</v>
      </c>
      <c r="J164" s="770" t="s">
        <v>5</v>
      </c>
      <c r="K164" s="764"/>
      <c r="L164" s="757"/>
      <c r="M164" s="764"/>
    </row>
    <row r="165" spans="1:13" s="771" customFormat="1" ht="16.5" customHeight="1">
      <c r="A165" s="757"/>
      <c r="B165" s="764" t="s">
        <v>2318</v>
      </c>
      <c r="C165" s="765">
        <v>2</v>
      </c>
      <c r="D165" s="766" t="s">
        <v>268</v>
      </c>
      <c r="E165" s="767">
        <v>1</v>
      </c>
      <c r="F165" s="768">
        <v>0.6</v>
      </c>
      <c r="G165" s="768">
        <v>0.3</v>
      </c>
      <c r="H165" s="768">
        <v>0.15</v>
      </c>
      <c r="I165" s="769">
        <f t="shared" si="14"/>
        <v>0.05</v>
      </c>
      <c r="J165" s="770" t="s">
        <v>5</v>
      </c>
      <c r="K165" s="764"/>
      <c r="L165" s="757"/>
      <c r="M165" s="764"/>
    </row>
    <row r="166" spans="1:13" s="771" customFormat="1" ht="16.5" customHeight="1">
      <c r="A166" s="757"/>
      <c r="B166" s="764" t="s">
        <v>2319</v>
      </c>
      <c r="C166" s="765">
        <v>2</v>
      </c>
      <c r="D166" s="766" t="s">
        <v>268</v>
      </c>
      <c r="E166" s="767">
        <v>1</v>
      </c>
      <c r="F166" s="768">
        <v>0.6</v>
      </c>
      <c r="G166" s="768">
        <v>0.15</v>
      </c>
      <c r="H166" s="768">
        <v>0.15</v>
      </c>
      <c r="I166" s="769">
        <f t="shared" si="14"/>
        <v>0.03</v>
      </c>
      <c r="J166" s="770" t="s">
        <v>5</v>
      </c>
      <c r="K166" s="764"/>
      <c r="L166" s="757"/>
      <c r="M166" s="764"/>
    </row>
    <row r="167" spans="1:13" s="771" customFormat="1" ht="16.5" customHeight="1">
      <c r="A167" s="757"/>
      <c r="B167" s="764" t="s">
        <v>2320</v>
      </c>
      <c r="C167" s="765">
        <v>1</v>
      </c>
      <c r="D167" s="766" t="s">
        <v>268</v>
      </c>
      <c r="E167" s="767">
        <v>1</v>
      </c>
      <c r="F167" s="768">
        <v>5.94</v>
      </c>
      <c r="G167" s="768">
        <v>0.6</v>
      </c>
      <c r="H167" s="768">
        <v>0.15</v>
      </c>
      <c r="I167" s="769">
        <f t="shared" si="14"/>
        <v>0.53</v>
      </c>
      <c r="J167" s="770" t="s">
        <v>5</v>
      </c>
      <c r="K167" s="764"/>
      <c r="L167" s="757"/>
      <c r="M167" s="764"/>
    </row>
    <row r="168" spans="1:13" s="771" customFormat="1" ht="16.5" customHeight="1">
      <c r="A168" s="757"/>
      <c r="B168" s="764" t="s">
        <v>2321</v>
      </c>
      <c r="C168" s="765">
        <v>1</v>
      </c>
      <c r="D168" s="766" t="s">
        <v>268</v>
      </c>
      <c r="E168" s="767">
        <v>1</v>
      </c>
      <c r="F168" s="768">
        <v>5.94</v>
      </c>
      <c r="G168" s="768">
        <v>0.45</v>
      </c>
      <c r="H168" s="768">
        <v>0.15</v>
      </c>
      <c r="I168" s="769">
        <f t="shared" si="14"/>
        <v>0.4</v>
      </c>
      <c r="J168" s="770" t="s">
        <v>5</v>
      </c>
      <c r="K168" s="764"/>
      <c r="L168" s="757"/>
      <c r="M168" s="764"/>
    </row>
    <row r="169" spans="1:13" s="771" customFormat="1" ht="16.5" customHeight="1">
      <c r="A169" s="757"/>
      <c r="B169" s="764" t="s">
        <v>2322</v>
      </c>
      <c r="C169" s="765">
        <v>1</v>
      </c>
      <c r="D169" s="766" t="s">
        <v>268</v>
      </c>
      <c r="E169" s="767">
        <v>1</v>
      </c>
      <c r="F169" s="768">
        <v>5.94</v>
      </c>
      <c r="G169" s="768">
        <v>0.3</v>
      </c>
      <c r="H169" s="768">
        <v>0.15</v>
      </c>
      <c r="I169" s="769">
        <f t="shared" si="14"/>
        <v>0.27</v>
      </c>
      <c r="J169" s="770" t="s">
        <v>5</v>
      </c>
      <c r="K169" s="764"/>
      <c r="L169" s="757"/>
      <c r="M169" s="764"/>
    </row>
    <row r="170" spans="1:13" s="771" customFormat="1" ht="16.5" customHeight="1">
      <c r="A170" s="757"/>
      <c r="B170" s="764" t="s">
        <v>2323</v>
      </c>
      <c r="C170" s="765">
        <v>1</v>
      </c>
      <c r="D170" s="766" t="s">
        <v>268</v>
      </c>
      <c r="E170" s="767">
        <v>1</v>
      </c>
      <c r="F170" s="768">
        <v>5.94</v>
      </c>
      <c r="G170" s="768">
        <v>0.15</v>
      </c>
      <c r="H170" s="768">
        <v>0.15</v>
      </c>
      <c r="I170" s="769">
        <f t="shared" si="14"/>
        <v>0.13</v>
      </c>
      <c r="J170" s="770" t="s">
        <v>5</v>
      </c>
      <c r="K170" s="764"/>
      <c r="L170" s="757"/>
      <c r="M170" s="764"/>
    </row>
    <row r="171" spans="1:13" s="771" customFormat="1" ht="16.5" customHeight="1">
      <c r="A171" s="757"/>
      <c r="B171" s="764" t="s">
        <v>1260</v>
      </c>
      <c r="C171" s="765">
        <v>1</v>
      </c>
      <c r="D171" s="766" t="s">
        <v>268</v>
      </c>
      <c r="E171" s="767">
        <v>1</v>
      </c>
      <c r="F171" s="768">
        <v>7.74</v>
      </c>
      <c r="G171" s="781">
        <v>0.115</v>
      </c>
      <c r="H171" s="768">
        <v>0.75</v>
      </c>
      <c r="I171" s="769">
        <f t="shared" si="14"/>
        <v>0.67</v>
      </c>
      <c r="J171" s="770" t="s">
        <v>5</v>
      </c>
      <c r="K171" s="764"/>
      <c r="L171" s="757"/>
      <c r="M171" s="764"/>
    </row>
    <row r="172" spans="1:13" s="771" customFormat="1" ht="16.5" customHeight="1">
      <c r="A172" s="757"/>
      <c r="B172" s="773"/>
      <c r="C172" s="774"/>
      <c r="D172" s="775"/>
      <c r="E172" s="776"/>
      <c r="F172" s="777"/>
      <c r="G172" s="777"/>
      <c r="H172" s="777"/>
      <c r="I172" s="769"/>
      <c r="J172" s="783"/>
      <c r="K172" s="764"/>
      <c r="L172" s="761"/>
      <c r="M172" s="764"/>
    </row>
    <row r="173" spans="1:13" s="763" customFormat="1">
      <c r="A173" s="757"/>
      <c r="B173" s="764"/>
      <c r="C173" s="779"/>
      <c r="D173" s="780"/>
      <c r="E173" s="767"/>
      <c r="F173" s="781"/>
      <c r="G173" s="782"/>
      <c r="H173" s="757"/>
      <c r="I173" s="769">
        <f>SUM(I155:I172)</f>
        <v>21.119999999999997</v>
      </c>
      <c r="J173" s="783" t="s">
        <v>5</v>
      </c>
      <c r="K173" s="768">
        <f>'DATA 2025-26'!E430</f>
        <v>8500.9599999999991</v>
      </c>
      <c r="L173" s="761" t="s">
        <v>269</v>
      </c>
      <c r="M173" s="784">
        <f>ROUND(I173*K173,0)</f>
        <v>179540</v>
      </c>
    </row>
    <row r="174" spans="1:13" ht="69.75" hidden="1" customHeight="1">
      <c r="A174" s="110">
        <v>3</v>
      </c>
      <c r="B174" s="964" t="s">
        <v>637</v>
      </c>
      <c r="C174" s="964"/>
      <c r="D174" s="964"/>
      <c r="E174" s="964"/>
      <c r="F174" s="964"/>
      <c r="G174" s="964"/>
      <c r="H174" s="964"/>
      <c r="I174" s="183"/>
      <c r="J174" s="186"/>
      <c r="K174" s="110"/>
      <c r="L174" s="210"/>
      <c r="M174" s="139"/>
    </row>
    <row r="175" spans="1:13" s="148" customFormat="1" ht="16.5" hidden="1" customHeight="1">
      <c r="A175" s="110"/>
      <c r="B175" s="147" t="s">
        <v>2165</v>
      </c>
      <c r="C175" s="183">
        <v>1</v>
      </c>
      <c r="D175" s="205" t="s">
        <v>268</v>
      </c>
      <c r="E175" s="156">
        <v>1</v>
      </c>
      <c r="F175" s="157">
        <v>0.45</v>
      </c>
      <c r="G175" s="157">
        <v>0.115</v>
      </c>
      <c r="H175" s="157">
        <v>0.8</v>
      </c>
      <c r="I175" s="207">
        <f>ROUND(IF(AND(F175:H175),C175*E175*F175*G175*H175,IF(AND(F175,G175),C175*E175*F175*G175,IF(AND(F175,H175),C175*E175*F175*H175,IF(AND(G175,H175),C175*E175*G175*H175,IF(F175,C175*E175*F175,IF(G175,C175*E175*G175,IF(H175,C175*E175*H175,C175*E175))))))),2)</f>
        <v>0.04</v>
      </c>
      <c r="J175" s="195" t="s">
        <v>5</v>
      </c>
      <c r="K175" s="147"/>
      <c r="L175" s="110"/>
      <c r="M175" s="147"/>
    </row>
    <row r="176" spans="1:13" s="148" customFormat="1" ht="16.5" hidden="1" customHeight="1">
      <c r="A176" s="110"/>
      <c r="B176" s="147" t="s">
        <v>2166</v>
      </c>
      <c r="C176" s="183">
        <v>1</v>
      </c>
      <c r="D176" s="205" t="s">
        <v>268</v>
      </c>
      <c r="E176" s="156">
        <v>1</v>
      </c>
      <c r="F176" s="157">
        <v>0.45</v>
      </c>
      <c r="G176" s="157">
        <v>0.115</v>
      </c>
      <c r="H176" s="157">
        <v>0.8</v>
      </c>
      <c r="I176" s="207">
        <f t="shared" ref="I176" si="15">ROUND(IF(AND(F176:H176),C176*E176*F176*G176*H176,IF(AND(F176,G176),C176*E176*F176*G176,IF(AND(F176,H176),C176*E176*F176*H176,IF(AND(G176,H176),C176*E176*G176*H176,IF(F176,C176*E176*F176,IF(G176,C176*E176*G176,IF(H176,C176*E176*H176,C176*E176))))))),2)</f>
        <v>0.04</v>
      </c>
      <c r="J176" s="195" t="s">
        <v>5</v>
      </c>
      <c r="K176" s="147"/>
      <c r="L176" s="110"/>
      <c r="M176" s="147"/>
    </row>
    <row r="177" spans="1:13" s="148" customFormat="1" ht="16.5" hidden="1" customHeight="1">
      <c r="A177" s="110"/>
      <c r="B177" s="149"/>
      <c r="C177" s="150"/>
      <c r="D177" s="151"/>
      <c r="E177" s="152"/>
      <c r="F177" s="153"/>
      <c r="G177" s="153"/>
      <c r="H177" s="153"/>
      <c r="I177" s="185"/>
      <c r="J177" s="195"/>
      <c r="K177" s="147"/>
      <c r="L177" s="210"/>
      <c r="M177" s="147"/>
    </row>
    <row r="178" spans="1:13" hidden="1">
      <c r="A178" s="110"/>
      <c r="B178" s="147"/>
      <c r="C178" s="154"/>
      <c r="D178" s="155"/>
      <c r="E178" s="156"/>
      <c r="F178" s="157"/>
      <c r="G178" s="158"/>
      <c r="H178" s="110"/>
      <c r="I178" s="185"/>
      <c r="J178" s="195" t="s">
        <v>5</v>
      </c>
      <c r="K178" s="12">
        <f>'DATA 2025-26'!E412</f>
        <v>7532.87</v>
      </c>
      <c r="L178" s="210" t="s">
        <v>269</v>
      </c>
      <c r="M178" s="11">
        <f>ROUND(I178*K178,0)</f>
        <v>0</v>
      </c>
    </row>
    <row r="179" spans="1:13" ht="60.75" hidden="1" customHeight="1">
      <c r="A179" s="110">
        <v>18</v>
      </c>
      <c r="B179" s="964" t="s">
        <v>1830</v>
      </c>
      <c r="C179" s="964"/>
      <c r="D179" s="964"/>
      <c r="E179" s="964"/>
      <c r="F179" s="964"/>
      <c r="G179" s="964"/>
      <c r="H179" s="964"/>
      <c r="I179" s="183"/>
      <c r="J179" s="186"/>
      <c r="K179" s="110"/>
      <c r="L179" s="210"/>
      <c r="M179" s="139"/>
    </row>
    <row r="180" spans="1:13" s="148" customFormat="1" ht="16.5" hidden="1" customHeight="1">
      <c r="A180" s="110"/>
      <c r="B180" s="147" t="s">
        <v>1834</v>
      </c>
      <c r="C180" s="183"/>
      <c r="D180" s="205"/>
      <c r="E180" s="156"/>
      <c r="F180" s="157"/>
      <c r="G180" s="157"/>
      <c r="H180" s="157"/>
      <c r="I180" s="206"/>
      <c r="J180" s="195"/>
      <c r="K180" s="147"/>
      <c r="L180" s="110"/>
      <c r="M180" s="147"/>
    </row>
    <row r="181" spans="1:13" s="148" customFormat="1" ht="16.5" hidden="1" customHeight="1">
      <c r="A181" s="110"/>
      <c r="B181" s="147"/>
      <c r="C181" s="183">
        <v>1</v>
      </c>
      <c r="D181" s="205" t="s">
        <v>268</v>
      </c>
      <c r="E181" s="156">
        <v>1</v>
      </c>
      <c r="F181" s="157">
        <v>5.3</v>
      </c>
      <c r="G181" s="157">
        <v>0</v>
      </c>
      <c r="H181" s="157">
        <v>3.1</v>
      </c>
      <c r="I181" s="207">
        <f t="shared" ref="I181" si="16">ROUND(IF(AND(F181:H181),C181*E181*F181*G181*H181,IF(AND(F181,G181),C181*E181*F181*G181,IF(AND(F181,H181),C181*E181*F181*H181,IF(AND(G181,H181),C181*E181*G181*H181,IF(F181,C181*E181*F181,IF(G181,C181*E181*G181,IF(H181,C181*E181*H181,C181*E181))))))),2)</f>
        <v>16.43</v>
      </c>
      <c r="J181" s="195" t="s">
        <v>102</v>
      </c>
      <c r="K181" s="147"/>
      <c r="L181" s="110"/>
      <c r="M181" s="147"/>
    </row>
    <row r="182" spans="1:13" s="148" customFormat="1" ht="16.5" hidden="1" customHeight="1">
      <c r="A182" s="110"/>
      <c r="B182" s="147" t="s">
        <v>578</v>
      </c>
      <c r="C182" s="183">
        <v>1</v>
      </c>
      <c r="D182" s="205" t="s">
        <v>268</v>
      </c>
      <c r="E182" s="156">
        <v>1</v>
      </c>
      <c r="F182" s="157">
        <v>0.38</v>
      </c>
      <c r="G182" s="157">
        <v>0</v>
      </c>
      <c r="H182" s="157">
        <v>3.1</v>
      </c>
      <c r="I182" s="207">
        <f>-ROUND(IF(AND(F182:H182),C182*E182*F182*G182*H182,IF(AND(F182,G182),C182*E182*F182*G182,IF(AND(F182,H182),C182*E182*F182*H182,IF(AND(G182,H182),C182*E182*G182*H182,IF(F182,C182*E182*F182,IF(G182,C182*E182*G182,IF(H182,C182*E182*H182,C182*E182))))))),2)</f>
        <v>-1.18</v>
      </c>
      <c r="J182" s="195" t="s">
        <v>102</v>
      </c>
      <c r="K182" s="147"/>
      <c r="L182" s="110"/>
      <c r="M182" s="147"/>
    </row>
    <row r="183" spans="1:13" s="148" customFormat="1" ht="16.5" hidden="1" customHeight="1">
      <c r="A183" s="110"/>
      <c r="B183" s="147"/>
      <c r="C183" s="183"/>
      <c r="D183" s="205"/>
      <c r="E183" s="156"/>
      <c r="F183" s="157"/>
      <c r="G183" s="157"/>
      <c r="H183" s="157"/>
      <c r="I183" s="207"/>
      <c r="J183" s="195"/>
      <c r="K183" s="147"/>
      <c r="L183" s="210"/>
      <c r="M183" s="147"/>
    </row>
    <row r="184" spans="1:13" hidden="1">
      <c r="A184" s="110"/>
      <c r="B184" s="147"/>
      <c r="C184" s="154"/>
      <c r="D184" s="155"/>
      <c r="E184" s="156"/>
      <c r="F184" s="157"/>
      <c r="G184" s="158"/>
      <c r="H184" s="110"/>
      <c r="I184" s="185"/>
      <c r="J184" s="195" t="s">
        <v>102</v>
      </c>
      <c r="K184" s="12">
        <f>'DATA 2025-26'!E448</f>
        <v>955.05</v>
      </c>
      <c r="L184" s="210" t="s">
        <v>270</v>
      </c>
      <c r="M184" s="11">
        <f>ROUND(I184*K184/1,0)</f>
        <v>0</v>
      </c>
    </row>
    <row r="185" spans="1:13" ht="79.5" hidden="1" customHeight="1">
      <c r="A185" s="110">
        <v>18</v>
      </c>
      <c r="B185" s="964" t="s">
        <v>975</v>
      </c>
      <c r="C185" s="964"/>
      <c r="D185" s="964"/>
      <c r="E185" s="964"/>
      <c r="F185" s="964"/>
      <c r="G185" s="964"/>
      <c r="H185" s="964"/>
      <c r="I185" s="183"/>
      <c r="J185" s="186"/>
      <c r="K185" s="110"/>
      <c r="L185" s="210"/>
      <c r="M185" s="139"/>
    </row>
    <row r="186" spans="1:13" s="148" customFormat="1" ht="16.5" hidden="1" customHeight="1">
      <c r="A186" s="110"/>
      <c r="B186" s="147" t="s">
        <v>1261</v>
      </c>
      <c r="C186" s="183"/>
      <c r="D186" s="205"/>
      <c r="E186" s="156"/>
      <c r="F186" s="157"/>
      <c r="G186" s="157"/>
      <c r="H186" s="157"/>
      <c r="I186" s="206"/>
      <c r="J186" s="195"/>
      <c r="K186" s="147"/>
      <c r="L186" s="210"/>
      <c r="M186" s="147"/>
    </row>
    <row r="187" spans="1:13" s="148" customFormat="1" ht="16.5" hidden="1" customHeight="1">
      <c r="A187" s="110"/>
      <c r="B187" s="147"/>
      <c r="C187" s="183">
        <v>1</v>
      </c>
      <c r="D187" s="205" t="s">
        <v>268</v>
      </c>
      <c r="E187" s="156">
        <v>1</v>
      </c>
      <c r="F187" s="157">
        <v>1.02</v>
      </c>
      <c r="G187" s="157">
        <v>0.115</v>
      </c>
      <c r="H187" s="157">
        <v>0.83</v>
      </c>
      <c r="I187" s="207">
        <f t="shared" ref="I187:I190" si="17">ROUND(IF(AND(F187:H187),C187*E187*F187*G187*H187,IF(AND(F187,G187),C187*E187*F187*G187,IF(AND(F187,H187),C187*E187*F187*H187,IF(AND(G187,H187),C187*E187*G187*H187,IF(F187,C187*E187*F187,IF(G187,C187*E187*G187,IF(H187,C187*E187*H187,C187*E187))))))),2)</f>
        <v>0.1</v>
      </c>
      <c r="J187" s="195" t="s">
        <v>5</v>
      </c>
      <c r="K187" s="147"/>
      <c r="L187" s="210"/>
      <c r="M187" s="147"/>
    </row>
    <row r="188" spans="1:13" s="148" customFormat="1" ht="16.5" hidden="1" customHeight="1">
      <c r="A188" s="110"/>
      <c r="B188" s="147"/>
      <c r="C188" s="183">
        <v>1</v>
      </c>
      <c r="D188" s="205" t="s">
        <v>268</v>
      </c>
      <c r="E188" s="156">
        <v>1</v>
      </c>
      <c r="F188" s="157">
        <v>3.09</v>
      </c>
      <c r="G188" s="157">
        <v>0.115</v>
      </c>
      <c r="H188" s="157">
        <v>0.56000000000000005</v>
      </c>
      <c r="I188" s="207">
        <f t="shared" si="17"/>
        <v>0.2</v>
      </c>
      <c r="J188" s="195" t="s">
        <v>5</v>
      </c>
      <c r="K188" s="147"/>
      <c r="L188" s="210"/>
      <c r="M188" s="147"/>
    </row>
    <row r="189" spans="1:13" s="148" customFormat="1" ht="16.5" hidden="1" customHeight="1">
      <c r="A189" s="110"/>
      <c r="B189" s="147"/>
      <c r="C189" s="183">
        <v>1</v>
      </c>
      <c r="D189" s="205" t="s">
        <v>268</v>
      </c>
      <c r="E189" s="156">
        <v>1</v>
      </c>
      <c r="F189" s="157">
        <v>0.79</v>
      </c>
      <c r="G189" s="157">
        <v>0.115</v>
      </c>
      <c r="H189" s="157">
        <v>0.64</v>
      </c>
      <c r="I189" s="207">
        <f t="shared" si="17"/>
        <v>0.06</v>
      </c>
      <c r="J189" s="195" t="s">
        <v>5</v>
      </c>
      <c r="K189" s="147"/>
      <c r="L189" s="210"/>
      <c r="M189" s="147"/>
    </row>
    <row r="190" spans="1:13" s="148" customFormat="1" ht="16.5" hidden="1" customHeight="1">
      <c r="A190" s="110"/>
      <c r="B190" s="147"/>
      <c r="C190" s="183">
        <v>1</v>
      </c>
      <c r="D190" s="205" t="s">
        <v>268</v>
      </c>
      <c r="E190" s="156">
        <v>1</v>
      </c>
      <c r="F190" s="157">
        <v>3.09</v>
      </c>
      <c r="G190" s="157">
        <v>0.115</v>
      </c>
      <c r="H190" s="157">
        <v>0.54</v>
      </c>
      <c r="I190" s="207">
        <f t="shared" si="17"/>
        <v>0.19</v>
      </c>
      <c r="J190" s="195" t="s">
        <v>5</v>
      </c>
      <c r="K190" s="147"/>
      <c r="L190" s="210"/>
      <c r="M190" s="147"/>
    </row>
    <row r="191" spans="1:13" s="148" customFormat="1" ht="16.5" hidden="1" customHeight="1">
      <c r="A191" s="110"/>
      <c r="B191" s="149"/>
      <c r="C191" s="150"/>
      <c r="D191" s="151"/>
      <c r="E191" s="152"/>
      <c r="F191" s="153"/>
      <c r="G191" s="153"/>
      <c r="H191" s="153"/>
      <c r="I191" s="185"/>
      <c r="J191" s="195"/>
      <c r="K191" s="147"/>
      <c r="L191" s="210"/>
      <c r="M191" s="147"/>
    </row>
    <row r="192" spans="1:13" hidden="1">
      <c r="A192" s="110"/>
      <c r="B192" s="147"/>
      <c r="C192" s="154"/>
      <c r="D192" s="155"/>
      <c r="E192" s="156"/>
      <c r="F192" s="157"/>
      <c r="G192" s="158"/>
      <c r="H192" s="110"/>
      <c r="I192" s="185"/>
      <c r="J192" s="195" t="s">
        <v>5</v>
      </c>
      <c r="K192" s="12">
        <f>'DATA 2025-26'!E465</f>
        <v>6706.6600000000008</v>
      </c>
      <c r="L192" s="210" t="s">
        <v>269</v>
      </c>
      <c r="M192" s="11">
        <f>ROUND(I192*K192,0)</f>
        <v>0</v>
      </c>
    </row>
    <row r="193" spans="1:13" s="763" customFormat="1" ht="103.5" customHeight="1">
      <c r="A193" s="757">
        <v>16</v>
      </c>
      <c r="B193" s="965" t="s">
        <v>951</v>
      </c>
      <c r="C193" s="965"/>
      <c r="D193" s="965"/>
      <c r="E193" s="965"/>
      <c r="F193" s="965"/>
      <c r="G193" s="965"/>
      <c r="H193" s="965"/>
      <c r="I193" s="759"/>
      <c r="J193" s="760"/>
      <c r="K193" s="757"/>
      <c r="L193" s="761"/>
      <c r="M193" s="762"/>
    </row>
    <row r="194" spans="1:13" s="771" customFormat="1" ht="16.5" customHeight="1">
      <c r="A194" s="757"/>
      <c r="B194" s="764"/>
      <c r="C194" s="759">
        <v>1</v>
      </c>
      <c r="D194" s="766" t="s">
        <v>268</v>
      </c>
      <c r="E194" s="767">
        <v>1</v>
      </c>
      <c r="F194" s="781">
        <v>7.74</v>
      </c>
      <c r="G194" s="781">
        <v>0</v>
      </c>
      <c r="H194" s="781">
        <v>0.6</v>
      </c>
      <c r="I194" s="786">
        <f t="shared" ref="I194" si="18">ROUND(IF(AND(F194:H194),C194*E194*F194*G194*H194,IF(AND(F194,G194),C194*E194*F194*G194,IF(AND(F194,H194),C194*E194*F194*H194,IF(AND(G194,H194),C194*E194*G194*H194,IF(F194,C194*E194*F194,IF(G194,C194*E194*G194,IF(H194,C194*E194*H194,C194*E194))))))),2)</f>
        <v>4.6399999999999997</v>
      </c>
      <c r="J194" s="783" t="s">
        <v>102</v>
      </c>
      <c r="K194" s="764"/>
      <c r="L194" s="761"/>
      <c r="M194" s="764"/>
    </row>
    <row r="195" spans="1:13" s="771" customFormat="1" ht="16.5" customHeight="1">
      <c r="A195" s="757"/>
      <c r="B195" s="764"/>
      <c r="C195" s="759"/>
      <c r="D195" s="766"/>
      <c r="E195" s="767"/>
      <c r="F195" s="781"/>
      <c r="G195" s="781"/>
      <c r="H195" s="781"/>
      <c r="I195" s="786"/>
      <c r="J195" s="783"/>
      <c r="K195" s="764"/>
      <c r="L195" s="761"/>
      <c r="M195" s="764"/>
    </row>
    <row r="196" spans="1:13" s="763" customFormat="1">
      <c r="A196" s="757"/>
      <c r="B196" s="764"/>
      <c r="C196" s="779"/>
      <c r="D196" s="780"/>
      <c r="E196" s="767"/>
      <c r="F196" s="781"/>
      <c r="G196" s="782"/>
      <c r="H196" s="757"/>
      <c r="I196" s="769">
        <f>SUM(I194:I195)</f>
        <v>4.6399999999999997</v>
      </c>
      <c r="J196" s="783" t="s">
        <v>102</v>
      </c>
      <c r="K196" s="768">
        <f>'DATA 2025-26'!E595</f>
        <v>2770.89</v>
      </c>
      <c r="L196" s="761" t="s">
        <v>270</v>
      </c>
      <c r="M196" s="784">
        <f>ROUND(I196*K196/1,0)</f>
        <v>12857</v>
      </c>
    </row>
    <row r="197" spans="1:13" s="763" customFormat="1" ht="54.75" customHeight="1">
      <c r="A197" s="757">
        <v>17</v>
      </c>
      <c r="B197" s="965" t="s">
        <v>123</v>
      </c>
      <c r="C197" s="965"/>
      <c r="D197" s="965"/>
      <c r="E197" s="965"/>
      <c r="F197" s="965"/>
      <c r="G197" s="965"/>
      <c r="H197" s="965"/>
      <c r="I197" s="759"/>
      <c r="J197" s="760"/>
      <c r="K197" s="757"/>
      <c r="L197" s="761"/>
      <c r="M197" s="762"/>
    </row>
    <row r="198" spans="1:13" s="771" customFormat="1" ht="16.5" customHeight="1">
      <c r="A198" s="757"/>
      <c r="B198" s="764" t="s">
        <v>2290</v>
      </c>
      <c r="C198" s="765">
        <v>1</v>
      </c>
      <c r="D198" s="766" t="s">
        <v>268</v>
      </c>
      <c r="E198" s="767">
        <v>1</v>
      </c>
      <c r="F198" s="768">
        <v>5.49</v>
      </c>
      <c r="G198" s="768">
        <v>9.76</v>
      </c>
      <c r="H198" s="768">
        <v>0</v>
      </c>
      <c r="I198" s="769">
        <f>ROUND(IF(AND(F198:H198),C198*E198*F198*G198*H198,IF(AND(F198,G198),C198*E198*F198*G198,IF(AND(F198,H198),C198*E198*F198*H198,IF(AND(G198,H198),C198*E198*G198*H198,IF(F198,C198*E198*F198,IF(G198,C198*E198*G198,IF(H198,C198*E198*H198,C198*E198))))))),2)</f>
        <v>53.58</v>
      </c>
      <c r="J198" s="770" t="s">
        <v>102</v>
      </c>
      <c r="K198" s="764"/>
      <c r="L198" s="757"/>
      <c r="M198" s="764"/>
    </row>
    <row r="199" spans="1:13" s="771" customFormat="1" ht="16.5" customHeight="1">
      <c r="A199" s="757"/>
      <c r="B199" s="764" t="s">
        <v>2305</v>
      </c>
      <c r="C199" s="765">
        <v>1</v>
      </c>
      <c r="D199" s="766" t="s">
        <v>268</v>
      </c>
      <c r="E199" s="767">
        <v>1</v>
      </c>
      <c r="F199" s="768">
        <v>5.49</v>
      </c>
      <c r="G199" s="768">
        <v>0</v>
      </c>
      <c r="H199" s="768">
        <v>0.45</v>
      </c>
      <c r="I199" s="769">
        <f t="shared" ref="I199" si="19">ROUND(IF(AND(F199:H199),C199*E199*F199*G199*H199,IF(AND(F199,G199),C199*E199*F199*G199,IF(AND(F199,H199),C199*E199*F199*H199,IF(AND(G199,H199),C199*E199*G199*H199,IF(F199,C199*E199*F199,IF(G199,C199*E199*G199,IF(H199,C199*E199*H199,C199*E199))))))),2)</f>
        <v>2.4700000000000002</v>
      </c>
      <c r="J199" s="770" t="s">
        <v>102</v>
      </c>
      <c r="K199" s="764"/>
      <c r="L199" s="757"/>
      <c r="M199" s="764"/>
    </row>
    <row r="200" spans="1:13" s="771" customFormat="1" ht="16.5" customHeight="1">
      <c r="A200" s="757"/>
      <c r="B200" s="764" t="s">
        <v>2306</v>
      </c>
      <c r="C200" s="765">
        <v>2</v>
      </c>
      <c r="D200" s="766" t="s">
        <v>268</v>
      </c>
      <c r="E200" s="767">
        <v>2</v>
      </c>
      <c r="F200" s="768">
        <v>5.49</v>
      </c>
      <c r="G200" s="768">
        <v>0</v>
      </c>
      <c r="H200" s="768">
        <v>0.45</v>
      </c>
      <c r="I200" s="769">
        <f t="shared" ref="I200" si="20">ROUND(IF(AND(F200:H200),C200*E200*F200*G200*H200,IF(AND(F200,G200),C200*E200*F200*G200,IF(AND(F200,H200),C200*E200*F200*H200,IF(AND(G200,H200),C200*E200*G200*H200,IF(F200,C200*E200*F200,IF(G200,C200*E200*G200,IF(H200,C200*E200*H200,C200*E200))))))),2)</f>
        <v>9.8800000000000008</v>
      </c>
      <c r="J200" s="770" t="s">
        <v>102</v>
      </c>
      <c r="K200" s="764"/>
      <c r="L200" s="757"/>
      <c r="M200" s="764"/>
    </row>
    <row r="201" spans="1:13" s="771" customFormat="1" ht="16.5" customHeight="1">
      <c r="A201" s="757"/>
      <c r="B201" s="764" t="s">
        <v>2307</v>
      </c>
      <c r="C201" s="765">
        <v>1</v>
      </c>
      <c r="D201" s="766" t="s">
        <v>268</v>
      </c>
      <c r="E201" s="767">
        <v>1</v>
      </c>
      <c r="F201" s="768">
        <v>5.49</v>
      </c>
      <c r="G201" s="768">
        <v>0</v>
      </c>
      <c r="H201" s="768">
        <v>0.45</v>
      </c>
      <c r="I201" s="769">
        <f t="shared" ref="I201" si="21">ROUND(IF(AND(F201:H201),C201*E201*F201*G201*H201,IF(AND(F201,G201),C201*E201*F201*G201,IF(AND(F201,H201),C201*E201*F201*H201,IF(AND(G201,H201),C201*E201*G201*H201,IF(F201,C201*E201*F201,IF(G201,C201*E201*G201,IF(H201,C201*E201*H201,C201*E201))))))),2)</f>
        <v>2.4700000000000002</v>
      </c>
      <c r="J201" s="770" t="s">
        <v>102</v>
      </c>
      <c r="K201" s="764"/>
      <c r="L201" s="757"/>
      <c r="M201" s="764"/>
    </row>
    <row r="202" spans="1:13" s="771" customFormat="1" ht="16.5" customHeight="1">
      <c r="A202" s="757"/>
      <c r="B202" s="764" t="s">
        <v>2308</v>
      </c>
      <c r="C202" s="765">
        <v>4</v>
      </c>
      <c r="D202" s="766" t="s">
        <v>268</v>
      </c>
      <c r="E202" s="767">
        <v>2</v>
      </c>
      <c r="F202" s="768">
        <v>1.8</v>
      </c>
      <c r="G202" s="768">
        <v>0</v>
      </c>
      <c r="H202" s="768">
        <v>0.6</v>
      </c>
      <c r="I202" s="769">
        <f t="shared" ref="I202" si="22">ROUND(IF(AND(F202:H202),C202*E202*F202*G202*H202,IF(AND(F202,G202),C202*E202*F202*G202,IF(AND(F202,H202),C202*E202*F202*H202,IF(AND(G202,H202),C202*E202*G202*H202,IF(F202,C202*E202*F202,IF(G202,C202*E202*G202,IF(H202,C202*E202*H202,C202*E202))))))),2)</f>
        <v>8.64</v>
      </c>
      <c r="J202" s="770" t="s">
        <v>102</v>
      </c>
      <c r="K202" s="764"/>
      <c r="L202" s="757"/>
      <c r="M202" s="764"/>
    </row>
    <row r="203" spans="1:13" s="771" customFormat="1" ht="16.5" customHeight="1">
      <c r="A203" s="757"/>
      <c r="B203" s="764" t="s">
        <v>2308</v>
      </c>
      <c r="C203" s="765">
        <v>4</v>
      </c>
      <c r="D203" s="766" t="s">
        <v>268</v>
      </c>
      <c r="E203" s="767">
        <v>2</v>
      </c>
      <c r="F203" s="768">
        <v>1.2</v>
      </c>
      <c r="G203" s="768">
        <v>0</v>
      </c>
      <c r="H203" s="768">
        <v>0.6</v>
      </c>
      <c r="I203" s="769">
        <f t="shared" ref="I203" si="23">ROUND(IF(AND(F203:H203),C203*E203*F203*G203*H203,IF(AND(F203,G203),C203*E203*F203*G203,IF(AND(F203,H203),C203*E203*F203*H203,IF(AND(G203,H203),C203*E203*G203*H203,IF(F203,C203*E203*F203,IF(G203,C203*E203*G203,IF(H203,C203*E203*H203,C203*E203))))))),2)</f>
        <v>5.76</v>
      </c>
      <c r="J203" s="770" t="s">
        <v>102</v>
      </c>
      <c r="K203" s="764"/>
      <c r="L203" s="757"/>
      <c r="M203" s="764"/>
    </row>
    <row r="204" spans="1:13" s="771" customFormat="1" ht="16.5" customHeight="1">
      <c r="A204" s="757"/>
      <c r="B204" s="773"/>
      <c r="C204" s="774"/>
      <c r="D204" s="775"/>
      <c r="E204" s="776"/>
      <c r="F204" s="777"/>
      <c r="G204" s="777"/>
      <c r="H204" s="777"/>
      <c r="I204" s="769"/>
      <c r="J204" s="783"/>
      <c r="K204" s="764"/>
      <c r="L204" s="761"/>
      <c r="M204" s="764"/>
    </row>
    <row r="205" spans="1:13" s="763" customFormat="1">
      <c r="A205" s="757"/>
      <c r="B205" s="764"/>
      <c r="C205" s="779"/>
      <c r="D205" s="780"/>
      <c r="E205" s="767"/>
      <c r="F205" s="781"/>
      <c r="G205" s="782"/>
      <c r="H205" s="757"/>
      <c r="I205" s="769">
        <f>SUM(I198:I204)</f>
        <v>82.8</v>
      </c>
      <c r="J205" s="783" t="s">
        <v>102</v>
      </c>
      <c r="K205" s="768">
        <f>'DATA 2025-26'!E482</f>
        <v>392.74</v>
      </c>
      <c r="L205" s="761" t="s">
        <v>270</v>
      </c>
      <c r="M205" s="784">
        <f>ROUND(I205*K205,0)</f>
        <v>32519</v>
      </c>
    </row>
    <row r="206" spans="1:13" ht="42" hidden="1" customHeight="1">
      <c r="A206" s="110">
        <v>5</v>
      </c>
      <c r="B206" s="964" t="s">
        <v>124</v>
      </c>
      <c r="C206" s="964"/>
      <c r="D206" s="964"/>
      <c r="E206" s="964"/>
      <c r="F206" s="964"/>
      <c r="G206" s="964"/>
      <c r="H206" s="964"/>
      <c r="I206" s="183"/>
      <c r="J206" s="186"/>
      <c r="K206" s="110"/>
      <c r="L206" s="210"/>
      <c r="M206" s="139"/>
    </row>
    <row r="207" spans="1:13" s="148" customFormat="1" ht="16.5" hidden="1" customHeight="1">
      <c r="A207" s="110"/>
      <c r="B207" s="667" t="s">
        <v>2223</v>
      </c>
      <c r="C207" s="662">
        <v>1</v>
      </c>
      <c r="D207" s="663" t="s">
        <v>268</v>
      </c>
      <c r="E207" s="664">
        <v>1</v>
      </c>
      <c r="F207" s="665">
        <v>21.9</v>
      </c>
      <c r="G207" s="665">
        <v>0</v>
      </c>
      <c r="H207" s="665">
        <v>3.1</v>
      </c>
      <c r="I207" s="207">
        <f t="shared" ref="I207:I213" si="24">ROUND(IF(AND(F207:H207),C207*E207*F207*G207*H207,IF(AND(F207,G207),C207*E207*F207*G207,IF(AND(F207,H207),C207*E207*F207*H207,IF(AND(G207,H207),C207*E207*G207*H207,IF(F207,C207*E207*F207,IF(G207,C207*E207*G207,IF(H207,C207*E207*H207,C207*E207))))))),2)</f>
        <v>67.89</v>
      </c>
      <c r="J207" s="146" t="s">
        <v>102</v>
      </c>
      <c r="K207" s="147"/>
      <c r="L207" s="110"/>
      <c r="M207" s="147"/>
    </row>
    <row r="208" spans="1:13" s="148" customFormat="1" ht="16.5" hidden="1" customHeight="1">
      <c r="A208" s="110"/>
      <c r="B208" s="667" t="s">
        <v>2168</v>
      </c>
      <c r="C208" s="662">
        <v>1</v>
      </c>
      <c r="D208" s="663" t="s">
        <v>268</v>
      </c>
      <c r="E208" s="664">
        <v>1</v>
      </c>
      <c r="F208" s="665">
        <v>7</v>
      </c>
      <c r="G208" s="665">
        <v>0</v>
      </c>
      <c r="H208" s="665">
        <v>3.1</v>
      </c>
      <c r="I208" s="207">
        <f t="shared" si="24"/>
        <v>21.7</v>
      </c>
      <c r="J208" s="146" t="s">
        <v>102</v>
      </c>
      <c r="K208" s="147"/>
      <c r="L208" s="110"/>
      <c r="M208" s="147"/>
    </row>
    <row r="209" spans="1:13" s="148" customFormat="1" ht="16.5" hidden="1" customHeight="1">
      <c r="A209" s="110"/>
      <c r="B209" s="667" t="s">
        <v>2204</v>
      </c>
      <c r="C209" s="662">
        <v>1</v>
      </c>
      <c r="D209" s="663" t="s">
        <v>268</v>
      </c>
      <c r="E209" s="664">
        <v>1</v>
      </c>
      <c r="F209" s="665">
        <v>7</v>
      </c>
      <c r="G209" s="665">
        <v>0</v>
      </c>
      <c r="H209" s="665">
        <v>3.1</v>
      </c>
      <c r="I209" s="207">
        <f t="shared" si="24"/>
        <v>21.7</v>
      </c>
      <c r="J209" s="146" t="s">
        <v>102</v>
      </c>
      <c r="K209" s="147"/>
      <c r="L209" s="110"/>
      <c r="M209" s="147"/>
    </row>
    <row r="210" spans="1:13" s="148" customFormat="1" ht="16.5" hidden="1" customHeight="1">
      <c r="A210" s="110"/>
      <c r="B210" s="667" t="s">
        <v>2205</v>
      </c>
      <c r="C210" s="662">
        <v>1</v>
      </c>
      <c r="D210" s="663" t="s">
        <v>268</v>
      </c>
      <c r="E210" s="664">
        <v>2</v>
      </c>
      <c r="F210" s="665">
        <v>2.1</v>
      </c>
      <c r="G210" s="665">
        <v>0</v>
      </c>
      <c r="H210" s="665">
        <v>3.1</v>
      </c>
      <c r="I210" s="207">
        <f t="shared" si="24"/>
        <v>13.02</v>
      </c>
      <c r="J210" s="146" t="s">
        <v>102</v>
      </c>
      <c r="K210" s="147"/>
      <c r="L210" s="110"/>
      <c r="M210" s="147"/>
    </row>
    <row r="211" spans="1:13" s="148" customFormat="1" ht="16.5" hidden="1" customHeight="1">
      <c r="A211" s="110"/>
      <c r="B211" s="667" t="s">
        <v>2224</v>
      </c>
      <c r="C211" s="662">
        <v>1</v>
      </c>
      <c r="D211" s="663" t="s">
        <v>268</v>
      </c>
      <c r="E211" s="664">
        <v>1</v>
      </c>
      <c r="F211" s="665">
        <v>8.65</v>
      </c>
      <c r="G211" s="665">
        <v>1.2</v>
      </c>
      <c r="H211" s="665">
        <v>0</v>
      </c>
      <c r="I211" s="207">
        <f t="shared" si="24"/>
        <v>10.38</v>
      </c>
      <c r="J211" s="146" t="s">
        <v>102</v>
      </c>
      <c r="K211" s="147"/>
      <c r="L211" s="110"/>
      <c r="M211" s="147"/>
    </row>
    <row r="212" spans="1:13" s="148" customFormat="1" ht="16.5" hidden="1" customHeight="1">
      <c r="A212" s="110"/>
      <c r="B212" s="667" t="s">
        <v>2225</v>
      </c>
      <c r="C212" s="662">
        <v>2</v>
      </c>
      <c r="D212" s="663" t="s">
        <v>268</v>
      </c>
      <c r="E212" s="664">
        <v>2</v>
      </c>
      <c r="F212" s="665">
        <v>0.35</v>
      </c>
      <c r="G212" s="665">
        <v>0</v>
      </c>
      <c r="H212" s="665">
        <v>0.15</v>
      </c>
      <c r="I212" s="207">
        <f t="shared" si="24"/>
        <v>0.21</v>
      </c>
      <c r="J212" s="146" t="s">
        <v>102</v>
      </c>
      <c r="K212" s="147"/>
      <c r="L212" s="110"/>
      <c r="M212" s="147"/>
    </row>
    <row r="213" spans="1:13" s="148" customFormat="1" ht="16.5" hidden="1" customHeight="1">
      <c r="A213" s="110"/>
      <c r="B213" s="667" t="s">
        <v>2226</v>
      </c>
      <c r="C213" s="662">
        <v>1</v>
      </c>
      <c r="D213" s="663" t="s">
        <v>268</v>
      </c>
      <c r="E213" s="664">
        <v>2</v>
      </c>
      <c r="F213" s="665">
        <v>1.65</v>
      </c>
      <c r="G213" s="665">
        <v>0</v>
      </c>
      <c r="H213" s="665">
        <v>0.6</v>
      </c>
      <c r="I213" s="207">
        <f t="shared" si="24"/>
        <v>1.98</v>
      </c>
      <c r="J213" s="146" t="s">
        <v>102</v>
      </c>
      <c r="K213" s="147"/>
      <c r="L213" s="110"/>
      <c r="M213" s="147"/>
    </row>
    <row r="214" spans="1:13" s="148" customFormat="1" ht="16.5" hidden="1" customHeight="1">
      <c r="A214" s="110"/>
      <c r="B214" s="667" t="s">
        <v>2186</v>
      </c>
      <c r="C214" s="662"/>
      <c r="D214" s="663"/>
      <c r="E214" s="664"/>
      <c r="F214" s="665"/>
      <c r="G214" s="665"/>
      <c r="H214" s="665"/>
      <c r="I214" s="207"/>
      <c r="J214" s="146"/>
      <c r="K214" s="147"/>
      <c r="L214" s="110"/>
      <c r="M214" s="147"/>
    </row>
    <row r="215" spans="1:13" s="148" customFormat="1" ht="16.5" hidden="1" customHeight="1">
      <c r="A215" s="110"/>
      <c r="B215" s="667" t="s">
        <v>2203</v>
      </c>
      <c r="C215" s="662">
        <v>1</v>
      </c>
      <c r="D215" s="663" t="s">
        <v>268</v>
      </c>
      <c r="E215" s="664">
        <v>1</v>
      </c>
      <c r="F215" s="668">
        <v>1.2</v>
      </c>
      <c r="G215" s="665">
        <v>0</v>
      </c>
      <c r="H215" s="665">
        <v>2.1</v>
      </c>
      <c r="I215" s="207">
        <f>-ROUND(IF(AND(F215:H215),C215*E215*F215*G215*H215,IF(AND(F215,G215),C215*E215*F215*G215,IF(AND(F215,H215),C215*E215*F215*H215,IF(AND(G215,H215),C215*E215*G215*H215,IF(F215,C215*E215*F215,IF(G215,C215*E215*G215,IF(H215,C215*E215*H215,C215*E215))))))),2)</f>
        <v>-2.52</v>
      </c>
      <c r="J215" s="146" t="s">
        <v>102</v>
      </c>
      <c r="K215" s="147"/>
      <c r="L215" s="110"/>
      <c r="M215" s="147"/>
    </row>
    <row r="216" spans="1:13" s="148" customFormat="1" ht="16.5" hidden="1" customHeight="1">
      <c r="A216" s="110"/>
      <c r="B216" s="667" t="s">
        <v>2203</v>
      </c>
      <c r="C216" s="662">
        <v>1</v>
      </c>
      <c r="D216" s="663" t="s">
        <v>268</v>
      </c>
      <c r="E216" s="664">
        <v>3</v>
      </c>
      <c r="F216" s="665">
        <v>0.75</v>
      </c>
      <c r="G216" s="665">
        <v>0</v>
      </c>
      <c r="H216" s="665">
        <v>2.1</v>
      </c>
      <c r="I216" s="207">
        <f>-ROUND(IF(AND(F216:H216),C216*E216*F216*G216*H216,IF(AND(F216,G216),C216*E216*F216*G216,IF(AND(F216,H216),C216*E216*F216*H216,IF(AND(G216,H216),C216*E216*G216*H216,IF(F216,C216*E216*F216,IF(G216,C216*E216*G216,IF(H216,C216*E216*H216,C216*E216))))))),2)</f>
        <v>-4.7300000000000004</v>
      </c>
      <c r="J216" s="146" t="s">
        <v>102</v>
      </c>
      <c r="K216" s="147"/>
      <c r="L216" s="110"/>
      <c r="M216" s="147"/>
    </row>
    <row r="217" spans="1:13" s="148" customFormat="1" ht="16.5" hidden="1" customHeight="1">
      <c r="A217" s="110"/>
      <c r="B217" s="667" t="s">
        <v>2227</v>
      </c>
      <c r="C217" s="662">
        <v>1</v>
      </c>
      <c r="D217" s="663" t="s">
        <v>268</v>
      </c>
      <c r="E217" s="664">
        <v>5</v>
      </c>
      <c r="F217" s="665">
        <v>1.5</v>
      </c>
      <c r="G217" s="665">
        <v>0</v>
      </c>
      <c r="H217" s="665">
        <v>1.35</v>
      </c>
      <c r="I217" s="207">
        <f>-ROUND(IF(AND(F217:H217),C217*E217*F217*G217*H217,IF(AND(F217,G217),C217*E217*F217*G217,IF(AND(F217,H217),C217*E217*F217*H217,IF(AND(G217,H217),C217*E217*G217*H217,IF(F217,C217*E217*F217,IF(G217,C217*E217*G217,IF(H217,C217*E217*H217,C217*E217))))))),2)</f>
        <v>-10.130000000000001</v>
      </c>
      <c r="J217" s="146" t="s">
        <v>102</v>
      </c>
      <c r="K217" s="147"/>
      <c r="L217" s="110"/>
      <c r="M217" s="147"/>
    </row>
    <row r="218" spans="1:13" s="148" customFormat="1" ht="16.5" hidden="1" customHeight="1">
      <c r="A218" s="110"/>
      <c r="B218" s="667" t="s">
        <v>2227</v>
      </c>
      <c r="C218" s="662">
        <v>1</v>
      </c>
      <c r="D218" s="663" t="s">
        <v>268</v>
      </c>
      <c r="E218" s="664">
        <v>3</v>
      </c>
      <c r="F218" s="665">
        <v>0.9</v>
      </c>
      <c r="G218" s="665">
        <v>0</v>
      </c>
      <c r="H218" s="665">
        <v>1.35</v>
      </c>
      <c r="I218" s="207">
        <f>-ROUND(IF(AND(F218:H218),C218*E218*F218*G218*H218,IF(AND(F218,G218),C218*E218*F218*G218,IF(AND(F218,H218),C218*E218*F218*H218,IF(AND(G218,H218),C218*E218*G218*H218,IF(F218,C218*E218*F218,IF(G218,C218*E218*G218,IF(H218,C218*E218*H218,C218*E218))))))),2)</f>
        <v>-3.65</v>
      </c>
      <c r="J218" s="146" t="s">
        <v>102</v>
      </c>
      <c r="K218" s="147"/>
      <c r="L218" s="110"/>
      <c r="M218" s="147"/>
    </row>
    <row r="219" spans="1:13" s="148" customFormat="1" ht="16.5" hidden="1" customHeight="1">
      <c r="A219" s="110"/>
      <c r="B219" s="667" t="s">
        <v>2202</v>
      </c>
      <c r="C219" s="662">
        <v>1</v>
      </c>
      <c r="D219" s="663" t="s">
        <v>268</v>
      </c>
      <c r="E219" s="664">
        <v>14</v>
      </c>
      <c r="F219" s="665">
        <v>0.6</v>
      </c>
      <c r="G219" s="665">
        <v>0</v>
      </c>
      <c r="H219" s="665">
        <v>0.3</v>
      </c>
      <c r="I219" s="207">
        <f>-ROUND(IF(AND(F219:H219),C219*E219*F219*G219*H219,IF(AND(F219,G219),C219*E219*F219*G219,IF(AND(F219,H219),C219*E219*F219*H219,IF(AND(G219,H219),C219*E219*G219*H219,IF(F219,C219*E219*F219,IF(G219,C219*E219*G219,IF(H219,C219*E219*H219,C219*E219))))))),2)</f>
        <v>-2.52</v>
      </c>
      <c r="J219" s="146" t="s">
        <v>102</v>
      </c>
      <c r="K219" s="147"/>
      <c r="L219" s="110"/>
      <c r="M219" s="147"/>
    </row>
    <row r="220" spans="1:13" s="148" customFormat="1" ht="16.5" hidden="1" customHeight="1">
      <c r="A220" s="110"/>
      <c r="B220" s="149"/>
      <c r="C220" s="150"/>
      <c r="D220" s="151"/>
      <c r="E220" s="152"/>
      <c r="F220" s="153"/>
      <c r="G220" s="153"/>
      <c r="H220" s="153"/>
      <c r="I220" s="185"/>
      <c r="J220" s="195"/>
      <c r="K220" s="147"/>
      <c r="L220" s="210"/>
      <c r="M220" s="147"/>
    </row>
    <row r="221" spans="1:13" hidden="1">
      <c r="A221" s="110"/>
      <c r="B221" s="147"/>
      <c r="C221" s="154"/>
      <c r="D221" s="155"/>
      <c r="E221" s="156"/>
      <c r="F221" s="157"/>
      <c r="G221" s="158"/>
      <c r="H221" s="110"/>
      <c r="I221" s="185"/>
      <c r="J221" s="195" t="s">
        <v>102</v>
      </c>
      <c r="K221" s="12">
        <f>'DATA 2025-26'!E499</f>
        <v>323.56</v>
      </c>
      <c r="L221" s="210" t="s">
        <v>270</v>
      </c>
      <c r="M221" s="11">
        <f>ROUND(I221*K221,0)</f>
        <v>0</v>
      </c>
    </row>
    <row r="222" spans="1:13" ht="52.5" hidden="1" customHeight="1">
      <c r="A222" s="110">
        <v>6</v>
      </c>
      <c r="B222" s="964" t="s">
        <v>586</v>
      </c>
      <c r="C222" s="964"/>
      <c r="D222" s="964"/>
      <c r="E222" s="964"/>
      <c r="F222" s="964"/>
      <c r="G222" s="964"/>
      <c r="H222" s="964"/>
      <c r="I222" s="183"/>
      <c r="J222" s="186"/>
      <c r="K222" s="110"/>
      <c r="L222" s="210"/>
      <c r="M222" s="139"/>
    </row>
    <row r="223" spans="1:13" s="148" customFormat="1" ht="16.5" hidden="1" customHeight="1">
      <c r="A223" s="110"/>
      <c r="B223" s="667" t="s">
        <v>1803</v>
      </c>
      <c r="C223" s="662">
        <v>1</v>
      </c>
      <c r="D223" s="663" t="s">
        <v>268</v>
      </c>
      <c r="E223" s="664">
        <v>2</v>
      </c>
      <c r="F223" s="665">
        <v>8.65</v>
      </c>
      <c r="G223" s="665">
        <v>0</v>
      </c>
      <c r="H223" s="665">
        <v>3.9</v>
      </c>
      <c r="I223" s="207">
        <f t="shared" ref="I223:I224" si="25">ROUND(IF(AND(F223:H223),C223*E223*F223*G223*H223,IF(AND(F223,G223),C223*E223*F223*G223,IF(AND(F223,H223),C223*E223*F223*H223,IF(AND(G223,H223),C223*E223*G223*H223,IF(F223,C223*E223*F223,IF(G223,C223*E223*G223,IF(H223,C223*E223*H223,C223*E223))))))),2)</f>
        <v>67.47</v>
      </c>
      <c r="J223" s="146" t="s">
        <v>102</v>
      </c>
      <c r="K223" s="147"/>
      <c r="L223" s="110"/>
      <c r="M223" s="147"/>
    </row>
    <row r="224" spans="1:13" s="148" customFormat="1" ht="16.5" hidden="1" customHeight="1">
      <c r="A224" s="110"/>
      <c r="B224" s="667" t="s">
        <v>1812</v>
      </c>
      <c r="C224" s="662">
        <v>1</v>
      </c>
      <c r="D224" s="663" t="s">
        <v>268</v>
      </c>
      <c r="E224" s="664">
        <v>2</v>
      </c>
      <c r="F224" s="665">
        <v>5.35</v>
      </c>
      <c r="G224" s="665">
        <v>0</v>
      </c>
      <c r="H224" s="665">
        <v>3.9</v>
      </c>
      <c r="I224" s="207">
        <f t="shared" si="25"/>
        <v>41.73</v>
      </c>
      <c r="J224" s="146" t="s">
        <v>102</v>
      </c>
      <c r="K224" s="147"/>
      <c r="L224" s="110"/>
      <c r="M224" s="147"/>
    </row>
    <row r="225" spans="1:13" s="148" customFormat="1" ht="16.5" hidden="1" customHeight="1">
      <c r="A225" s="110"/>
      <c r="B225" s="149"/>
      <c r="C225" s="150"/>
      <c r="D225" s="151"/>
      <c r="E225" s="152"/>
      <c r="F225" s="153"/>
      <c r="G225" s="153"/>
      <c r="H225" s="153"/>
      <c r="I225" s="185"/>
      <c r="J225" s="195"/>
      <c r="K225" s="147"/>
      <c r="L225" s="210"/>
      <c r="M225" s="147"/>
    </row>
    <row r="226" spans="1:13" hidden="1">
      <c r="A226" s="110"/>
      <c r="B226" s="147"/>
      <c r="C226" s="154"/>
      <c r="D226" s="155"/>
      <c r="E226" s="156"/>
      <c r="F226" s="157"/>
      <c r="G226" s="158"/>
      <c r="H226" s="110"/>
      <c r="I226" s="185"/>
      <c r="J226" s="195" t="s">
        <v>102</v>
      </c>
      <c r="K226" s="12">
        <f>'DATA 2025-26'!E516</f>
        <v>339.13</v>
      </c>
      <c r="L226" s="210" t="s">
        <v>270</v>
      </c>
      <c r="M226" s="11">
        <f>ROUND(I226*K226,0)</f>
        <v>0</v>
      </c>
    </row>
    <row r="227" spans="1:13" s="763" customFormat="1" ht="71.25" customHeight="1">
      <c r="A227" s="757">
        <v>18</v>
      </c>
      <c r="B227" s="965" t="s">
        <v>751</v>
      </c>
      <c r="C227" s="965"/>
      <c r="D227" s="965"/>
      <c r="E227" s="965"/>
      <c r="F227" s="965"/>
      <c r="G227" s="965"/>
      <c r="H227" s="965"/>
      <c r="I227" s="759"/>
      <c r="J227" s="760"/>
      <c r="K227" s="757"/>
      <c r="L227" s="761"/>
      <c r="M227" s="762"/>
    </row>
    <row r="228" spans="1:13" s="771" customFormat="1" ht="16.5" customHeight="1">
      <c r="A228" s="757"/>
      <c r="B228" s="764" t="s">
        <v>2324</v>
      </c>
      <c r="C228" s="765">
        <v>1</v>
      </c>
      <c r="D228" s="766" t="s">
        <v>268</v>
      </c>
      <c r="E228" s="767">
        <v>1</v>
      </c>
      <c r="F228" s="768">
        <v>13.41</v>
      </c>
      <c r="G228" s="768">
        <v>0</v>
      </c>
      <c r="H228" s="768">
        <v>2.9</v>
      </c>
      <c r="I228" s="769">
        <f>ROUND(IF(AND(F228:H228),C228*E228*F228*G228*H228,IF(AND(F228,G228),C228*E228*F228*G228,IF(AND(F228,H228),C228*E228*F228*H228,IF(AND(G228,H228),C228*E228*G228*H228,IF(F228,C228*E228*F228,IF(G228,C228*E228*G228,IF(H228,C228*E228*H228,C228*E228))))))),2)</f>
        <v>38.89</v>
      </c>
      <c r="J228" s="770" t="s">
        <v>102</v>
      </c>
      <c r="K228" s="764"/>
      <c r="L228" s="757"/>
      <c r="M228" s="764"/>
    </row>
    <row r="229" spans="1:13" s="771" customFormat="1" ht="16.5" customHeight="1">
      <c r="A229" s="757"/>
      <c r="B229" s="764" t="s">
        <v>2325</v>
      </c>
      <c r="C229" s="765">
        <v>1</v>
      </c>
      <c r="D229" s="766" t="s">
        <v>268</v>
      </c>
      <c r="E229" s="767">
        <v>1</v>
      </c>
      <c r="F229" s="768">
        <v>20.12</v>
      </c>
      <c r="G229" s="768">
        <v>0</v>
      </c>
      <c r="H229" s="768">
        <v>3.65</v>
      </c>
      <c r="I229" s="769">
        <f>ROUND(IF(AND(F229:H229),C229*E229*F229*G229*H229,IF(AND(F229,G229),C229*E229*F229*G229,IF(AND(F229,H229),C229*E229*F229*H229,IF(AND(G229,H229),C229*E229*G229*H229,IF(F229,C229*E229*F229,IF(G229,C229*E229*G229,IF(H229,C229*E229*H229,C229*E229))))))),2)</f>
        <v>73.44</v>
      </c>
      <c r="J229" s="770" t="s">
        <v>102</v>
      </c>
      <c r="K229" s="764"/>
      <c r="L229" s="757"/>
      <c r="M229" s="764"/>
    </row>
    <row r="230" spans="1:13" s="771" customFormat="1" ht="16.5" customHeight="1">
      <c r="A230" s="757"/>
      <c r="B230" s="764" t="s">
        <v>578</v>
      </c>
      <c r="C230" s="765">
        <v>1</v>
      </c>
      <c r="D230" s="766" t="s">
        <v>268</v>
      </c>
      <c r="E230" s="767">
        <v>1</v>
      </c>
      <c r="F230" s="768">
        <v>1.2</v>
      </c>
      <c r="G230" s="768">
        <v>0</v>
      </c>
      <c r="H230" s="768">
        <v>2.1</v>
      </c>
      <c r="I230" s="769">
        <f>-ROUND(IF(AND(F230:H230),C230*E230*F230*G230*H230,IF(AND(F230,G230),C230*E230*F230*G230,IF(AND(F230,H230),C230*E230*F230*H230,IF(AND(G230,H230),C230*E230*G230*H230,IF(F230,C230*E230*F230,IF(G230,C230*E230*G230,IF(H230,C230*E230*H230,C230*E230))))))),2)</f>
        <v>-2.52</v>
      </c>
      <c r="J230" s="770" t="s">
        <v>102</v>
      </c>
      <c r="K230" s="764"/>
      <c r="L230" s="757"/>
      <c r="M230" s="764"/>
    </row>
    <row r="231" spans="1:13" s="771" customFormat="1" ht="16.5" customHeight="1">
      <c r="A231" s="757"/>
      <c r="B231" s="764" t="s">
        <v>578</v>
      </c>
      <c r="C231" s="765">
        <v>1</v>
      </c>
      <c r="D231" s="766" t="s">
        <v>268</v>
      </c>
      <c r="E231" s="767">
        <v>1</v>
      </c>
      <c r="F231" s="768">
        <v>0.9</v>
      </c>
      <c r="G231" s="768">
        <v>0</v>
      </c>
      <c r="H231" s="768">
        <v>2.1</v>
      </c>
      <c r="I231" s="769">
        <f>-ROUND(IF(AND(F231:H231),C231*E231*F231*G231*H231,IF(AND(F231,G231),C231*E231*F231*G231,IF(AND(F231,H231),C231*E231*F231*H231,IF(AND(G231,H231),C231*E231*G231*H231,IF(F231,C231*E231*F231,IF(G231,C231*E231*G231,IF(H231,C231*E231*H231,C231*E231))))))),2)</f>
        <v>-1.89</v>
      </c>
      <c r="J231" s="770" t="s">
        <v>102</v>
      </c>
      <c r="K231" s="764"/>
      <c r="L231" s="757"/>
      <c r="M231" s="764"/>
    </row>
    <row r="232" spans="1:13" s="771" customFormat="1" ht="16.5" customHeight="1">
      <c r="A232" s="757"/>
      <c r="B232" s="764" t="s">
        <v>748</v>
      </c>
      <c r="C232" s="765">
        <v>1</v>
      </c>
      <c r="D232" s="766" t="s">
        <v>268</v>
      </c>
      <c r="E232" s="767">
        <v>4</v>
      </c>
      <c r="F232" s="768">
        <v>1.5</v>
      </c>
      <c r="G232" s="768">
        <v>0</v>
      </c>
      <c r="H232" s="768">
        <v>1.35</v>
      </c>
      <c r="I232" s="769">
        <f>-ROUND(IF(AND(F232:H232),C232*E232*F232*G232*H232,IF(AND(F232,G232),C232*E232*F232*G232,IF(AND(F232,H232),C232*E232*F232*H232,IF(AND(G232,H232),C232*E232*G232*H232,IF(F232,C232*E232*F232,IF(G232,C232*E232*G232,IF(H232,C232*E232*H232,C232*E232))))))),2)</f>
        <v>-8.1</v>
      </c>
      <c r="J232" s="770" t="s">
        <v>102</v>
      </c>
      <c r="K232" s="764"/>
      <c r="L232" s="757"/>
      <c r="M232" s="764"/>
    </row>
    <row r="233" spans="1:13" s="771" customFormat="1" ht="16.5" customHeight="1">
      <c r="A233" s="757"/>
      <c r="B233" s="764" t="s">
        <v>748</v>
      </c>
      <c r="C233" s="765">
        <v>1</v>
      </c>
      <c r="D233" s="766" t="s">
        <v>268</v>
      </c>
      <c r="E233" s="767">
        <v>4</v>
      </c>
      <c r="F233" s="768">
        <v>0.9</v>
      </c>
      <c r="G233" s="768">
        <v>0</v>
      </c>
      <c r="H233" s="768">
        <v>1.35</v>
      </c>
      <c r="I233" s="769">
        <f>-ROUND(IF(AND(F233:H233),C233*E233*F233*G233*H233,IF(AND(F233,G233),C233*E233*F233*G233,IF(AND(F233,H233),C233*E233*F233*H233,IF(AND(G233,H233),C233*E233*G233*H233,IF(F233,C233*E233*F233,IF(G233,C233*E233*G233,IF(H233,C233*E233*H233,C233*E233))))))),2)</f>
        <v>-4.8600000000000003</v>
      </c>
      <c r="J233" s="770" t="s">
        <v>102</v>
      </c>
      <c r="K233" s="764"/>
      <c r="L233" s="757"/>
      <c r="M233" s="764"/>
    </row>
    <row r="234" spans="1:13" s="771" customFormat="1" ht="16.5" customHeight="1">
      <c r="A234" s="757"/>
      <c r="B234" s="773"/>
      <c r="C234" s="774"/>
      <c r="D234" s="775"/>
      <c r="E234" s="776"/>
      <c r="F234" s="777"/>
      <c r="G234" s="777"/>
      <c r="H234" s="777"/>
      <c r="I234" s="769"/>
      <c r="J234" s="783"/>
      <c r="K234" s="764"/>
      <c r="L234" s="761"/>
      <c r="M234" s="764"/>
    </row>
    <row r="235" spans="1:13" s="763" customFormat="1">
      <c r="A235" s="757"/>
      <c r="B235" s="764"/>
      <c r="C235" s="779"/>
      <c r="D235" s="780"/>
      <c r="E235" s="767"/>
      <c r="F235" s="781"/>
      <c r="G235" s="782"/>
      <c r="H235" s="757"/>
      <c r="I235" s="769">
        <f>SUM(I228:I234)</f>
        <v>94.960000000000008</v>
      </c>
      <c r="J235" s="783" t="s">
        <v>102</v>
      </c>
      <c r="K235" s="768">
        <f>'DATA 2025-26'!E553</f>
        <v>491.82</v>
      </c>
      <c r="L235" s="761" t="s">
        <v>270</v>
      </c>
      <c r="M235" s="784">
        <f>ROUND(I235*K235,0)</f>
        <v>46703</v>
      </c>
    </row>
    <row r="236" spans="1:13" s="763" customFormat="1" ht="71.25" customHeight="1">
      <c r="A236" s="757">
        <v>19</v>
      </c>
      <c r="B236" s="965" t="s">
        <v>310</v>
      </c>
      <c r="C236" s="965"/>
      <c r="D236" s="965"/>
      <c r="E236" s="965"/>
      <c r="F236" s="965"/>
      <c r="G236" s="965"/>
      <c r="H236" s="965"/>
      <c r="I236" s="759"/>
      <c r="J236" s="760"/>
      <c r="K236" s="757"/>
      <c r="L236" s="761"/>
      <c r="M236" s="762"/>
    </row>
    <row r="237" spans="1:13" s="771" customFormat="1" ht="16.5" customHeight="1">
      <c r="A237" s="757"/>
      <c r="B237" s="764" t="s">
        <v>2293</v>
      </c>
      <c r="C237" s="765">
        <v>1</v>
      </c>
      <c r="D237" s="766" t="s">
        <v>268</v>
      </c>
      <c r="E237" s="767">
        <v>1</v>
      </c>
      <c r="F237" s="768">
        <v>32.76</v>
      </c>
      <c r="G237" s="768">
        <v>0</v>
      </c>
      <c r="H237" s="768">
        <v>4.8499999999999996</v>
      </c>
      <c r="I237" s="769">
        <f>ROUND(IF(AND(F237:H237),C237*E237*F237*G237*H237,IF(AND(F237,G237),C237*E237*F237*G237,IF(AND(F237,H237),C237*E237*F237*H237,IF(AND(G237,H237),C237*E237*G237*H237,IF(F237,C237*E237*F237,IF(G237,C237*E237*G237,IF(H237,C237*E237*H237,C237*E237))))))),2)</f>
        <v>158.88999999999999</v>
      </c>
      <c r="J237" s="770" t="s">
        <v>102</v>
      </c>
      <c r="K237" s="764"/>
      <c r="L237" s="757"/>
      <c r="M237" s="764"/>
    </row>
    <row r="238" spans="1:13" s="771" customFormat="1" ht="16.5" customHeight="1">
      <c r="A238" s="757"/>
      <c r="B238" s="764" t="s">
        <v>1260</v>
      </c>
      <c r="C238" s="765">
        <v>1</v>
      </c>
      <c r="D238" s="766" t="s">
        <v>268</v>
      </c>
      <c r="E238" s="767">
        <v>2</v>
      </c>
      <c r="F238" s="768">
        <v>7.74</v>
      </c>
      <c r="G238" s="768">
        <v>0</v>
      </c>
      <c r="H238" s="768">
        <v>0.75</v>
      </c>
      <c r="I238" s="769">
        <f>ROUND(IF(AND(F238:H238),C238*E238*F238*G238*H238,IF(AND(F238,G238),C238*E238*F238*G238,IF(AND(F238,H238),C238*E238*F238*H238,IF(AND(G238,H238),C238*E238*G238*H238,IF(F238,C238*E238*F238,IF(G238,C238*E238*G238,IF(H238,C238*E238*H238,C238*E238))))))),2)</f>
        <v>11.61</v>
      </c>
      <c r="J238" s="770" t="s">
        <v>102</v>
      </c>
      <c r="K238" s="764"/>
      <c r="L238" s="757"/>
      <c r="M238" s="764"/>
    </row>
    <row r="239" spans="1:13" s="771" customFormat="1" ht="16.5" customHeight="1">
      <c r="A239" s="757"/>
      <c r="B239" s="764"/>
      <c r="C239" s="765">
        <v>1</v>
      </c>
      <c r="D239" s="766" t="s">
        <v>268</v>
      </c>
      <c r="E239" s="767">
        <v>1</v>
      </c>
      <c r="F239" s="768">
        <v>7.74</v>
      </c>
      <c r="G239" s="781">
        <v>0.115</v>
      </c>
      <c r="H239" s="768">
        <v>0</v>
      </c>
      <c r="I239" s="769">
        <f>ROUND(IF(AND(F239:H239),C239*E239*F239*G239*H239,IF(AND(F239,G239),C239*E239*F239*G239,IF(AND(F239,H239),C239*E239*F239*H239,IF(AND(G239,H239),C239*E239*G239*H239,IF(F239,C239*E239*F239,IF(G239,C239*E239*G239,IF(H239,C239*E239*H239,C239*E239))))))),2)</f>
        <v>0.89</v>
      </c>
      <c r="J239" s="770" t="s">
        <v>102</v>
      </c>
      <c r="K239" s="764"/>
      <c r="L239" s="757"/>
      <c r="M239" s="764"/>
    </row>
    <row r="240" spans="1:13" s="771" customFormat="1" ht="16.5" customHeight="1">
      <c r="A240" s="757"/>
      <c r="B240" s="764" t="s">
        <v>578</v>
      </c>
      <c r="C240" s="765">
        <v>1</v>
      </c>
      <c r="D240" s="766" t="s">
        <v>268</v>
      </c>
      <c r="E240" s="767">
        <v>1</v>
      </c>
      <c r="F240" s="768">
        <v>1.2</v>
      </c>
      <c r="G240" s="768">
        <v>0</v>
      </c>
      <c r="H240" s="768">
        <v>2.1</v>
      </c>
      <c r="I240" s="769">
        <f>-ROUND(IF(AND(F240:H240),C240*E240*F240*G240*H240,IF(AND(F240,G240),C240*E240*F240*G240,IF(AND(F240,H240),C240*E240*F240*H240,IF(AND(G240,H240),C240*E240*G240*H240,IF(F240,C240*E240*F240,IF(G240,C240*E240*G240,IF(H240,C240*E240*H240,C240*E240))))))),2)</f>
        <v>-2.52</v>
      </c>
      <c r="J240" s="770" t="s">
        <v>102</v>
      </c>
      <c r="K240" s="764"/>
      <c r="L240" s="757"/>
      <c r="M240" s="764"/>
    </row>
    <row r="241" spans="1:13" s="771" customFormat="1" ht="16.5" customHeight="1">
      <c r="A241" s="757"/>
      <c r="B241" s="764" t="s">
        <v>578</v>
      </c>
      <c r="C241" s="765">
        <v>1</v>
      </c>
      <c r="D241" s="766" t="s">
        <v>268</v>
      </c>
      <c r="E241" s="767">
        <v>2</v>
      </c>
      <c r="F241" s="768">
        <v>0.9</v>
      </c>
      <c r="G241" s="768">
        <v>0</v>
      </c>
      <c r="H241" s="768">
        <v>2.1</v>
      </c>
      <c r="I241" s="769">
        <f>-ROUND(IF(AND(F241:H241),C241*E241*F241*G241*H241,IF(AND(F241,G241),C241*E241*F241*G241,IF(AND(F241,H241),C241*E241*F241*H241,IF(AND(G241,H241),C241*E241*G241*H241,IF(F241,C241*E241*F241,IF(G241,C241*E241*G241,IF(H241,C241*E241*H241,C241*E241))))))),2)</f>
        <v>-3.78</v>
      </c>
      <c r="J241" s="770" t="s">
        <v>102</v>
      </c>
      <c r="K241" s="764"/>
      <c r="L241" s="757"/>
      <c r="M241" s="764"/>
    </row>
    <row r="242" spans="1:13" s="771" customFormat="1" ht="16.5" customHeight="1">
      <c r="A242" s="757"/>
      <c r="B242" s="764" t="s">
        <v>748</v>
      </c>
      <c r="C242" s="765">
        <v>1</v>
      </c>
      <c r="D242" s="766" t="s">
        <v>268</v>
      </c>
      <c r="E242" s="767">
        <v>4</v>
      </c>
      <c r="F242" s="768">
        <v>1.5</v>
      </c>
      <c r="G242" s="768">
        <v>0</v>
      </c>
      <c r="H242" s="768">
        <v>1.35</v>
      </c>
      <c r="I242" s="769">
        <f>-ROUND(IF(AND(F242:H242),C242*E242*F242*G242*H242,IF(AND(F242,G242),C242*E242*F242*G242,IF(AND(F242,H242),C242*E242*F242*H242,IF(AND(G242,H242),C242*E242*G242*H242,IF(F242,C242*E242*F242,IF(G242,C242*E242*G242,IF(H242,C242*E242*H242,C242*E242))))))),2)</f>
        <v>-8.1</v>
      </c>
      <c r="J242" s="770" t="s">
        <v>102</v>
      </c>
      <c r="K242" s="764"/>
      <c r="L242" s="757"/>
      <c r="M242" s="764"/>
    </row>
    <row r="243" spans="1:13" s="771" customFormat="1" ht="16.5" customHeight="1">
      <c r="A243" s="757"/>
      <c r="B243" s="764" t="s">
        <v>748</v>
      </c>
      <c r="C243" s="765">
        <v>1</v>
      </c>
      <c r="D243" s="766" t="s">
        <v>268</v>
      </c>
      <c r="E243" s="767">
        <v>4</v>
      </c>
      <c r="F243" s="768">
        <v>0.9</v>
      </c>
      <c r="G243" s="768">
        <v>0</v>
      </c>
      <c r="H243" s="768">
        <v>1.35</v>
      </c>
      <c r="I243" s="769">
        <f>-ROUND(IF(AND(F243:H243),C243*E243*F243*G243*H243,IF(AND(F243,G243),C243*E243*F243*G243,IF(AND(F243,H243),C243*E243*F243*H243,IF(AND(G243,H243),C243*E243*G243*H243,IF(F243,C243*E243*F243,IF(G243,C243*E243*G243,IF(H243,C243*E243*H243,C243*E243))))))),2)</f>
        <v>-4.8600000000000003</v>
      </c>
      <c r="J243" s="770" t="s">
        <v>102</v>
      </c>
      <c r="K243" s="764"/>
      <c r="L243" s="757"/>
      <c r="M243" s="764"/>
    </row>
    <row r="244" spans="1:13" s="771" customFormat="1" ht="15">
      <c r="A244" s="757"/>
      <c r="B244" s="773"/>
      <c r="C244" s="774"/>
      <c r="D244" s="775"/>
      <c r="E244" s="776"/>
      <c r="F244" s="777"/>
      <c r="G244" s="777"/>
      <c r="H244" s="777"/>
      <c r="I244" s="769"/>
      <c r="J244" s="783"/>
      <c r="K244" s="764"/>
      <c r="L244" s="761"/>
      <c r="M244" s="764"/>
    </row>
    <row r="245" spans="1:13" s="763" customFormat="1">
      <c r="A245" s="757"/>
      <c r="B245" s="764"/>
      <c r="C245" s="779"/>
      <c r="D245" s="780"/>
      <c r="E245" s="767"/>
      <c r="F245" s="781"/>
      <c r="G245" s="782"/>
      <c r="H245" s="757"/>
      <c r="I245" s="769">
        <f>SUM(I237:I244)</f>
        <v>152.12999999999997</v>
      </c>
      <c r="J245" s="783" t="s">
        <v>102</v>
      </c>
      <c r="K245" s="768">
        <f>'DATA 2025-26'!E574</f>
        <v>504.5</v>
      </c>
      <c r="L245" s="761" t="s">
        <v>270</v>
      </c>
      <c r="M245" s="784">
        <f>ROUND(I245*K245,0)</f>
        <v>76750</v>
      </c>
    </row>
    <row r="246" spans="1:13" ht="92.25" hidden="1" customHeight="1">
      <c r="A246" s="110">
        <v>2</v>
      </c>
      <c r="B246" s="964" t="s">
        <v>2258</v>
      </c>
      <c r="C246" s="964"/>
      <c r="D246" s="964"/>
      <c r="E246" s="964"/>
      <c r="F246" s="964"/>
      <c r="G246" s="964"/>
      <c r="H246" s="964"/>
      <c r="I246" s="183"/>
      <c r="J246" s="186"/>
      <c r="K246" s="110"/>
      <c r="L246" s="210"/>
      <c r="M246" s="139"/>
    </row>
    <row r="247" spans="1:13" s="148" customFormat="1" ht="16.5" hidden="1" customHeight="1">
      <c r="A247" s="110"/>
      <c r="B247" s="149" t="s">
        <v>2165</v>
      </c>
      <c r="C247" s="150">
        <v>1</v>
      </c>
      <c r="D247" s="151" t="s">
        <v>268</v>
      </c>
      <c r="E247" s="152">
        <v>1</v>
      </c>
      <c r="F247" s="153">
        <v>2.9</v>
      </c>
      <c r="G247" s="153">
        <v>2.85</v>
      </c>
      <c r="H247" s="153">
        <v>7.4999999999999997E-2</v>
      </c>
      <c r="I247" s="185">
        <f t="shared" ref="I247:I260" si="26">ROUND(IF(AND(F247:H247),C247*E247*F247*G247*H247,IF(AND(F247,G247),C247*E247*F247*G247,IF(AND(F247,H247),C247*E247*F247*H247,IF(AND(G247,H247),C247*E247*G247*H247,IF(F247,C247*E247*F247,IF(G247,C247*E247*G247,IF(H247,C247*E247*H247,C247*E247))))))),2)</f>
        <v>0.62</v>
      </c>
      <c r="J247" s="195" t="s">
        <v>5</v>
      </c>
      <c r="K247" s="147"/>
      <c r="L247" s="210"/>
      <c r="M247" s="147"/>
    </row>
    <row r="248" spans="1:13" s="148" customFormat="1" ht="16.5" hidden="1" customHeight="1">
      <c r="A248" s="110"/>
      <c r="B248" s="149" t="s">
        <v>1890</v>
      </c>
      <c r="C248" s="150">
        <v>1</v>
      </c>
      <c r="D248" s="151" t="s">
        <v>268</v>
      </c>
      <c r="E248" s="152">
        <v>1</v>
      </c>
      <c r="F248" s="153">
        <v>1.35</v>
      </c>
      <c r="G248" s="153">
        <v>1.6</v>
      </c>
      <c r="H248" s="153">
        <v>7.4999999999999997E-2</v>
      </c>
      <c r="I248" s="185">
        <f t="shared" si="26"/>
        <v>0.16</v>
      </c>
      <c r="J248" s="195" t="s">
        <v>5</v>
      </c>
      <c r="K248" s="147"/>
      <c r="L248" s="210"/>
      <c r="M248" s="147"/>
    </row>
    <row r="249" spans="1:13" s="148" customFormat="1" ht="16.5" hidden="1" customHeight="1">
      <c r="A249" s="110"/>
      <c r="B249" s="149"/>
      <c r="C249" s="150">
        <v>1</v>
      </c>
      <c r="D249" s="151" t="s">
        <v>268</v>
      </c>
      <c r="E249" s="152">
        <v>1</v>
      </c>
      <c r="F249" s="153">
        <v>1.35</v>
      </c>
      <c r="G249" s="153">
        <v>0.95</v>
      </c>
      <c r="H249" s="153">
        <v>7.4999999999999997E-2</v>
      </c>
      <c r="I249" s="185">
        <f t="shared" si="26"/>
        <v>0.1</v>
      </c>
      <c r="J249" s="195" t="s">
        <v>5</v>
      </c>
      <c r="K249" s="147"/>
      <c r="L249" s="210"/>
      <c r="M249" s="147"/>
    </row>
    <row r="250" spans="1:13" s="148" customFormat="1" ht="16.5" hidden="1" customHeight="1">
      <c r="A250" s="110"/>
      <c r="B250" s="149" t="s">
        <v>2166</v>
      </c>
      <c r="C250" s="150">
        <v>1</v>
      </c>
      <c r="D250" s="151" t="s">
        <v>268</v>
      </c>
      <c r="E250" s="152">
        <v>1</v>
      </c>
      <c r="F250" s="153">
        <v>2.25</v>
      </c>
      <c r="G250" s="153">
        <v>2.85</v>
      </c>
      <c r="H250" s="153">
        <v>7.4999999999999997E-2</v>
      </c>
      <c r="I250" s="185">
        <f t="shared" si="26"/>
        <v>0.48</v>
      </c>
      <c r="J250" s="195" t="s">
        <v>5</v>
      </c>
      <c r="K250" s="147"/>
      <c r="L250" s="210"/>
      <c r="M250" s="147"/>
    </row>
    <row r="251" spans="1:13" s="148" customFormat="1" ht="16.5" hidden="1" customHeight="1">
      <c r="A251" s="110"/>
      <c r="B251" s="149" t="s">
        <v>2167</v>
      </c>
      <c r="C251" s="150">
        <v>1</v>
      </c>
      <c r="D251" s="151" t="s">
        <v>268</v>
      </c>
      <c r="E251" s="152">
        <v>1</v>
      </c>
      <c r="F251" s="153">
        <v>2.72</v>
      </c>
      <c r="G251" s="153">
        <v>2.85</v>
      </c>
      <c r="H251" s="153">
        <v>7.4999999999999997E-2</v>
      </c>
      <c r="I251" s="185">
        <f t="shared" si="26"/>
        <v>0.57999999999999996</v>
      </c>
      <c r="J251" s="195" t="s">
        <v>5</v>
      </c>
      <c r="K251" s="147"/>
      <c r="L251" s="210"/>
      <c r="M251" s="147"/>
    </row>
    <row r="252" spans="1:13" s="148" customFormat="1" ht="16.5" hidden="1" customHeight="1">
      <c r="A252" s="110"/>
      <c r="B252" s="149" t="s">
        <v>1848</v>
      </c>
      <c r="C252" s="150">
        <v>1</v>
      </c>
      <c r="D252" s="151" t="s">
        <v>268</v>
      </c>
      <c r="E252" s="152">
        <v>1</v>
      </c>
      <c r="F252" s="153">
        <v>1.42</v>
      </c>
      <c r="G252" s="153">
        <v>1.8</v>
      </c>
      <c r="H252" s="153">
        <v>7.4999999999999997E-2</v>
      </c>
      <c r="I252" s="185">
        <f t="shared" si="26"/>
        <v>0.19</v>
      </c>
      <c r="J252" s="195" t="s">
        <v>5</v>
      </c>
      <c r="K252" s="147"/>
      <c r="L252" s="210"/>
      <c r="M252" s="147"/>
    </row>
    <row r="253" spans="1:13" s="148" customFormat="1" ht="16.5" hidden="1" customHeight="1">
      <c r="A253" s="110"/>
      <c r="B253" s="149"/>
      <c r="C253" s="150">
        <v>1</v>
      </c>
      <c r="D253" s="151" t="s">
        <v>268</v>
      </c>
      <c r="E253" s="152">
        <v>1</v>
      </c>
      <c r="F253" s="153">
        <v>1.42</v>
      </c>
      <c r="G253" s="153">
        <v>1.05</v>
      </c>
      <c r="H253" s="153">
        <v>7.4999999999999997E-2</v>
      </c>
      <c r="I253" s="185">
        <f t="shared" si="26"/>
        <v>0.11</v>
      </c>
      <c r="J253" s="195" t="s">
        <v>5</v>
      </c>
      <c r="K253" s="147"/>
      <c r="L253" s="210"/>
      <c r="M253" s="147"/>
    </row>
    <row r="254" spans="1:13" s="148" customFormat="1" ht="16.5" hidden="1" customHeight="1">
      <c r="A254" s="110"/>
      <c r="B254" s="149" t="s">
        <v>2168</v>
      </c>
      <c r="C254" s="150">
        <v>1</v>
      </c>
      <c r="D254" s="151" t="s">
        <v>268</v>
      </c>
      <c r="E254" s="152">
        <v>1</v>
      </c>
      <c r="F254" s="153">
        <v>1.82</v>
      </c>
      <c r="G254" s="153">
        <v>2.8</v>
      </c>
      <c r="H254" s="153">
        <v>7.4999999999999997E-2</v>
      </c>
      <c r="I254" s="185">
        <f t="shared" si="26"/>
        <v>0.38</v>
      </c>
      <c r="J254" s="195" t="s">
        <v>5</v>
      </c>
      <c r="K254" s="147"/>
      <c r="L254" s="210"/>
      <c r="M254" s="147"/>
    </row>
    <row r="255" spans="1:13" s="148" customFormat="1" ht="16.5" hidden="1" customHeight="1">
      <c r="A255" s="110"/>
      <c r="B255" s="149" t="s">
        <v>2169</v>
      </c>
      <c r="C255" s="150">
        <v>1</v>
      </c>
      <c r="D255" s="151" t="s">
        <v>268</v>
      </c>
      <c r="E255" s="152">
        <v>1</v>
      </c>
      <c r="F255" s="153">
        <v>6.78</v>
      </c>
      <c r="G255" s="153">
        <v>2.96</v>
      </c>
      <c r="H255" s="153">
        <v>7.4999999999999997E-2</v>
      </c>
      <c r="I255" s="185">
        <f t="shared" si="26"/>
        <v>1.51</v>
      </c>
      <c r="J255" s="195" t="s">
        <v>5</v>
      </c>
      <c r="K255" s="147"/>
      <c r="L255" s="210"/>
      <c r="M255" s="147"/>
    </row>
    <row r="256" spans="1:13" s="148" customFormat="1" ht="16.5" hidden="1" customHeight="1">
      <c r="A256" s="110"/>
      <c r="B256" s="149" t="s">
        <v>2170</v>
      </c>
      <c r="C256" s="150">
        <v>1</v>
      </c>
      <c r="D256" s="151" t="s">
        <v>268</v>
      </c>
      <c r="E256" s="152">
        <v>1</v>
      </c>
      <c r="F256" s="153">
        <v>6.22</v>
      </c>
      <c r="G256" s="153">
        <v>2.96</v>
      </c>
      <c r="H256" s="153">
        <v>7.4999999999999997E-2</v>
      </c>
      <c r="I256" s="185">
        <f t="shared" si="26"/>
        <v>1.38</v>
      </c>
      <c r="J256" s="195" t="s">
        <v>5</v>
      </c>
      <c r="K256" s="147"/>
      <c r="L256" s="210"/>
      <c r="M256" s="147"/>
    </row>
    <row r="257" spans="1:13" s="148" customFormat="1" ht="16.5" hidden="1" customHeight="1">
      <c r="A257" s="110"/>
      <c r="B257" s="149" t="s">
        <v>2171</v>
      </c>
      <c r="C257" s="150">
        <v>1</v>
      </c>
      <c r="D257" s="151" t="s">
        <v>268</v>
      </c>
      <c r="E257" s="152">
        <v>1</v>
      </c>
      <c r="F257" s="153">
        <v>12</v>
      </c>
      <c r="G257" s="153">
        <v>1.2</v>
      </c>
      <c r="H257" s="153">
        <v>7.4999999999999997E-2</v>
      </c>
      <c r="I257" s="185">
        <f t="shared" si="26"/>
        <v>1.08</v>
      </c>
      <c r="J257" s="195" t="s">
        <v>5</v>
      </c>
      <c r="K257" s="147"/>
      <c r="L257" s="210"/>
      <c r="M257" s="147"/>
    </row>
    <row r="258" spans="1:13" s="148" customFormat="1" ht="16.5" hidden="1" customHeight="1">
      <c r="A258" s="110"/>
      <c r="B258" s="149"/>
      <c r="C258" s="150">
        <v>1</v>
      </c>
      <c r="D258" s="151" t="s">
        <v>268</v>
      </c>
      <c r="E258" s="152">
        <v>1</v>
      </c>
      <c r="F258" s="153">
        <v>6.1</v>
      </c>
      <c r="G258" s="153">
        <v>1.2</v>
      </c>
      <c r="H258" s="153">
        <v>7.4999999999999997E-2</v>
      </c>
      <c r="I258" s="185">
        <f t="shared" si="26"/>
        <v>0.55000000000000004</v>
      </c>
      <c r="J258" s="195" t="s">
        <v>5</v>
      </c>
      <c r="K258" s="147"/>
      <c r="L258" s="210"/>
      <c r="M258" s="147"/>
    </row>
    <row r="259" spans="1:13" s="148" customFormat="1" ht="16.5" hidden="1" customHeight="1">
      <c r="A259" s="110"/>
      <c r="B259" s="149" t="s">
        <v>2172</v>
      </c>
      <c r="C259" s="150">
        <v>1</v>
      </c>
      <c r="D259" s="151" t="s">
        <v>268</v>
      </c>
      <c r="E259" s="152">
        <v>1</v>
      </c>
      <c r="F259" s="153">
        <v>2.5499999999999998</v>
      </c>
      <c r="G259" s="153">
        <v>1.2</v>
      </c>
      <c r="H259" s="153">
        <v>7.4999999999999997E-2</v>
      </c>
      <c r="I259" s="185">
        <f t="shared" si="26"/>
        <v>0.23</v>
      </c>
      <c r="J259" s="195" t="s">
        <v>5</v>
      </c>
      <c r="K259" s="147"/>
      <c r="L259" s="210"/>
      <c r="M259" s="147"/>
    </row>
    <row r="260" spans="1:13" s="148" customFormat="1" ht="16.5" hidden="1" customHeight="1">
      <c r="A260" s="110"/>
      <c r="B260" s="149" t="s">
        <v>2173</v>
      </c>
      <c r="C260" s="150">
        <v>1</v>
      </c>
      <c r="D260" s="151" t="s">
        <v>268</v>
      </c>
      <c r="E260" s="152">
        <v>1</v>
      </c>
      <c r="F260" s="153">
        <v>1.2</v>
      </c>
      <c r="G260" s="153">
        <v>0.9</v>
      </c>
      <c r="H260" s="153">
        <v>7.4999999999999997E-2</v>
      </c>
      <c r="I260" s="185">
        <f t="shared" si="26"/>
        <v>0.08</v>
      </c>
      <c r="J260" s="195" t="s">
        <v>5</v>
      </c>
      <c r="K260" s="147"/>
      <c r="L260" s="210"/>
      <c r="M260" s="147"/>
    </row>
    <row r="261" spans="1:13" s="148" customFormat="1" ht="16.5" hidden="1" customHeight="1">
      <c r="A261" s="110"/>
      <c r="B261" s="149"/>
      <c r="C261" s="150"/>
      <c r="D261" s="151"/>
      <c r="E261" s="159"/>
      <c r="F261" s="153"/>
      <c r="G261" s="153"/>
      <c r="H261" s="153"/>
      <c r="I261" s="185"/>
      <c r="J261" s="195"/>
      <c r="K261" s="147"/>
      <c r="L261" s="210"/>
      <c r="M261" s="147"/>
    </row>
    <row r="262" spans="1:13" hidden="1">
      <c r="A262" s="110"/>
      <c r="B262" s="147"/>
      <c r="C262" s="154"/>
      <c r="D262" s="155"/>
      <c r="E262" s="156"/>
      <c r="F262" s="157"/>
      <c r="G262" s="158"/>
      <c r="H262" s="110"/>
      <c r="I262" s="185"/>
      <c r="J262" s="195" t="s">
        <v>5</v>
      </c>
      <c r="K262" s="12">
        <f>'DATA 2025-26'!E295</f>
        <v>6758.1799999999994</v>
      </c>
      <c r="L262" s="210" t="s">
        <v>269</v>
      </c>
      <c r="M262" s="11">
        <f>ROUND(I262*K262,0)</f>
        <v>0</v>
      </c>
    </row>
    <row r="263" spans="1:13" s="763" customFormat="1" ht="106.5" customHeight="1">
      <c r="A263" s="757">
        <v>20</v>
      </c>
      <c r="B263" s="965" t="s">
        <v>212</v>
      </c>
      <c r="C263" s="965"/>
      <c r="D263" s="965"/>
      <c r="E263" s="965"/>
      <c r="F263" s="965"/>
      <c r="G263" s="965"/>
      <c r="H263" s="965"/>
      <c r="I263" s="759"/>
      <c r="J263" s="760"/>
      <c r="K263" s="757"/>
      <c r="L263" s="761"/>
      <c r="M263" s="762"/>
    </row>
    <row r="264" spans="1:13" s="771" customFormat="1" ht="16.5" customHeight="1">
      <c r="A264" s="757"/>
      <c r="B264" s="764" t="s">
        <v>745</v>
      </c>
      <c r="C264" s="765">
        <v>1</v>
      </c>
      <c r="D264" s="766" t="s">
        <v>268</v>
      </c>
      <c r="E264" s="767">
        <v>1</v>
      </c>
      <c r="F264" s="768">
        <v>5.49</v>
      </c>
      <c r="G264" s="768">
        <v>7.32</v>
      </c>
      <c r="H264" s="768">
        <v>0</v>
      </c>
      <c r="I264" s="769">
        <f>ROUND(IF(AND(F264:H264),C264*E264*F264*G264*H264,IF(AND(F264,G264),C264*E264*F264*G264,IF(AND(F264,H264),C264*E264*F264*H264,IF(AND(G264,H264),C264*E264*G264*H264,IF(F264,C264*E264*F264,IF(G264,C264*E264*G264,IF(H264,C264*E264*H264,C264*E264))))))),2)</f>
        <v>40.19</v>
      </c>
      <c r="J264" s="770" t="s">
        <v>102</v>
      </c>
      <c r="K264" s="764"/>
      <c r="L264" s="757"/>
      <c r="M264" s="764"/>
    </row>
    <row r="265" spans="1:13" s="771" customFormat="1" ht="16.5" customHeight="1">
      <c r="A265" s="757"/>
      <c r="B265" s="764" t="s">
        <v>2315</v>
      </c>
      <c r="C265" s="765">
        <v>1</v>
      </c>
      <c r="D265" s="766" t="s">
        <v>268</v>
      </c>
      <c r="E265" s="767">
        <v>1</v>
      </c>
      <c r="F265" s="768">
        <v>5.49</v>
      </c>
      <c r="G265" s="768">
        <v>2.44</v>
      </c>
      <c r="H265" s="768">
        <v>0</v>
      </c>
      <c r="I265" s="769">
        <f>ROUND(IF(AND(F265:H265),C265*E265*F265*G265*H265,IF(AND(F265,G265),C265*E265*F265*G265,IF(AND(F265,H265),C265*E265*F265*H265,IF(AND(G265,H265),C265*E265*G265*H265,IF(F265,C265*E265*F265,IF(G265,C265*E265*G265,IF(H265,C265*E265*H265,C265*E265))))))),2)</f>
        <v>13.4</v>
      </c>
      <c r="J265" s="770" t="s">
        <v>102</v>
      </c>
      <c r="K265" s="764"/>
      <c r="L265" s="757"/>
      <c r="M265" s="764"/>
    </row>
    <row r="266" spans="1:13" s="771" customFormat="1" ht="16.5" customHeight="1">
      <c r="A266" s="757"/>
      <c r="B266" s="764" t="s">
        <v>2294</v>
      </c>
      <c r="C266" s="765">
        <v>1</v>
      </c>
      <c r="D266" s="766" t="s">
        <v>268</v>
      </c>
      <c r="E266" s="767">
        <v>1</v>
      </c>
      <c r="F266" s="768">
        <v>5.95</v>
      </c>
      <c r="G266" s="768">
        <v>0.9</v>
      </c>
      <c r="H266" s="768">
        <v>0</v>
      </c>
      <c r="I266" s="769">
        <f t="shared" ref="I266" si="27">ROUND(IF(AND(F266:H266),C266*E266*F266*G266*H266,IF(AND(F266,G266),C266*E266*F266*G266,IF(AND(F266,H266),C266*E266*F266*H266,IF(AND(G266,H266),C266*E266*G266*H266,IF(F266,C266*E266*F266,IF(G266,C266*E266*G266,IF(H266,C266*E266*H266,C266*E266))))))),2)</f>
        <v>5.36</v>
      </c>
      <c r="J266" s="770" t="s">
        <v>102</v>
      </c>
      <c r="K266" s="764"/>
      <c r="L266" s="761"/>
      <c r="M266" s="764"/>
    </row>
    <row r="267" spans="1:13" s="771" customFormat="1" ht="16.5" customHeight="1">
      <c r="A267" s="757"/>
      <c r="B267" s="764"/>
      <c r="C267" s="765"/>
      <c r="D267" s="766"/>
      <c r="E267" s="767"/>
      <c r="F267" s="768"/>
      <c r="G267" s="768"/>
      <c r="H267" s="768"/>
      <c r="I267" s="769"/>
      <c r="J267" s="770"/>
      <c r="K267" s="764"/>
      <c r="L267" s="761"/>
      <c r="M267" s="764"/>
    </row>
    <row r="268" spans="1:13" s="763" customFormat="1">
      <c r="A268" s="757"/>
      <c r="B268" s="764"/>
      <c r="C268" s="779"/>
      <c r="D268" s="780"/>
      <c r="E268" s="767"/>
      <c r="F268" s="781"/>
      <c r="G268" s="782"/>
      <c r="H268" s="757"/>
      <c r="I268" s="769">
        <f>SUM(I264:I267)</f>
        <v>58.949999999999996</v>
      </c>
      <c r="J268" s="783" t="s">
        <v>102</v>
      </c>
      <c r="K268" s="768">
        <f>'DATA 2025-26'!E726</f>
        <v>1257.71</v>
      </c>
      <c r="L268" s="761" t="s">
        <v>270</v>
      </c>
      <c r="M268" s="784">
        <f>ROUND(I268*K268,0)</f>
        <v>74142</v>
      </c>
    </row>
    <row r="269" spans="1:13" s="763" customFormat="1" ht="79.5" customHeight="1">
      <c r="A269" s="757">
        <v>21</v>
      </c>
      <c r="B269" s="965" t="s">
        <v>213</v>
      </c>
      <c r="C269" s="965"/>
      <c r="D269" s="965"/>
      <c r="E269" s="965"/>
      <c r="F269" s="965"/>
      <c r="G269" s="965"/>
      <c r="H269" s="965"/>
      <c r="I269" s="759"/>
      <c r="J269" s="760"/>
      <c r="K269" s="757"/>
      <c r="L269" s="761"/>
      <c r="M269" s="762"/>
    </row>
    <row r="270" spans="1:13" s="771" customFormat="1" ht="16.5" customHeight="1">
      <c r="A270" s="757"/>
      <c r="B270" s="764" t="s">
        <v>745</v>
      </c>
      <c r="C270" s="765">
        <v>1</v>
      </c>
      <c r="D270" s="766" t="s">
        <v>268</v>
      </c>
      <c r="E270" s="767">
        <v>1</v>
      </c>
      <c r="F270" s="768">
        <v>20.12</v>
      </c>
      <c r="G270" s="768">
        <v>0</v>
      </c>
      <c r="H270" s="768">
        <v>0.1</v>
      </c>
      <c r="I270" s="769">
        <f>ROUND(IF(AND(F270:H270),C270*E270*F270*G270*H270,IF(AND(F270,G270),C270*E270*F270*G270,IF(AND(F270,H270),C270*E270*F270*H270,IF(AND(G270,H270),C270*E270*G270*H270,IF(F270,C270*E270*F270,IF(G270,C270*E270*G270,IF(H270,C270*E270*H270,C270*E270))))))),2)</f>
        <v>2.0099999999999998</v>
      </c>
      <c r="J270" s="770" t="s">
        <v>102</v>
      </c>
      <c r="K270" s="764"/>
      <c r="L270" s="757"/>
      <c r="M270" s="764"/>
    </row>
    <row r="271" spans="1:13" s="771" customFormat="1" ht="16.5" customHeight="1">
      <c r="A271" s="757"/>
      <c r="B271" s="764" t="s">
        <v>578</v>
      </c>
      <c r="C271" s="765">
        <v>1</v>
      </c>
      <c r="D271" s="766" t="s">
        <v>268</v>
      </c>
      <c r="E271" s="767">
        <v>1</v>
      </c>
      <c r="F271" s="768">
        <v>1.2</v>
      </c>
      <c r="G271" s="768">
        <v>0</v>
      </c>
      <c r="H271" s="768">
        <v>0.1</v>
      </c>
      <c r="I271" s="769">
        <f>-ROUND(IF(AND(F271:H271),C271*E271*F271*G271*H271,IF(AND(F271,G271),C271*E271*F271*G271,IF(AND(F271,H271),C271*E271*F271*H271,IF(AND(G271,H271),C271*E271*G271*H271,IF(F271,C271*E271*F271,IF(G271,C271*E271*G271,IF(H271,C271*E271*H271,C271*E271))))))),2)</f>
        <v>-0.12</v>
      </c>
      <c r="J271" s="770" t="s">
        <v>102</v>
      </c>
      <c r="K271" s="764"/>
      <c r="L271" s="757"/>
      <c r="M271" s="764"/>
    </row>
    <row r="272" spans="1:13" s="771" customFormat="1" ht="16.5" customHeight="1">
      <c r="A272" s="757"/>
      <c r="B272" s="764" t="s">
        <v>578</v>
      </c>
      <c r="C272" s="765">
        <v>1</v>
      </c>
      <c r="D272" s="766" t="s">
        <v>268</v>
      </c>
      <c r="E272" s="767">
        <v>2</v>
      </c>
      <c r="F272" s="768">
        <v>0.9</v>
      </c>
      <c r="G272" s="768">
        <v>0</v>
      </c>
      <c r="H272" s="768">
        <v>0.1</v>
      </c>
      <c r="I272" s="769">
        <f>-ROUND(IF(AND(F272:H272),C272*E272*F272*G272*H272,IF(AND(F272,G272),C272*E272*F272*G272,IF(AND(F272,H272),C272*E272*F272*H272,IF(AND(G272,H272),C272*E272*G272*H272,IF(F272,C272*E272*F272,IF(G272,C272*E272*G272,IF(H272,C272*E272*H272,C272*E272))))))),2)</f>
        <v>-0.18</v>
      </c>
      <c r="J272" s="770" t="s">
        <v>102</v>
      </c>
      <c r="K272" s="764"/>
      <c r="L272" s="757"/>
      <c r="M272" s="764"/>
    </row>
    <row r="273" spans="1:17" s="771" customFormat="1" ht="16.5" customHeight="1">
      <c r="A273" s="757"/>
      <c r="B273" s="764" t="s">
        <v>2315</v>
      </c>
      <c r="C273" s="765">
        <v>1</v>
      </c>
      <c r="D273" s="766" t="s">
        <v>268</v>
      </c>
      <c r="E273" s="767">
        <v>1</v>
      </c>
      <c r="F273" s="768">
        <v>10.36</v>
      </c>
      <c r="G273" s="768">
        <v>0</v>
      </c>
      <c r="H273" s="768">
        <v>0.1</v>
      </c>
      <c r="I273" s="769">
        <f>ROUND(IF(AND(F273:H273),C273*E273*F273*G273*H273,IF(AND(F273,G273),C273*E273*F273*G273,IF(AND(F273,H273),C273*E273*F273*H273,IF(AND(G273,H273),C273*E273*G273*H273,IF(F273,C273*E273*F273,IF(G273,C273*E273*G273,IF(H273,C273*E273*H273,C273*E273))))))),2)</f>
        <v>1.04</v>
      </c>
      <c r="J273" s="770" t="s">
        <v>102</v>
      </c>
      <c r="K273" s="764"/>
      <c r="L273" s="757"/>
      <c r="M273" s="764"/>
    </row>
    <row r="274" spans="1:17" s="771" customFormat="1" ht="16.5" customHeight="1">
      <c r="A274" s="757"/>
      <c r="B274" s="764" t="s">
        <v>2326</v>
      </c>
      <c r="C274" s="765">
        <v>1</v>
      </c>
      <c r="D274" s="766" t="s">
        <v>268</v>
      </c>
      <c r="E274" s="767">
        <v>1</v>
      </c>
      <c r="F274" s="768">
        <v>4.29</v>
      </c>
      <c r="G274" s="768">
        <v>0</v>
      </c>
      <c r="H274" s="768">
        <v>0.75</v>
      </c>
      <c r="I274" s="769">
        <f>ROUND(IF(AND(F274:H274),C274*E274*F274*G274*H274,IF(AND(F274,G274),C274*E274*F274*G274,IF(AND(F274,H274),C274*E274*F274*H274,IF(AND(G274,H274),C274*E274*G274*H274,IF(F274,C274*E274*F274,IF(G274,C274*E274*G274,IF(H274,C274*E274*H274,C274*E274))))))),2)</f>
        <v>3.22</v>
      </c>
      <c r="J274" s="770" t="s">
        <v>102</v>
      </c>
      <c r="K274" s="764"/>
      <c r="L274" s="757"/>
      <c r="M274" s="764"/>
    </row>
    <row r="275" spans="1:17" s="771" customFormat="1" ht="16.5" customHeight="1">
      <c r="A275" s="757"/>
      <c r="B275" s="764" t="s">
        <v>2294</v>
      </c>
      <c r="C275" s="765">
        <v>1</v>
      </c>
      <c r="D275" s="766" t="s">
        <v>268</v>
      </c>
      <c r="E275" s="767">
        <v>1</v>
      </c>
      <c r="F275" s="768">
        <v>5.95</v>
      </c>
      <c r="G275" s="768">
        <v>0</v>
      </c>
      <c r="H275" s="768">
        <v>0.1</v>
      </c>
      <c r="I275" s="769">
        <f t="shared" ref="I275" si="28">ROUND(IF(AND(F275:H275),C275*E275*F275*G275*H275,IF(AND(F275,G275),C275*E275*F275*G275,IF(AND(F275,H275),C275*E275*F275*H275,IF(AND(G275,H275),C275*E275*G275*H275,IF(F275,C275*E275*F275,IF(G275,C275*E275*G275,IF(H275,C275*E275*H275,C275*E275))))))),2)</f>
        <v>0.6</v>
      </c>
      <c r="J275" s="770" t="s">
        <v>102</v>
      </c>
      <c r="K275" s="764"/>
      <c r="L275" s="761"/>
      <c r="M275" s="764"/>
    </row>
    <row r="276" spans="1:17" s="771" customFormat="1" ht="16.5" customHeight="1">
      <c r="A276" s="757"/>
      <c r="B276" s="773"/>
      <c r="C276" s="774"/>
      <c r="D276" s="775"/>
      <c r="E276" s="776"/>
      <c r="F276" s="777"/>
      <c r="G276" s="777"/>
      <c r="H276" s="777"/>
      <c r="I276" s="769"/>
      <c r="J276" s="783"/>
      <c r="K276" s="764"/>
      <c r="L276" s="761"/>
      <c r="M276" s="764"/>
    </row>
    <row r="277" spans="1:17" s="763" customFormat="1">
      <c r="A277" s="757"/>
      <c r="B277" s="764"/>
      <c r="C277" s="779"/>
      <c r="D277" s="780"/>
      <c r="E277" s="767"/>
      <c r="F277" s="781"/>
      <c r="G277" s="782"/>
      <c r="H277" s="757"/>
      <c r="I277" s="769">
        <f>SUM(I270:I276)</f>
        <v>6.57</v>
      </c>
      <c r="J277" s="783" t="s">
        <v>102</v>
      </c>
      <c r="K277" s="768">
        <f>'DATA 2025-26'!E745</f>
        <v>1253.5999999999999</v>
      </c>
      <c r="L277" s="761" t="s">
        <v>270</v>
      </c>
      <c r="M277" s="784">
        <f>ROUND(I277*K277,0)</f>
        <v>8236</v>
      </c>
    </row>
    <row r="278" spans="1:17" ht="108" hidden="1" customHeight="1">
      <c r="A278" s="110">
        <v>7</v>
      </c>
      <c r="B278" s="964" t="s">
        <v>654</v>
      </c>
      <c r="C278" s="964"/>
      <c r="D278" s="964"/>
      <c r="E278" s="964"/>
      <c r="F278" s="964"/>
      <c r="G278" s="964"/>
      <c r="H278" s="964"/>
      <c r="I278" s="183"/>
      <c r="J278" s="186"/>
      <c r="K278" s="110"/>
      <c r="L278" s="210"/>
      <c r="M278" s="139"/>
    </row>
    <row r="279" spans="1:17" s="148" customFormat="1" ht="16.5" hidden="1" customHeight="1">
      <c r="A279" s="110"/>
      <c r="B279" s="661"/>
      <c r="C279" s="183">
        <v>1</v>
      </c>
      <c r="D279" s="205" t="s">
        <v>268</v>
      </c>
      <c r="E279" s="156">
        <v>1</v>
      </c>
      <c r="F279" s="12">
        <v>6.08</v>
      </c>
      <c r="G279" s="12">
        <v>4.8</v>
      </c>
      <c r="H279" s="665">
        <v>0</v>
      </c>
      <c r="I279" s="207">
        <f t="shared" ref="I279:I282" si="29">ROUND(IF(AND(F279:H279),C279*E279*F279*G279*H279,IF(AND(F279,G279),C279*E279*F279*G279,IF(AND(F279,H279),C279*E279*F279*H279,IF(AND(G279,H279),C279*E279*G279*H279,IF(F279,C279*E279*F279,IF(G279,C279*E279*G279,IF(H279,C279*E279*H279,C279*E279))))))),2)</f>
        <v>29.18</v>
      </c>
      <c r="J279" s="357" t="s">
        <v>102</v>
      </c>
      <c r="K279" s="147"/>
      <c r="L279" s="110"/>
      <c r="M279" s="147"/>
      <c r="O279" s="148">
        <f>F279*2</f>
        <v>12.16</v>
      </c>
      <c r="P279" s="148">
        <f>G279*2</f>
        <v>9.6</v>
      </c>
      <c r="Q279" s="148">
        <f>SUBTOTAL(9,O279:P279)</f>
        <v>0</v>
      </c>
    </row>
    <row r="280" spans="1:17" s="148" customFormat="1" ht="16.5" hidden="1" customHeight="1">
      <c r="A280" s="110"/>
      <c r="B280" s="661"/>
      <c r="C280" s="183">
        <v>1</v>
      </c>
      <c r="D280" s="205" t="s">
        <v>268</v>
      </c>
      <c r="E280" s="156">
        <v>1</v>
      </c>
      <c r="F280" s="12">
        <v>1.8</v>
      </c>
      <c r="G280" s="12">
        <v>1.65</v>
      </c>
      <c r="H280" s="665">
        <v>0</v>
      </c>
      <c r="I280" s="207">
        <f t="shared" si="29"/>
        <v>2.97</v>
      </c>
      <c r="J280" s="357" t="s">
        <v>102</v>
      </c>
      <c r="K280" s="147"/>
      <c r="L280" s="110"/>
      <c r="M280" s="147"/>
      <c r="O280" s="148">
        <f t="shared" ref="O280:O282" si="30">F280*2</f>
        <v>3.6</v>
      </c>
      <c r="P280" s="148">
        <f t="shared" ref="P280:P282" si="31">G280*2</f>
        <v>3.3</v>
      </c>
      <c r="Q280" s="148">
        <f t="shared" ref="Q280:Q282" si="32">SUBTOTAL(9,O280:P280)</f>
        <v>0</v>
      </c>
    </row>
    <row r="281" spans="1:17" s="148" customFormat="1" ht="16.5" hidden="1" customHeight="1">
      <c r="A281" s="110"/>
      <c r="B281" s="661"/>
      <c r="C281" s="183">
        <v>1</v>
      </c>
      <c r="D281" s="205" t="s">
        <v>268</v>
      </c>
      <c r="E281" s="156">
        <v>1</v>
      </c>
      <c r="F281" s="12">
        <v>1.8</v>
      </c>
      <c r="G281" s="12">
        <v>1.5</v>
      </c>
      <c r="H281" s="665">
        <v>0</v>
      </c>
      <c r="I281" s="207">
        <f t="shared" si="29"/>
        <v>2.7</v>
      </c>
      <c r="J281" s="357" t="s">
        <v>102</v>
      </c>
      <c r="K281" s="147"/>
      <c r="L281" s="110"/>
      <c r="M281" s="147"/>
      <c r="O281" s="148">
        <f t="shared" si="30"/>
        <v>3.6</v>
      </c>
      <c r="P281" s="148">
        <f t="shared" si="31"/>
        <v>3</v>
      </c>
      <c r="Q281" s="148">
        <f t="shared" si="32"/>
        <v>0</v>
      </c>
    </row>
    <row r="282" spans="1:17" s="148" customFormat="1" ht="16.5" hidden="1" customHeight="1">
      <c r="A282" s="110"/>
      <c r="B282" s="661"/>
      <c r="C282" s="183">
        <v>1</v>
      </c>
      <c r="D282" s="205" t="s">
        <v>268</v>
      </c>
      <c r="E282" s="156">
        <v>1</v>
      </c>
      <c r="F282" s="12">
        <v>1.8</v>
      </c>
      <c r="G282" s="12">
        <v>1.2</v>
      </c>
      <c r="H282" s="665">
        <v>0</v>
      </c>
      <c r="I282" s="207">
        <f t="shared" si="29"/>
        <v>2.16</v>
      </c>
      <c r="J282" s="357" t="s">
        <v>102</v>
      </c>
      <c r="K282" s="147"/>
      <c r="L282" s="110"/>
      <c r="M282" s="147"/>
      <c r="O282" s="148">
        <f t="shared" si="30"/>
        <v>3.6</v>
      </c>
      <c r="P282" s="148">
        <f t="shared" si="31"/>
        <v>2.4</v>
      </c>
      <c r="Q282" s="148">
        <f t="shared" si="32"/>
        <v>0</v>
      </c>
    </row>
    <row r="283" spans="1:17" s="148" customFormat="1" ht="16.5" hidden="1" customHeight="1">
      <c r="A283" s="110"/>
      <c r="B283" s="149"/>
      <c r="C283" s="150"/>
      <c r="D283" s="151"/>
      <c r="E283" s="152"/>
      <c r="F283" s="153"/>
      <c r="G283" s="153"/>
      <c r="H283" s="153"/>
      <c r="I283" s="185"/>
      <c r="J283" s="357"/>
      <c r="K283" s="147"/>
      <c r="L283" s="210"/>
      <c r="M283" s="147"/>
    </row>
    <row r="284" spans="1:17" hidden="1">
      <c r="A284" s="110"/>
      <c r="B284" s="147"/>
      <c r="C284" s="154"/>
      <c r="D284" s="155"/>
      <c r="E284" s="156"/>
      <c r="F284" s="157"/>
      <c r="G284" s="158"/>
      <c r="H284" s="110"/>
      <c r="I284" s="185"/>
      <c r="J284" s="195" t="s">
        <v>102</v>
      </c>
      <c r="K284" s="12">
        <f>'DATA 2025-26'!E646</f>
        <v>3044.99</v>
      </c>
      <c r="L284" s="210" t="s">
        <v>270</v>
      </c>
      <c r="M284" s="11">
        <f>ROUND(I284*K284,0)</f>
        <v>0</v>
      </c>
    </row>
    <row r="285" spans="1:17" ht="93.75" hidden="1" customHeight="1">
      <c r="A285" s="110">
        <v>8</v>
      </c>
      <c r="B285" s="964" t="s">
        <v>660</v>
      </c>
      <c r="C285" s="964"/>
      <c r="D285" s="964"/>
      <c r="E285" s="964"/>
      <c r="F285" s="964"/>
      <c r="G285" s="964"/>
      <c r="H285" s="964"/>
      <c r="I285" s="183"/>
      <c r="J285" s="186"/>
      <c r="K285" s="110"/>
      <c r="L285" s="210"/>
      <c r="M285" s="139"/>
    </row>
    <row r="286" spans="1:17" s="148" customFormat="1" ht="16.5" hidden="1" customHeight="1">
      <c r="A286" s="110"/>
      <c r="B286" s="661"/>
      <c r="C286" s="662">
        <v>1</v>
      </c>
      <c r="D286" s="663" t="s">
        <v>268</v>
      </c>
      <c r="E286" s="664">
        <v>1</v>
      </c>
      <c r="F286" s="665">
        <v>21.76</v>
      </c>
      <c r="G286" s="665">
        <v>0</v>
      </c>
      <c r="H286" s="665">
        <v>0.1</v>
      </c>
      <c r="I286" s="207">
        <f t="shared" ref="I286:I289" si="33">ROUND(IF(AND(F286:H286),C286*E286*F286*G286*H286,IF(AND(F286,G286),C286*E286*F286*G286,IF(AND(F286,H286),C286*E286*F286*H286,IF(AND(G286,H286),C286*E286*G286*H286,IF(F286,C286*E286*F286,IF(G286,C286*E286*G286,IF(H286,C286*E286*H286,C286*E286))))))),2)</f>
        <v>2.1800000000000002</v>
      </c>
      <c r="J286" s="357" t="s">
        <v>102</v>
      </c>
      <c r="K286" s="147"/>
      <c r="L286" s="110"/>
      <c r="M286" s="147"/>
    </row>
    <row r="287" spans="1:17" s="148" customFormat="1" ht="16.5" hidden="1" customHeight="1">
      <c r="A287" s="110"/>
      <c r="B287" s="661"/>
      <c r="C287" s="662">
        <v>1</v>
      </c>
      <c r="D287" s="663" t="s">
        <v>268</v>
      </c>
      <c r="E287" s="664">
        <v>1</v>
      </c>
      <c r="F287" s="665">
        <v>6.9</v>
      </c>
      <c r="G287" s="665">
        <v>0</v>
      </c>
      <c r="H287" s="665">
        <v>0.1</v>
      </c>
      <c r="I287" s="207">
        <f t="shared" si="33"/>
        <v>0.69</v>
      </c>
      <c r="J287" s="357" t="s">
        <v>102</v>
      </c>
      <c r="K287" s="147"/>
      <c r="L287" s="110"/>
      <c r="M287" s="147"/>
    </row>
    <row r="288" spans="1:17" s="148" customFormat="1" ht="16.5" hidden="1" customHeight="1">
      <c r="A288" s="110"/>
      <c r="B288" s="661"/>
      <c r="C288" s="662">
        <v>1</v>
      </c>
      <c r="D288" s="663" t="s">
        <v>268</v>
      </c>
      <c r="E288" s="664">
        <v>1</v>
      </c>
      <c r="F288" s="665">
        <v>6.6</v>
      </c>
      <c r="G288" s="665">
        <v>0</v>
      </c>
      <c r="H288" s="665">
        <v>0.1</v>
      </c>
      <c r="I288" s="207">
        <f t="shared" si="33"/>
        <v>0.66</v>
      </c>
      <c r="J288" s="357" t="s">
        <v>102</v>
      </c>
      <c r="K288" s="147"/>
      <c r="L288" s="110"/>
      <c r="M288" s="147"/>
    </row>
    <row r="289" spans="1:13" s="148" customFormat="1" ht="16.5" hidden="1" customHeight="1">
      <c r="A289" s="110"/>
      <c r="B289" s="369"/>
      <c r="C289" s="662">
        <v>1</v>
      </c>
      <c r="D289" s="663" t="s">
        <v>268</v>
      </c>
      <c r="E289" s="664">
        <v>2</v>
      </c>
      <c r="F289" s="665">
        <v>6</v>
      </c>
      <c r="G289" s="665">
        <v>0</v>
      </c>
      <c r="H289" s="665">
        <v>0.1</v>
      </c>
      <c r="I289" s="207">
        <f t="shared" si="33"/>
        <v>1.2</v>
      </c>
      <c r="J289" s="357" t="s">
        <v>102</v>
      </c>
      <c r="K289" s="147"/>
      <c r="L289" s="110"/>
      <c r="M289" s="147"/>
    </row>
    <row r="290" spans="1:13" s="148" customFormat="1" ht="16.5" hidden="1" customHeight="1">
      <c r="A290" s="110"/>
      <c r="B290" s="149"/>
      <c r="C290" s="150"/>
      <c r="D290" s="151"/>
      <c r="E290" s="152"/>
      <c r="F290" s="153"/>
      <c r="G290" s="153"/>
      <c r="H290" s="153"/>
      <c r="I290" s="185"/>
      <c r="J290" s="195"/>
      <c r="K290" s="147"/>
      <c r="L290" s="210"/>
      <c r="M290" s="147"/>
    </row>
    <row r="291" spans="1:13" hidden="1">
      <c r="A291" s="110"/>
      <c r="B291" s="147"/>
      <c r="C291" s="154"/>
      <c r="D291" s="155"/>
      <c r="E291" s="156"/>
      <c r="F291" s="157"/>
      <c r="G291" s="158"/>
      <c r="H291" s="110"/>
      <c r="I291" s="185"/>
      <c r="J291" s="195" t="s">
        <v>102</v>
      </c>
      <c r="K291" s="12">
        <f>'DATA 2025-26'!E666</f>
        <v>2807.05</v>
      </c>
      <c r="L291" s="210" t="s">
        <v>270</v>
      </c>
      <c r="M291" s="11">
        <f>ROUND(I291*K291,0)</f>
        <v>0</v>
      </c>
    </row>
    <row r="292" spans="1:13" ht="31.5" hidden="1" customHeight="1">
      <c r="A292" s="110">
        <v>2</v>
      </c>
      <c r="B292" s="964" t="s">
        <v>2183</v>
      </c>
      <c r="C292" s="964"/>
      <c r="D292" s="964"/>
      <c r="E292" s="964"/>
      <c r="F292" s="964"/>
      <c r="G292" s="964"/>
      <c r="H292" s="964"/>
      <c r="I292" s="183"/>
      <c r="J292" s="186"/>
      <c r="K292" s="110"/>
      <c r="L292" s="210"/>
      <c r="M292" s="139"/>
    </row>
    <row r="293" spans="1:13" s="148" customFormat="1" ht="16.5" hidden="1" customHeight="1">
      <c r="A293" s="110"/>
      <c r="B293" s="149" t="s">
        <v>2165</v>
      </c>
      <c r="C293" s="150">
        <v>1</v>
      </c>
      <c r="D293" s="151" t="s">
        <v>268</v>
      </c>
      <c r="E293" s="152">
        <v>1</v>
      </c>
      <c r="F293" s="153">
        <v>1.45</v>
      </c>
      <c r="G293" s="153">
        <v>0.45</v>
      </c>
      <c r="H293" s="153">
        <v>0</v>
      </c>
      <c r="I293" s="185">
        <f t="shared" ref="I293" si="34">ROUND(IF(AND(F293:H293),C293*E293*F293*G293*H293,IF(AND(F293,G293),C293*E293*F293*G293,IF(AND(F293,H293),C293*E293*F293*H293,IF(AND(G293,H293),C293*E293*G293*H293,IF(F293,C293*E293*F293,IF(G293,C293*E293*G293,IF(H293,C293*E293*H293,C293*E293))))))),2)</f>
        <v>0.65</v>
      </c>
      <c r="J293" s="195" t="s">
        <v>102</v>
      </c>
      <c r="K293" s="147"/>
      <c r="L293" s="110"/>
      <c r="M293" s="147"/>
    </row>
    <row r="294" spans="1:13" s="148" customFormat="1" ht="16.5" hidden="1" customHeight="1">
      <c r="A294" s="110"/>
      <c r="B294" s="149" t="s">
        <v>2166</v>
      </c>
      <c r="C294" s="150">
        <v>1</v>
      </c>
      <c r="D294" s="151" t="s">
        <v>268</v>
      </c>
      <c r="E294" s="152">
        <v>1</v>
      </c>
      <c r="F294" s="153">
        <v>1.75</v>
      </c>
      <c r="G294" s="153">
        <v>0.45</v>
      </c>
      <c r="H294" s="153">
        <v>0</v>
      </c>
      <c r="I294" s="185">
        <f t="shared" ref="I294:I296" si="35">ROUND(IF(AND(F294:H294),C294*E294*F294*G294*H294,IF(AND(F294,G294),C294*E294*F294*G294,IF(AND(F294,H294),C294*E294*F294*H294,IF(AND(G294,H294),C294*E294*G294*H294,IF(F294,C294*E294*F294,IF(G294,C294*E294*G294,IF(H294,C294*E294*H294,C294*E294))))))),2)</f>
        <v>0.79</v>
      </c>
      <c r="J294" s="195" t="s">
        <v>102</v>
      </c>
      <c r="K294" s="147"/>
      <c r="L294" s="110"/>
      <c r="M294" s="147"/>
    </row>
    <row r="295" spans="1:13" s="148" customFormat="1" ht="16.5" hidden="1" customHeight="1">
      <c r="A295" s="110"/>
      <c r="B295" s="149" t="s">
        <v>2185</v>
      </c>
      <c r="C295" s="150">
        <v>1</v>
      </c>
      <c r="D295" s="151" t="s">
        <v>268</v>
      </c>
      <c r="E295" s="152">
        <v>1</v>
      </c>
      <c r="F295" s="153">
        <v>0.55000000000000004</v>
      </c>
      <c r="G295" s="153">
        <v>0.35</v>
      </c>
      <c r="H295" s="153">
        <v>0</v>
      </c>
      <c r="I295" s="185">
        <f>-ROUND(IF(AND(F295:H295),C295*E295*F295*G295*H295,IF(AND(F295,G295),C295*E295*F295*G295,IF(AND(F295,H295),C295*E295*F295*H295,IF(AND(G295,H295),C295*E295*G295*H295,IF(F295,C295*E295*F295,IF(G295,C295*E295*G295,IF(H295,C295*E295*H295,C295*E295))))))),2)</f>
        <v>-0.19</v>
      </c>
      <c r="J295" s="195" t="s">
        <v>102</v>
      </c>
      <c r="K295" s="147"/>
      <c r="L295" s="110"/>
      <c r="M295" s="147"/>
    </row>
    <row r="296" spans="1:13" s="148" customFormat="1" ht="16.5" hidden="1" customHeight="1">
      <c r="A296" s="110"/>
      <c r="B296" s="149" t="s">
        <v>2168</v>
      </c>
      <c r="C296" s="150">
        <v>1</v>
      </c>
      <c r="D296" s="151" t="s">
        <v>268</v>
      </c>
      <c r="E296" s="152">
        <v>1</v>
      </c>
      <c r="F296" s="153">
        <v>2.8</v>
      </c>
      <c r="G296" s="153">
        <v>0.45</v>
      </c>
      <c r="H296" s="153">
        <v>0</v>
      </c>
      <c r="I296" s="185">
        <f t="shared" si="35"/>
        <v>1.26</v>
      </c>
      <c r="J296" s="195" t="s">
        <v>102</v>
      </c>
      <c r="K296" s="147"/>
      <c r="L296" s="110"/>
      <c r="M296" s="147"/>
    </row>
    <row r="297" spans="1:13" s="148" customFormat="1" ht="16.5" hidden="1" customHeight="1">
      <c r="A297" s="110"/>
      <c r="B297" s="149" t="s">
        <v>2186</v>
      </c>
      <c r="C297" s="150">
        <v>1</v>
      </c>
      <c r="D297" s="151" t="s">
        <v>268</v>
      </c>
      <c r="E297" s="152">
        <v>1</v>
      </c>
      <c r="F297" s="153">
        <v>0.55000000000000004</v>
      </c>
      <c r="G297" s="153">
        <v>0.35</v>
      </c>
      <c r="H297" s="153">
        <v>0</v>
      </c>
      <c r="I297" s="185">
        <f>-ROUND(IF(AND(F297:H297),C297*E297*F297*G297*H297,IF(AND(F297,G297),C297*E297*F297*G297,IF(AND(F297,H297),C297*E297*F297*H297,IF(AND(G297,H297),C297*E297*G297*H297,IF(F297,C297*E297*F297,IF(G297,C297*E297*G297,IF(H297,C297*E297*H297,C297*E297))))))),2)</f>
        <v>-0.19</v>
      </c>
      <c r="J297" s="195" t="s">
        <v>102</v>
      </c>
      <c r="K297" s="147"/>
      <c r="L297" s="110"/>
      <c r="M297" s="147"/>
    </row>
    <row r="298" spans="1:13" s="148" customFormat="1" ht="16.5" hidden="1" customHeight="1">
      <c r="A298" s="110"/>
      <c r="B298" s="149"/>
      <c r="C298" s="150"/>
      <c r="D298" s="151"/>
      <c r="E298" s="152"/>
      <c r="F298" s="153"/>
      <c r="G298" s="153"/>
      <c r="H298" s="153"/>
      <c r="I298" s="185"/>
      <c r="J298" s="195"/>
      <c r="K298" s="147"/>
      <c r="L298" s="210"/>
      <c r="M298" s="147"/>
    </row>
    <row r="299" spans="1:13" hidden="1">
      <c r="A299" s="110"/>
      <c r="B299" s="147"/>
      <c r="C299" s="154"/>
      <c r="D299" s="155"/>
      <c r="E299" s="156"/>
      <c r="F299" s="157"/>
      <c r="G299" s="158"/>
      <c r="H299" s="110"/>
      <c r="I299" s="185"/>
      <c r="J299" s="195" t="s">
        <v>102</v>
      </c>
      <c r="K299" s="12">
        <f>'lead 25-26'!L23</f>
        <v>2180.2752</v>
      </c>
      <c r="L299" s="210" t="s">
        <v>2184</v>
      </c>
      <c r="M299" s="11">
        <f>ROUND(I299*K299/10,0)</f>
        <v>0</v>
      </c>
    </row>
    <row r="300" spans="1:13" ht="90" hidden="1" customHeight="1">
      <c r="A300" s="110">
        <v>26</v>
      </c>
      <c r="B300" s="964" t="s">
        <v>661</v>
      </c>
      <c r="C300" s="964"/>
      <c r="D300" s="964"/>
      <c r="E300" s="964"/>
      <c r="F300" s="964"/>
      <c r="G300" s="964"/>
      <c r="H300" s="964"/>
      <c r="I300" s="183"/>
      <c r="J300" s="186"/>
      <c r="K300" s="110"/>
      <c r="L300" s="210"/>
      <c r="M300" s="139"/>
    </row>
    <row r="301" spans="1:13" s="148" customFormat="1" ht="16.5" hidden="1" customHeight="1">
      <c r="A301" s="110"/>
      <c r="B301" s="149"/>
      <c r="C301" s="150">
        <v>1</v>
      </c>
      <c r="D301" s="151" t="s">
        <v>268</v>
      </c>
      <c r="E301" s="152">
        <v>1</v>
      </c>
      <c r="F301" s="153">
        <v>2.65</v>
      </c>
      <c r="G301" s="153">
        <v>0.53</v>
      </c>
      <c r="H301" s="153">
        <v>0</v>
      </c>
      <c r="I301" s="185">
        <f t="shared" ref="I301:I308" si="36">ROUND(IF(AND(F301:H301),C301*E301*F301*G301*H301,IF(AND(F301,G301),C301*E301*F301*G301,IF(AND(F301,H301),C301*E301*F301*H301,IF(AND(G301,H301),C301*E301*G301*H301,IF(F301,C301*E301*F301,IF(G301,C301*E301*G301,IF(H301,C301*E301*H301,C301*E301))))))),2)</f>
        <v>1.4</v>
      </c>
      <c r="J301" s="195" t="s">
        <v>102</v>
      </c>
      <c r="K301" s="147"/>
      <c r="L301" s="210"/>
      <c r="M301" s="147"/>
    </row>
    <row r="302" spans="1:13" s="148" customFormat="1" ht="16.5" hidden="1" customHeight="1">
      <c r="A302" s="110"/>
      <c r="B302" s="149"/>
      <c r="C302" s="150">
        <v>1</v>
      </c>
      <c r="D302" s="151" t="s">
        <v>268</v>
      </c>
      <c r="E302" s="152">
        <v>1</v>
      </c>
      <c r="F302" s="153">
        <v>2.65</v>
      </c>
      <c r="G302" s="153">
        <v>0.9</v>
      </c>
      <c r="H302" s="153">
        <v>0</v>
      </c>
      <c r="I302" s="185">
        <f t="shared" si="36"/>
        <v>2.39</v>
      </c>
      <c r="J302" s="195" t="s">
        <v>102</v>
      </c>
      <c r="K302" s="147"/>
      <c r="L302" s="210"/>
      <c r="M302" s="147"/>
    </row>
    <row r="303" spans="1:13" s="148" customFormat="1" ht="16.5" hidden="1" customHeight="1">
      <c r="A303" s="110"/>
      <c r="B303" s="149" t="s">
        <v>1038</v>
      </c>
      <c r="C303" s="150">
        <v>1</v>
      </c>
      <c r="D303" s="151" t="s">
        <v>268</v>
      </c>
      <c r="E303" s="152">
        <v>2</v>
      </c>
      <c r="F303" s="153">
        <v>2.65</v>
      </c>
      <c r="G303" s="153">
        <v>1.1000000000000001</v>
      </c>
      <c r="H303" s="153">
        <v>0</v>
      </c>
      <c r="I303" s="185">
        <f t="shared" si="36"/>
        <v>5.83</v>
      </c>
      <c r="J303" s="195" t="s">
        <v>102</v>
      </c>
      <c r="K303" s="147"/>
      <c r="L303" s="210"/>
      <c r="M303" s="147"/>
    </row>
    <row r="304" spans="1:13" s="148" customFormat="1" ht="16.5" hidden="1" customHeight="1">
      <c r="A304" s="110"/>
      <c r="B304" s="149"/>
      <c r="C304" s="150">
        <v>1</v>
      </c>
      <c r="D304" s="151" t="s">
        <v>268</v>
      </c>
      <c r="E304" s="152">
        <v>1</v>
      </c>
      <c r="F304" s="153">
        <v>1.3</v>
      </c>
      <c r="G304" s="153">
        <v>0.56000000000000005</v>
      </c>
      <c r="H304" s="153">
        <v>0</v>
      </c>
      <c r="I304" s="185">
        <f t="shared" si="36"/>
        <v>0.73</v>
      </c>
      <c r="J304" s="195" t="s">
        <v>102</v>
      </c>
      <c r="K304" s="147"/>
      <c r="L304" s="210"/>
      <c r="M304" s="147"/>
    </row>
    <row r="305" spans="1:13" s="148" customFormat="1" ht="16.5" hidden="1" customHeight="1">
      <c r="A305" s="110"/>
      <c r="B305" s="149"/>
      <c r="C305" s="150">
        <v>1</v>
      </c>
      <c r="D305" s="151" t="s">
        <v>268</v>
      </c>
      <c r="E305" s="152">
        <v>1</v>
      </c>
      <c r="F305" s="153">
        <v>2.8</v>
      </c>
      <c r="G305" s="153">
        <v>0.53</v>
      </c>
      <c r="H305" s="153">
        <v>0</v>
      </c>
      <c r="I305" s="185">
        <f t="shared" si="36"/>
        <v>1.48</v>
      </c>
      <c r="J305" s="195" t="s">
        <v>102</v>
      </c>
      <c r="K305" s="147"/>
      <c r="L305" s="210"/>
      <c r="M305" s="147"/>
    </row>
    <row r="306" spans="1:13" s="148" customFormat="1" ht="16.5" hidden="1" customHeight="1">
      <c r="A306" s="110"/>
      <c r="B306" s="149"/>
      <c r="C306" s="150">
        <v>1</v>
      </c>
      <c r="D306" s="151" t="s">
        <v>268</v>
      </c>
      <c r="E306" s="152">
        <v>1</v>
      </c>
      <c r="F306" s="153">
        <v>2.8</v>
      </c>
      <c r="G306" s="153">
        <v>0.9</v>
      </c>
      <c r="H306" s="153">
        <v>0</v>
      </c>
      <c r="I306" s="185">
        <f t="shared" si="36"/>
        <v>2.52</v>
      </c>
      <c r="J306" s="195" t="s">
        <v>102</v>
      </c>
      <c r="K306" s="147"/>
      <c r="L306" s="210"/>
      <c r="M306" s="147"/>
    </row>
    <row r="307" spans="1:13" s="148" customFormat="1" ht="16.5" hidden="1" customHeight="1">
      <c r="A307" s="110"/>
      <c r="B307" s="149" t="s">
        <v>1039</v>
      </c>
      <c r="C307" s="150">
        <v>1</v>
      </c>
      <c r="D307" s="151" t="s">
        <v>268</v>
      </c>
      <c r="E307" s="152">
        <v>4</v>
      </c>
      <c r="F307" s="153">
        <v>2.72</v>
      </c>
      <c r="G307" s="153">
        <v>0.38</v>
      </c>
      <c r="H307" s="153">
        <v>0</v>
      </c>
      <c r="I307" s="185">
        <f t="shared" si="36"/>
        <v>4.13</v>
      </c>
      <c r="J307" s="195" t="s">
        <v>102</v>
      </c>
      <c r="K307" s="147"/>
      <c r="L307" s="210"/>
      <c r="M307" s="147"/>
    </row>
    <row r="308" spans="1:13" s="148" customFormat="1" ht="16.5" hidden="1" customHeight="1">
      <c r="A308" s="110"/>
      <c r="B308" s="149" t="s">
        <v>1040</v>
      </c>
      <c r="C308" s="150">
        <v>1</v>
      </c>
      <c r="D308" s="151" t="s">
        <v>268</v>
      </c>
      <c r="E308" s="152">
        <v>4</v>
      </c>
      <c r="F308" s="153">
        <v>2.5</v>
      </c>
      <c r="G308" s="153">
        <v>0.38</v>
      </c>
      <c r="H308" s="153">
        <v>0</v>
      </c>
      <c r="I308" s="185">
        <f t="shared" si="36"/>
        <v>3.8</v>
      </c>
      <c r="J308" s="195" t="s">
        <v>102</v>
      </c>
      <c r="K308" s="147"/>
      <c r="L308" s="210"/>
      <c r="M308" s="147"/>
    </row>
    <row r="309" spans="1:13" s="148" customFormat="1" ht="16.5" hidden="1" customHeight="1">
      <c r="A309" s="110"/>
      <c r="B309" s="149" t="s">
        <v>1041</v>
      </c>
      <c r="C309" s="150">
        <v>1</v>
      </c>
      <c r="D309" s="151" t="s">
        <v>268</v>
      </c>
      <c r="E309" s="152">
        <v>21</v>
      </c>
      <c r="F309" s="153">
        <v>1.28</v>
      </c>
      <c r="G309" s="153">
        <v>0.3</v>
      </c>
      <c r="H309" s="153">
        <v>0</v>
      </c>
      <c r="I309" s="185">
        <f t="shared" ref="I309" si="37">ROUND(IF(AND(F309:H309),C309*E309*F309*G309*H309,IF(AND(F309,G309),C309*E309*F309*G309,IF(AND(F309,H309),C309*E309*F309*H309,IF(AND(G309,H309),C309*E309*G309*H309,IF(F309,C309*E309*F309,IF(G309,C309*E309*G309,IF(H309,C309*E309*H309,C309*E309))))))),2)</f>
        <v>8.06</v>
      </c>
      <c r="J309" s="195" t="s">
        <v>102</v>
      </c>
      <c r="K309" s="147"/>
      <c r="L309" s="210"/>
      <c r="M309" s="147"/>
    </row>
    <row r="310" spans="1:13" s="148" customFormat="1" ht="16.5" hidden="1" customHeight="1">
      <c r="A310" s="110"/>
      <c r="B310" s="149"/>
      <c r="C310" s="150"/>
      <c r="D310" s="151"/>
      <c r="E310" s="152"/>
      <c r="F310" s="153"/>
      <c r="G310" s="153"/>
      <c r="H310" s="153"/>
      <c r="I310" s="185"/>
      <c r="J310" s="195"/>
      <c r="K310" s="147"/>
      <c r="L310" s="210"/>
      <c r="M310" s="147"/>
    </row>
    <row r="311" spans="1:13" hidden="1">
      <c r="A311" s="110"/>
      <c r="B311" s="147"/>
      <c r="C311" s="154"/>
      <c r="D311" s="155"/>
      <c r="E311" s="156"/>
      <c r="F311" s="157"/>
      <c r="G311" s="158"/>
      <c r="H311" s="110"/>
      <c r="I311" s="185"/>
      <c r="J311" s="195" t="s">
        <v>102</v>
      </c>
      <c r="K311" s="12">
        <f>'DATA 2025-26'!E687</f>
        <v>780.17</v>
      </c>
      <c r="L311" s="210" t="s">
        <v>270</v>
      </c>
      <c r="M311" s="11">
        <f>ROUND(I311*K311,0)</f>
        <v>0</v>
      </c>
    </row>
    <row r="312" spans="1:13" ht="96" hidden="1" customHeight="1">
      <c r="A312" s="110">
        <v>27</v>
      </c>
      <c r="B312" s="964" t="s">
        <v>667</v>
      </c>
      <c r="C312" s="964"/>
      <c r="D312" s="964"/>
      <c r="E312" s="964"/>
      <c r="F312" s="964"/>
      <c r="G312" s="964"/>
      <c r="H312" s="964"/>
      <c r="I312" s="183"/>
      <c r="J312" s="186"/>
      <c r="K312" s="110"/>
      <c r="L312" s="210"/>
      <c r="M312" s="139"/>
    </row>
    <row r="313" spans="1:13" s="148" customFormat="1" ht="16.5" hidden="1" customHeight="1">
      <c r="A313" s="110"/>
      <c r="B313" s="147" t="s">
        <v>1020</v>
      </c>
      <c r="C313" s="141"/>
      <c r="D313" s="142"/>
      <c r="E313" s="143"/>
      <c r="F313" s="144"/>
      <c r="G313" s="144"/>
      <c r="H313" s="145"/>
      <c r="I313" s="184"/>
      <c r="J313" s="195"/>
      <c r="K313" s="147"/>
      <c r="L313" s="210"/>
      <c r="M313" s="147"/>
    </row>
    <row r="314" spans="1:13" s="148" customFormat="1" ht="16.5" hidden="1" customHeight="1">
      <c r="A314" s="110"/>
      <c r="B314" s="149" t="s">
        <v>1038</v>
      </c>
      <c r="C314" s="150">
        <v>1</v>
      </c>
      <c r="D314" s="151" t="s">
        <v>268</v>
      </c>
      <c r="E314" s="152">
        <v>2</v>
      </c>
      <c r="F314" s="153">
        <v>5.25</v>
      </c>
      <c r="G314" s="153">
        <v>0</v>
      </c>
      <c r="H314" s="153">
        <v>0.1</v>
      </c>
      <c r="I314" s="185">
        <f t="shared" ref="I314" si="38">ROUND(IF(AND(F314:H314),C314*E314*F314*G314*H314,IF(AND(F314,G314),C314*E314*F314*G314,IF(AND(F314,H314),C314*E314*F314*H314,IF(AND(G314,H314),C314*E314*G314*H314,IF(F314,C314*E314*F314,IF(G314,C314*E314*G314,IF(H314,C314*E314*H314,C314*E314))))))),2)</f>
        <v>1.05</v>
      </c>
      <c r="J314" s="195" t="s">
        <v>102</v>
      </c>
      <c r="K314" s="147"/>
      <c r="L314" s="210"/>
      <c r="M314" s="147"/>
    </row>
    <row r="315" spans="1:13" s="148" customFormat="1" ht="16.5" hidden="1" customHeight="1">
      <c r="A315" s="110"/>
      <c r="B315" s="149" t="s">
        <v>566</v>
      </c>
      <c r="C315" s="150">
        <v>1</v>
      </c>
      <c r="D315" s="151" t="s">
        <v>268</v>
      </c>
      <c r="E315" s="152">
        <v>1</v>
      </c>
      <c r="F315" s="153">
        <v>9.8699999999999992</v>
      </c>
      <c r="G315" s="153">
        <v>0</v>
      </c>
      <c r="H315" s="153">
        <v>0.1</v>
      </c>
      <c r="I315" s="185">
        <f t="shared" ref="I315:I319" si="39">ROUND(IF(AND(F315:H315),C315*E315*F315*G315*H315,IF(AND(F315,G315),C315*E315*F315*G315,IF(AND(F315,H315),C315*E315*F315*H315,IF(AND(G315,H315),C315*E315*G315*H315,IF(F315,C315*E315*F315,IF(G315,C315*E315*G315,IF(H315,C315*E315*H315,C315*E315))))))),2)</f>
        <v>0.99</v>
      </c>
      <c r="J315" s="195" t="s">
        <v>102</v>
      </c>
      <c r="K315" s="147"/>
      <c r="L315" s="210"/>
      <c r="M315" s="147"/>
    </row>
    <row r="316" spans="1:13" s="148" customFormat="1" ht="16.5" hidden="1" customHeight="1">
      <c r="A316" s="110"/>
      <c r="B316" s="149" t="s">
        <v>1042</v>
      </c>
      <c r="C316" s="150">
        <v>1</v>
      </c>
      <c r="D316" s="151" t="s">
        <v>268</v>
      </c>
      <c r="E316" s="152">
        <v>5</v>
      </c>
      <c r="F316" s="153">
        <v>2.72</v>
      </c>
      <c r="G316" s="153">
        <v>0</v>
      </c>
      <c r="H316" s="153">
        <v>0.17</v>
      </c>
      <c r="I316" s="185">
        <f t="shared" si="39"/>
        <v>2.31</v>
      </c>
      <c r="J316" s="195" t="s">
        <v>102</v>
      </c>
      <c r="K316" s="147"/>
      <c r="L316" s="210"/>
      <c r="M316" s="147"/>
    </row>
    <row r="317" spans="1:13" s="148" customFormat="1" ht="16.5" hidden="1" customHeight="1">
      <c r="A317" s="110"/>
      <c r="B317" s="149" t="s">
        <v>1043</v>
      </c>
      <c r="C317" s="150">
        <v>1</v>
      </c>
      <c r="D317" s="151" t="s">
        <v>268</v>
      </c>
      <c r="E317" s="152">
        <v>5</v>
      </c>
      <c r="F317" s="153">
        <v>2.5</v>
      </c>
      <c r="G317" s="153">
        <v>0</v>
      </c>
      <c r="H317" s="153">
        <v>0.17</v>
      </c>
      <c r="I317" s="185">
        <f t="shared" si="39"/>
        <v>2.13</v>
      </c>
      <c r="J317" s="195" t="s">
        <v>102</v>
      </c>
      <c r="K317" s="147"/>
      <c r="L317" s="210"/>
      <c r="M317" s="147"/>
    </row>
    <row r="318" spans="1:13" s="148" customFormat="1" ht="16.5" hidden="1" customHeight="1">
      <c r="A318" s="110"/>
      <c r="B318" s="149" t="s">
        <v>1041</v>
      </c>
      <c r="C318" s="150">
        <v>1</v>
      </c>
      <c r="D318" s="151" t="s">
        <v>268</v>
      </c>
      <c r="E318" s="152">
        <v>22</v>
      </c>
      <c r="F318" s="153">
        <v>1.28</v>
      </c>
      <c r="G318" s="153">
        <v>0</v>
      </c>
      <c r="H318" s="153">
        <v>0.15</v>
      </c>
      <c r="I318" s="185">
        <f t="shared" si="39"/>
        <v>4.22</v>
      </c>
      <c r="J318" s="195" t="s">
        <v>102</v>
      </c>
      <c r="K318" s="147"/>
      <c r="L318" s="210"/>
      <c r="M318" s="147"/>
    </row>
    <row r="319" spans="1:13" s="148" customFormat="1" ht="16.5" hidden="1" customHeight="1">
      <c r="A319" s="110"/>
      <c r="B319" s="149" t="s">
        <v>1033</v>
      </c>
      <c r="C319" s="150">
        <v>1</v>
      </c>
      <c r="D319" s="151" t="s">
        <v>268</v>
      </c>
      <c r="E319" s="152">
        <v>1</v>
      </c>
      <c r="F319" s="153">
        <v>10.53</v>
      </c>
      <c r="G319" s="153">
        <v>0</v>
      </c>
      <c r="H319" s="153">
        <v>0.1</v>
      </c>
      <c r="I319" s="185">
        <f t="shared" si="39"/>
        <v>1.05</v>
      </c>
      <c r="J319" s="195" t="s">
        <v>102</v>
      </c>
      <c r="K319" s="147"/>
      <c r="L319" s="210"/>
      <c r="M319" s="147"/>
    </row>
    <row r="320" spans="1:13" s="148" customFormat="1" ht="16.5" hidden="1" customHeight="1">
      <c r="A320" s="110"/>
      <c r="B320" s="149"/>
      <c r="C320" s="150"/>
      <c r="D320" s="151"/>
      <c r="E320" s="152"/>
      <c r="F320" s="153"/>
      <c r="G320" s="153"/>
      <c r="H320" s="153"/>
      <c r="I320" s="185"/>
      <c r="J320" s="195"/>
      <c r="K320" s="147"/>
      <c r="L320" s="210"/>
      <c r="M320" s="147"/>
    </row>
    <row r="321" spans="1:13" hidden="1">
      <c r="A321" s="110"/>
      <c r="B321" s="147"/>
      <c r="C321" s="154"/>
      <c r="D321" s="155"/>
      <c r="E321" s="156"/>
      <c r="F321" s="157"/>
      <c r="G321" s="158"/>
      <c r="H321" s="110"/>
      <c r="I321" s="185"/>
      <c r="J321" s="195" t="s">
        <v>102</v>
      </c>
      <c r="K321" s="12">
        <f>'DATA 2025-26'!E705</f>
        <v>806.44</v>
      </c>
      <c r="L321" s="210" t="s">
        <v>270</v>
      </c>
      <c r="M321" s="11">
        <f>ROUND(I321*K321,0)</f>
        <v>0</v>
      </c>
    </row>
    <row r="322" spans="1:13" s="763" customFormat="1" ht="94.5" customHeight="1">
      <c r="A322" s="757">
        <v>22</v>
      </c>
      <c r="B322" s="965" t="s">
        <v>211</v>
      </c>
      <c r="C322" s="965"/>
      <c r="D322" s="965"/>
      <c r="E322" s="965"/>
      <c r="F322" s="965"/>
      <c r="G322" s="965"/>
      <c r="H322" s="965"/>
      <c r="I322" s="759"/>
      <c r="J322" s="760"/>
      <c r="K322" s="757"/>
      <c r="L322" s="761"/>
      <c r="M322" s="762"/>
    </row>
    <row r="323" spans="1:13" s="771" customFormat="1" ht="16.5" customHeight="1">
      <c r="A323" s="757"/>
      <c r="B323" s="764" t="s">
        <v>2327</v>
      </c>
      <c r="C323" s="765">
        <v>4</v>
      </c>
      <c r="D323" s="766" t="s">
        <v>268</v>
      </c>
      <c r="E323" s="767">
        <v>1</v>
      </c>
      <c r="F323" s="768">
        <v>0.6</v>
      </c>
      <c r="G323" s="768">
        <v>0.23</v>
      </c>
      <c r="H323" s="768">
        <v>0</v>
      </c>
      <c r="I323" s="769">
        <f t="shared" ref="I323" si="40">ROUND(IF(AND(F323:H323),C323*E323*F323*G323*H323,IF(AND(F323,G323),C323*E323*F323*G323,IF(AND(F323,H323),C323*E323*F323*H323,IF(AND(G323,H323),C323*E323*G323*H323,IF(F323,C323*E323*F323,IF(G323,C323*E323*G323,IF(H323,C323*E323*H323,C323*E323))))))),2)</f>
        <v>0.55000000000000004</v>
      </c>
      <c r="J323" s="770" t="s">
        <v>102</v>
      </c>
      <c r="K323" s="764"/>
      <c r="L323" s="757"/>
      <c r="M323" s="764"/>
    </row>
    <row r="324" spans="1:13" s="771" customFormat="1" ht="16.5" customHeight="1">
      <c r="A324" s="757"/>
      <c r="B324" s="764" t="s">
        <v>2328</v>
      </c>
      <c r="C324" s="765">
        <v>4</v>
      </c>
      <c r="D324" s="766" t="s">
        <v>268</v>
      </c>
      <c r="E324" s="767">
        <v>1</v>
      </c>
      <c r="F324" s="768">
        <v>0.6</v>
      </c>
      <c r="G324" s="768">
        <v>0</v>
      </c>
      <c r="H324" s="768">
        <v>0.15</v>
      </c>
      <c r="I324" s="769">
        <f t="shared" ref="I324:I325" si="41">ROUND(IF(AND(F324:H324),C324*E324*F324*G324*H324,IF(AND(F324,G324),C324*E324*F324*G324,IF(AND(F324,H324),C324*E324*F324*H324,IF(AND(G324,H324),C324*E324*G324*H324,IF(F324,C324*E324*F324,IF(G324,C324*E324*G324,IF(H324,C324*E324*H324,C324*E324))))))),2)</f>
        <v>0.36</v>
      </c>
      <c r="J324" s="770" t="s">
        <v>102</v>
      </c>
      <c r="K324" s="764"/>
      <c r="L324" s="761"/>
      <c r="M324" s="764"/>
    </row>
    <row r="325" spans="1:13" s="771" customFormat="1" ht="16.5" customHeight="1">
      <c r="A325" s="757"/>
      <c r="B325" s="764" t="s">
        <v>2329</v>
      </c>
      <c r="C325" s="765">
        <v>4</v>
      </c>
      <c r="D325" s="766" t="s">
        <v>268</v>
      </c>
      <c r="E325" s="767">
        <v>1</v>
      </c>
      <c r="F325" s="768">
        <v>5.94</v>
      </c>
      <c r="G325" s="768">
        <v>0.23</v>
      </c>
      <c r="H325" s="768">
        <v>0</v>
      </c>
      <c r="I325" s="769">
        <f t="shared" si="41"/>
        <v>5.46</v>
      </c>
      <c r="J325" s="770" t="s">
        <v>102</v>
      </c>
      <c r="K325" s="764"/>
      <c r="L325" s="757"/>
      <c r="M325" s="764"/>
    </row>
    <row r="326" spans="1:13" s="771" customFormat="1" ht="16.5" customHeight="1">
      <c r="A326" s="757"/>
      <c r="B326" s="764" t="s">
        <v>2330</v>
      </c>
      <c r="C326" s="765">
        <v>4</v>
      </c>
      <c r="D326" s="766" t="s">
        <v>268</v>
      </c>
      <c r="E326" s="767">
        <v>1</v>
      </c>
      <c r="F326" s="768">
        <v>5.94</v>
      </c>
      <c r="G326" s="768">
        <v>0</v>
      </c>
      <c r="H326" s="768">
        <v>0.15</v>
      </c>
      <c r="I326" s="769">
        <f t="shared" ref="I326" si="42">ROUND(IF(AND(F326:H326),C326*E326*F326*G326*H326,IF(AND(F326,G326),C326*E326*F326*G326,IF(AND(F326,H326),C326*E326*F326*H326,IF(AND(G326,H326),C326*E326*G326*H326,IF(F326,C326*E326*F326,IF(G326,C326*E326*G326,IF(H326,C326*E326*H326,C326*E326))))))),2)</f>
        <v>3.56</v>
      </c>
      <c r="J326" s="770" t="s">
        <v>102</v>
      </c>
      <c r="K326" s="764"/>
      <c r="L326" s="761"/>
      <c r="M326" s="764"/>
    </row>
    <row r="327" spans="1:13" s="771" customFormat="1" ht="16.5" customHeight="1">
      <c r="A327" s="757"/>
      <c r="B327" s="773"/>
      <c r="C327" s="774"/>
      <c r="D327" s="775"/>
      <c r="E327" s="776"/>
      <c r="F327" s="777"/>
      <c r="G327" s="777"/>
      <c r="H327" s="777"/>
      <c r="I327" s="769"/>
      <c r="J327" s="783"/>
      <c r="K327" s="764"/>
      <c r="L327" s="761"/>
      <c r="M327" s="764"/>
    </row>
    <row r="328" spans="1:13" s="763" customFormat="1">
      <c r="A328" s="757"/>
      <c r="B328" s="764"/>
      <c r="C328" s="779"/>
      <c r="D328" s="780"/>
      <c r="E328" s="767"/>
      <c r="F328" s="781"/>
      <c r="G328" s="782"/>
      <c r="H328" s="757"/>
      <c r="I328" s="769">
        <f>SUM(I323:I327)</f>
        <v>9.93</v>
      </c>
      <c r="J328" s="783" t="s">
        <v>102</v>
      </c>
      <c r="K328" s="768">
        <f>'DATA 2025-26'!E764</f>
        <v>985.07</v>
      </c>
      <c r="L328" s="761" t="s">
        <v>270</v>
      </c>
      <c r="M328" s="784">
        <f>ROUND(I328*K328,0)</f>
        <v>9782</v>
      </c>
    </row>
    <row r="329" spans="1:13" ht="94.5" hidden="1" customHeight="1">
      <c r="A329" s="110">
        <v>23</v>
      </c>
      <c r="B329" s="964" t="s">
        <v>214</v>
      </c>
      <c r="C329" s="964"/>
      <c r="D329" s="964"/>
      <c r="E329" s="964"/>
      <c r="F329" s="964"/>
      <c r="G329" s="964"/>
      <c r="H329" s="964"/>
      <c r="I329" s="183"/>
      <c r="J329" s="186"/>
      <c r="K329" s="110"/>
      <c r="L329" s="210"/>
      <c r="M329" s="139"/>
    </row>
    <row r="330" spans="1:13" s="148" customFormat="1" ht="16.5" hidden="1" customHeight="1">
      <c r="A330" s="110"/>
      <c r="B330" s="147" t="s">
        <v>2282</v>
      </c>
      <c r="C330" s="930">
        <v>1</v>
      </c>
      <c r="D330" s="205" t="s">
        <v>268</v>
      </c>
      <c r="E330" s="156">
        <v>1</v>
      </c>
      <c r="F330" s="12">
        <v>8.56</v>
      </c>
      <c r="G330" s="12">
        <v>0</v>
      </c>
      <c r="H330" s="145">
        <v>1.5</v>
      </c>
      <c r="I330" s="184">
        <f>ROUND(IF(AND(F330:H330),C330*E330*F330*G330*H330,IF(AND(F330,G330),C330*E330*F330*G330,IF(AND(F330,H330),C330*E330*F330*H330,IF(AND(G330,H330),C330*E330*G330*H330,IF(F330,C330*E330*F330,IF(G330,C330*E330*G330,IF(H330,C330*E330*H330,C330*E330))))))),2)</f>
        <v>12.84</v>
      </c>
      <c r="J330" s="358" t="s">
        <v>102</v>
      </c>
      <c r="K330" s="147"/>
      <c r="L330" s="210"/>
      <c r="M330" s="147"/>
    </row>
    <row r="331" spans="1:13" s="148" customFormat="1" ht="16.5" hidden="1" customHeight="1">
      <c r="A331" s="110"/>
      <c r="B331" s="301" t="s">
        <v>567</v>
      </c>
      <c r="C331" s="931">
        <v>1</v>
      </c>
      <c r="D331" s="142" t="s">
        <v>268</v>
      </c>
      <c r="E331" s="143">
        <v>1</v>
      </c>
      <c r="F331" s="145">
        <v>0.75</v>
      </c>
      <c r="G331" s="145">
        <v>0</v>
      </c>
      <c r="H331" s="145">
        <v>1.5</v>
      </c>
      <c r="I331" s="184">
        <f>-ROUND(IF(AND(F331:H331),C331*E331*F331*G331*H331,IF(AND(F331,G331),C331*E331*F331*G331,IF(AND(F331,H331),C331*E331*F331*H331,IF(AND(G331,H331),C331*E331*G331*H331,IF(F331,C331*E331*F331,IF(G331,C331*E331*G331,IF(H331,C331*E331*H331,C331*E331))))))),2)</f>
        <v>-1.1299999999999999</v>
      </c>
      <c r="J331" s="358" t="s">
        <v>102</v>
      </c>
      <c r="K331" s="147"/>
      <c r="L331" s="210"/>
      <c r="M331" s="147"/>
    </row>
    <row r="332" spans="1:13" s="148" customFormat="1" ht="16.5" hidden="1" customHeight="1">
      <c r="A332" s="110"/>
      <c r="B332" s="147" t="s">
        <v>2283</v>
      </c>
      <c r="C332" s="930">
        <v>1</v>
      </c>
      <c r="D332" s="205" t="s">
        <v>268</v>
      </c>
      <c r="E332" s="156">
        <v>1</v>
      </c>
      <c r="F332" s="12">
        <v>8.56</v>
      </c>
      <c r="G332" s="12">
        <v>0</v>
      </c>
      <c r="H332" s="145">
        <v>1.5</v>
      </c>
      <c r="I332" s="184">
        <f t="shared" ref="I332" si="43">ROUND(IF(AND(F332:H332),C332*E332*F332*G332*H332,IF(AND(F332,G332),C332*E332*F332*G332,IF(AND(F332,H332),C332*E332*F332*H332,IF(AND(G332,H332),C332*E332*G332*H332,IF(F332,C332*E332*F332,IF(G332,C332*E332*G332,IF(H332,C332*E332*H332,C332*E332))))))),2)</f>
        <v>12.84</v>
      </c>
      <c r="J332" s="358" t="s">
        <v>102</v>
      </c>
      <c r="K332" s="147"/>
      <c r="L332" s="210"/>
      <c r="M332" s="147"/>
    </row>
    <row r="333" spans="1:13" s="148" customFormat="1" ht="16.5" hidden="1" customHeight="1">
      <c r="A333" s="110"/>
      <c r="B333" s="301" t="s">
        <v>567</v>
      </c>
      <c r="C333" s="931">
        <v>1</v>
      </c>
      <c r="D333" s="142" t="s">
        <v>268</v>
      </c>
      <c r="E333" s="143">
        <v>1</v>
      </c>
      <c r="F333" s="145">
        <v>0.75</v>
      </c>
      <c r="G333" s="145">
        <v>0</v>
      </c>
      <c r="H333" s="145">
        <v>1.5</v>
      </c>
      <c r="I333" s="184">
        <f>-ROUND(IF(AND(F333:H333),C333*E333*F333*G333*H333,IF(AND(F333,G333),C333*E333*F333*G333,IF(AND(F333,H333),C333*E333*F333*H333,IF(AND(G333,H333),C333*E333*G333*H333,IF(F333,C333*E333*F333,IF(G333,C333*E333*G333,IF(H333,C333*E333*H333,C333*E333))))))),2)</f>
        <v>-1.1299999999999999</v>
      </c>
      <c r="J333" s="358" t="s">
        <v>102</v>
      </c>
      <c r="K333" s="147"/>
      <c r="L333" s="210"/>
      <c r="M333" s="147"/>
    </row>
    <row r="334" spans="1:13" s="148" customFormat="1" ht="16.5" hidden="1" customHeight="1">
      <c r="A334" s="110"/>
      <c r="B334" s="149"/>
      <c r="C334" s="150"/>
      <c r="D334" s="151"/>
      <c r="E334" s="152"/>
      <c r="F334" s="153"/>
      <c r="G334" s="153"/>
      <c r="H334" s="153"/>
      <c r="I334" s="185"/>
      <c r="J334" s="195"/>
      <c r="K334" s="147"/>
      <c r="L334" s="210"/>
      <c r="M334" s="147"/>
    </row>
    <row r="335" spans="1:13" hidden="1">
      <c r="A335" s="110"/>
      <c r="B335" s="147"/>
      <c r="C335" s="154"/>
      <c r="D335" s="155"/>
      <c r="E335" s="156"/>
      <c r="F335" s="157"/>
      <c r="G335" s="158"/>
      <c r="H335" s="110"/>
      <c r="I335" s="185"/>
      <c r="J335" s="195" t="s">
        <v>102</v>
      </c>
      <c r="K335" s="12">
        <f>'DATA 2025-26'!E781</f>
        <v>508.77</v>
      </c>
      <c r="L335" s="210" t="s">
        <v>270</v>
      </c>
      <c r="M335" s="11">
        <f>ROUND(I335*K335,0)</f>
        <v>0</v>
      </c>
    </row>
    <row r="336" spans="1:13" ht="81.75" hidden="1" customHeight="1">
      <c r="A336" s="110">
        <v>3</v>
      </c>
      <c r="B336" s="964" t="s">
        <v>977</v>
      </c>
      <c r="C336" s="964"/>
      <c r="D336" s="964"/>
      <c r="E336" s="964"/>
      <c r="F336" s="964"/>
      <c r="G336" s="964"/>
      <c r="H336" s="964"/>
      <c r="I336" s="183"/>
      <c r="J336" s="186"/>
      <c r="K336" s="110"/>
      <c r="L336" s="210"/>
      <c r="M336" s="139"/>
    </row>
    <row r="337" spans="1:13" s="148" customFormat="1" ht="16.5" hidden="1" customHeight="1">
      <c r="A337" s="110"/>
      <c r="B337" s="147" t="s">
        <v>2147</v>
      </c>
      <c r="C337" s="183">
        <v>1</v>
      </c>
      <c r="D337" s="205" t="s">
        <v>268</v>
      </c>
      <c r="E337" s="156">
        <v>1</v>
      </c>
      <c r="F337" s="157">
        <f>(16+17.55)/2</f>
        <v>16.774999999999999</v>
      </c>
      <c r="G337" s="157">
        <v>0.9</v>
      </c>
      <c r="H337" s="157">
        <v>0</v>
      </c>
      <c r="I337" s="207">
        <f t="shared" ref="I337:I338" si="44">ROUND(IF(AND(F337:H337),C337*E337*F337*G337*H337,IF(AND(F337,G337),C337*E337*F337*G337,IF(AND(F337,H337),C337*E337*F337*H337,IF(AND(G337,H337),C337*E337*G337*H337,IF(F337,C337*E337*F337,IF(G337,C337*E337*G337,IF(H337,C337*E337*H337,C337*E337))))))),2)</f>
        <v>15.1</v>
      </c>
      <c r="J337" s="195" t="s">
        <v>102</v>
      </c>
      <c r="K337" s="147"/>
      <c r="L337" s="210"/>
      <c r="M337" s="147"/>
    </row>
    <row r="338" spans="1:13" s="148" customFormat="1" ht="16.5" hidden="1" customHeight="1">
      <c r="A338" s="110"/>
      <c r="B338" s="147"/>
      <c r="C338" s="183">
        <v>1</v>
      </c>
      <c r="D338" s="205" t="s">
        <v>268</v>
      </c>
      <c r="E338" s="156">
        <v>2</v>
      </c>
      <c r="F338" s="157">
        <f>(4.8+5.35)/2</f>
        <v>5.0749999999999993</v>
      </c>
      <c r="G338" s="157">
        <v>0.9</v>
      </c>
      <c r="H338" s="157">
        <v>0</v>
      </c>
      <c r="I338" s="207">
        <f t="shared" si="44"/>
        <v>9.14</v>
      </c>
      <c r="J338" s="195" t="s">
        <v>102</v>
      </c>
      <c r="K338" s="147"/>
      <c r="L338" s="210"/>
      <c r="M338" s="147"/>
    </row>
    <row r="339" spans="1:13" s="148" customFormat="1" ht="16.5" hidden="1" customHeight="1">
      <c r="A339" s="110"/>
      <c r="B339" s="149"/>
      <c r="C339" s="150"/>
      <c r="D339" s="151"/>
      <c r="E339" s="152"/>
      <c r="F339" s="153"/>
      <c r="G339" s="153"/>
      <c r="H339" s="153"/>
      <c r="I339" s="185"/>
      <c r="J339" s="146"/>
      <c r="K339" s="147"/>
      <c r="L339" s="210"/>
      <c r="M339" s="147"/>
    </row>
    <row r="340" spans="1:13" hidden="1">
      <c r="A340" s="110"/>
      <c r="B340" s="147"/>
      <c r="C340" s="154"/>
      <c r="D340" s="155"/>
      <c r="E340" s="156"/>
      <c r="F340" s="157"/>
      <c r="G340" s="158"/>
      <c r="H340" s="110"/>
      <c r="I340" s="185"/>
      <c r="J340" s="146" t="s">
        <v>102</v>
      </c>
      <c r="K340" s="12">
        <f>'DATA 2025-26'!E809</f>
        <v>1423.03</v>
      </c>
      <c r="L340" s="210" t="s">
        <v>270</v>
      </c>
      <c r="M340" s="11">
        <f>ROUND(I340*K340,0)</f>
        <v>0</v>
      </c>
    </row>
    <row r="341" spans="1:13" ht="66" hidden="1" customHeight="1">
      <c r="A341" s="110">
        <v>26</v>
      </c>
      <c r="B341" s="964" t="s">
        <v>967</v>
      </c>
      <c r="C341" s="964"/>
      <c r="D341" s="964"/>
      <c r="E341" s="964"/>
      <c r="F341" s="964"/>
      <c r="G341" s="964"/>
      <c r="H341" s="964"/>
      <c r="I341" s="183"/>
      <c r="J341" s="186"/>
      <c r="K341" s="110"/>
      <c r="L341" s="210"/>
      <c r="M341" s="139"/>
    </row>
    <row r="342" spans="1:13" s="148" customFormat="1" ht="16.5" hidden="1" customHeight="1">
      <c r="A342" s="110"/>
      <c r="B342" s="147" t="s">
        <v>1333</v>
      </c>
      <c r="C342" s="141"/>
      <c r="D342" s="142"/>
      <c r="E342" s="143"/>
      <c r="F342" s="144"/>
      <c r="G342" s="144"/>
      <c r="H342" s="145"/>
      <c r="I342" s="184"/>
      <c r="J342" s="195"/>
      <c r="K342" s="147"/>
      <c r="L342" s="210"/>
      <c r="M342" s="147"/>
    </row>
    <row r="343" spans="1:13" s="148" customFormat="1" ht="16.5" hidden="1" customHeight="1">
      <c r="A343" s="110"/>
      <c r="B343" s="147" t="s">
        <v>745</v>
      </c>
      <c r="C343" s="183">
        <v>1</v>
      </c>
      <c r="D343" s="205" t="s">
        <v>268</v>
      </c>
      <c r="E343" s="156">
        <v>1</v>
      </c>
      <c r="F343" s="157">
        <v>8.5</v>
      </c>
      <c r="G343" s="157">
        <v>4.95</v>
      </c>
      <c r="H343" s="157">
        <v>0</v>
      </c>
      <c r="I343" s="207">
        <f t="shared" ref="I343:I364" si="45">ROUND(IF(AND(F343:H343),C343*E343*F343*G343*H343,IF(AND(F343,G343),C343*E343*F343*G343,IF(AND(F343,H343),C343*E343*F343*H343,IF(AND(G343,H343),C343*E343*G343*H343,IF(F343,C343*E343*F343,IF(G343,C343*E343*G343,IF(H343,C343*E343*H343,C343*E343))))))),2)</f>
        <v>42.08</v>
      </c>
      <c r="J343" s="195" t="s">
        <v>102</v>
      </c>
      <c r="K343" s="147"/>
      <c r="L343" s="210"/>
      <c r="M343" s="147"/>
    </row>
    <row r="344" spans="1:13" s="148" customFormat="1" ht="16.5" hidden="1" customHeight="1">
      <c r="A344" s="110"/>
      <c r="B344" s="147" t="s">
        <v>760</v>
      </c>
      <c r="C344" s="183">
        <v>1</v>
      </c>
      <c r="D344" s="205" t="s">
        <v>268</v>
      </c>
      <c r="E344" s="156">
        <v>1</v>
      </c>
      <c r="F344" s="157">
        <v>5.5</v>
      </c>
      <c r="G344" s="157">
        <v>2.4</v>
      </c>
      <c r="H344" s="157">
        <v>0</v>
      </c>
      <c r="I344" s="207">
        <f>ROUND(IF(AND(F344:H344),C344*E344*F344*G344*H344,IF(AND(F344,G344),C344*E344*F344*G344,IF(AND(F344,H344),C344*E344*F344*H344,IF(AND(G344,H344),C344*E344*G344*H344,IF(F344,C344*E344*F344,IF(G344,C344*E344*G344,IF(H344,C344*E344*H344,C344*E344))))))),2)</f>
        <v>13.2</v>
      </c>
      <c r="J344" s="195" t="s">
        <v>102</v>
      </c>
      <c r="K344" s="147"/>
      <c r="L344" s="210"/>
      <c r="M344" s="147"/>
    </row>
    <row r="345" spans="1:13" s="148" customFormat="1" ht="16.5" hidden="1" customHeight="1">
      <c r="A345" s="110"/>
      <c r="B345" s="147" t="s">
        <v>763</v>
      </c>
      <c r="C345" s="183">
        <v>1</v>
      </c>
      <c r="D345" s="205" t="s">
        <v>268</v>
      </c>
      <c r="E345" s="156">
        <v>1</v>
      </c>
      <c r="F345" s="157">
        <v>3.15</v>
      </c>
      <c r="G345" s="157">
        <v>2.85</v>
      </c>
      <c r="H345" s="157">
        <v>0</v>
      </c>
      <c r="I345" s="207">
        <f t="shared" si="45"/>
        <v>8.98</v>
      </c>
      <c r="J345" s="195" t="s">
        <v>102</v>
      </c>
      <c r="K345" s="147"/>
      <c r="L345" s="210"/>
      <c r="M345" s="147"/>
    </row>
    <row r="346" spans="1:13" s="148" customFormat="1" ht="16.5" hidden="1" customHeight="1">
      <c r="A346" s="110"/>
      <c r="B346" s="147" t="s">
        <v>766</v>
      </c>
      <c r="C346" s="183">
        <v>1</v>
      </c>
      <c r="D346" s="205" t="s">
        <v>268</v>
      </c>
      <c r="E346" s="156">
        <v>1</v>
      </c>
      <c r="F346" s="157">
        <v>3.15</v>
      </c>
      <c r="G346" s="157">
        <v>2.75</v>
      </c>
      <c r="H346" s="157">
        <v>0</v>
      </c>
      <c r="I346" s="207">
        <f t="shared" si="45"/>
        <v>8.66</v>
      </c>
      <c r="J346" s="195" t="s">
        <v>102</v>
      </c>
      <c r="K346" s="147"/>
      <c r="L346" s="210"/>
      <c r="M346" s="147"/>
    </row>
    <row r="347" spans="1:13" s="148" customFormat="1" ht="16.5" hidden="1" customHeight="1">
      <c r="A347" s="110"/>
      <c r="B347" s="147" t="s">
        <v>649</v>
      </c>
      <c r="C347" s="183">
        <v>1</v>
      </c>
      <c r="D347" s="205" t="s">
        <v>268</v>
      </c>
      <c r="E347" s="156">
        <v>1</v>
      </c>
      <c r="F347" s="157">
        <v>8.35</v>
      </c>
      <c r="G347" s="157">
        <v>3.35</v>
      </c>
      <c r="H347" s="157">
        <v>0</v>
      </c>
      <c r="I347" s="207">
        <f t="shared" si="45"/>
        <v>27.97</v>
      </c>
      <c r="J347" s="195" t="s">
        <v>102</v>
      </c>
      <c r="K347" s="147"/>
      <c r="L347" s="210"/>
      <c r="M347" s="147"/>
    </row>
    <row r="348" spans="1:13" s="148" customFormat="1" ht="16.5" hidden="1" customHeight="1">
      <c r="A348" s="110"/>
      <c r="B348" s="147" t="s">
        <v>767</v>
      </c>
      <c r="C348" s="183">
        <v>1</v>
      </c>
      <c r="D348" s="205" t="s">
        <v>268</v>
      </c>
      <c r="E348" s="156">
        <v>1</v>
      </c>
      <c r="F348" s="157">
        <v>2.5</v>
      </c>
      <c r="G348" s="157">
        <v>0.5</v>
      </c>
      <c r="H348" s="157">
        <v>0</v>
      </c>
      <c r="I348" s="207">
        <f t="shared" si="45"/>
        <v>1.25</v>
      </c>
      <c r="J348" s="195" t="s">
        <v>102</v>
      </c>
      <c r="K348" s="147"/>
      <c r="L348" s="210"/>
      <c r="M348" s="147"/>
    </row>
    <row r="349" spans="1:13" s="148" customFormat="1" ht="16.5" hidden="1" customHeight="1">
      <c r="A349" s="110"/>
      <c r="B349" s="147"/>
      <c r="C349" s="183">
        <v>1</v>
      </c>
      <c r="D349" s="205" t="s">
        <v>268</v>
      </c>
      <c r="E349" s="156">
        <v>1</v>
      </c>
      <c r="F349" s="157">
        <v>2.5</v>
      </c>
      <c r="G349" s="157">
        <v>0.5</v>
      </c>
      <c r="H349" s="157">
        <v>0</v>
      </c>
      <c r="I349" s="207">
        <f t="shared" si="45"/>
        <v>1.25</v>
      </c>
      <c r="J349" s="195" t="s">
        <v>102</v>
      </c>
      <c r="K349" s="147"/>
      <c r="L349" s="210"/>
      <c r="M349" s="147"/>
    </row>
    <row r="350" spans="1:13" s="148" customFormat="1" ht="16.5" hidden="1" customHeight="1">
      <c r="A350" s="110"/>
      <c r="B350" s="147"/>
      <c r="C350" s="183">
        <v>1</v>
      </c>
      <c r="D350" s="205" t="s">
        <v>268</v>
      </c>
      <c r="E350" s="156">
        <v>1</v>
      </c>
      <c r="F350" s="157">
        <v>2.5</v>
      </c>
      <c r="G350" s="157">
        <v>0.5</v>
      </c>
      <c r="H350" s="157">
        <v>0</v>
      </c>
      <c r="I350" s="207">
        <f t="shared" si="45"/>
        <v>1.25</v>
      </c>
      <c r="J350" s="195" t="s">
        <v>102</v>
      </c>
      <c r="K350" s="147"/>
      <c r="L350" s="210"/>
      <c r="M350" s="147"/>
    </row>
    <row r="351" spans="1:13" s="148" customFormat="1" ht="16.5" hidden="1" customHeight="1">
      <c r="A351" s="110"/>
      <c r="B351" s="147" t="s">
        <v>763</v>
      </c>
      <c r="C351" s="183">
        <v>1</v>
      </c>
      <c r="D351" s="205" t="s">
        <v>268</v>
      </c>
      <c r="E351" s="156">
        <v>1</v>
      </c>
      <c r="F351" s="157">
        <v>2.5</v>
      </c>
      <c r="G351" s="157">
        <v>0.5</v>
      </c>
      <c r="H351" s="157">
        <v>0</v>
      </c>
      <c r="I351" s="207">
        <f t="shared" si="45"/>
        <v>1.25</v>
      </c>
      <c r="J351" s="195" t="s">
        <v>102</v>
      </c>
      <c r="K351" s="147"/>
      <c r="L351" s="210"/>
      <c r="M351" s="147"/>
    </row>
    <row r="352" spans="1:13" s="148" customFormat="1" ht="16.5" hidden="1" customHeight="1">
      <c r="A352" s="110"/>
      <c r="B352" s="147" t="s">
        <v>766</v>
      </c>
      <c r="C352" s="183">
        <v>1</v>
      </c>
      <c r="D352" s="205" t="s">
        <v>268</v>
      </c>
      <c r="E352" s="156">
        <v>1</v>
      </c>
      <c r="F352" s="157">
        <v>2.5</v>
      </c>
      <c r="G352" s="157">
        <v>0.5</v>
      </c>
      <c r="H352" s="157">
        <v>0</v>
      </c>
      <c r="I352" s="207">
        <f t="shared" si="45"/>
        <v>1.25</v>
      </c>
      <c r="J352" s="195" t="s">
        <v>102</v>
      </c>
      <c r="K352" s="147"/>
      <c r="L352" s="210"/>
      <c r="M352" s="147"/>
    </row>
    <row r="353" spans="1:13" s="148" customFormat="1" ht="16.5" hidden="1" customHeight="1">
      <c r="A353" s="110"/>
      <c r="B353" s="147" t="s">
        <v>768</v>
      </c>
      <c r="C353" s="183">
        <v>1</v>
      </c>
      <c r="D353" s="205" t="s">
        <v>268</v>
      </c>
      <c r="E353" s="156">
        <v>1</v>
      </c>
      <c r="F353" s="157">
        <v>8.9</v>
      </c>
      <c r="G353" s="157">
        <v>0.9</v>
      </c>
      <c r="H353" s="157">
        <v>0</v>
      </c>
      <c r="I353" s="207">
        <f t="shared" si="45"/>
        <v>8.01</v>
      </c>
      <c r="J353" s="195" t="s">
        <v>102</v>
      </c>
      <c r="K353" s="147"/>
      <c r="L353" s="210"/>
      <c r="M353" s="147"/>
    </row>
    <row r="354" spans="1:13" s="148" customFormat="1" ht="16.5" hidden="1" customHeight="1">
      <c r="A354" s="110"/>
      <c r="B354" s="147" t="s">
        <v>769</v>
      </c>
      <c r="C354" s="183">
        <v>1</v>
      </c>
      <c r="D354" s="205" t="s">
        <v>268</v>
      </c>
      <c r="E354" s="156">
        <v>1</v>
      </c>
      <c r="F354" s="157">
        <v>2.9</v>
      </c>
      <c r="G354" s="157">
        <v>1.3</v>
      </c>
      <c r="H354" s="157">
        <v>0</v>
      </c>
      <c r="I354" s="207">
        <f t="shared" si="45"/>
        <v>3.77</v>
      </c>
      <c r="J354" s="195" t="s">
        <v>102</v>
      </c>
      <c r="K354" s="147"/>
      <c r="L354" s="210"/>
      <c r="M354" s="147"/>
    </row>
    <row r="355" spans="1:13" s="148" customFormat="1" ht="16.5" hidden="1" customHeight="1">
      <c r="A355" s="110"/>
      <c r="B355" s="147" t="s">
        <v>746</v>
      </c>
      <c r="C355" s="183">
        <v>1</v>
      </c>
      <c r="D355" s="205" t="s">
        <v>268</v>
      </c>
      <c r="E355" s="156">
        <v>1</v>
      </c>
      <c r="F355" s="157">
        <v>2.9</v>
      </c>
      <c r="G355" s="157">
        <v>1.3</v>
      </c>
      <c r="H355" s="157">
        <v>0</v>
      </c>
      <c r="I355" s="207">
        <f t="shared" si="45"/>
        <v>3.77</v>
      </c>
      <c r="J355" s="195" t="s">
        <v>102</v>
      </c>
      <c r="K355" s="147"/>
      <c r="L355" s="210"/>
      <c r="M355" s="147"/>
    </row>
    <row r="356" spans="1:13" s="148" customFormat="1" ht="16.5" hidden="1" customHeight="1">
      <c r="A356" s="110"/>
      <c r="B356" s="147" t="s">
        <v>1334</v>
      </c>
      <c r="C356" s="141"/>
      <c r="D356" s="142"/>
      <c r="E356" s="143"/>
      <c r="F356" s="144"/>
      <c r="G356" s="144"/>
      <c r="H356" s="145"/>
      <c r="I356" s="184"/>
      <c r="J356" s="195"/>
      <c r="K356" s="147"/>
      <c r="L356" s="210"/>
      <c r="M356" s="147"/>
    </row>
    <row r="357" spans="1:13" s="148" customFormat="1" ht="16.5" hidden="1" customHeight="1">
      <c r="A357" s="110"/>
      <c r="B357" s="147" t="s">
        <v>770</v>
      </c>
      <c r="C357" s="183">
        <v>1</v>
      </c>
      <c r="D357" s="205" t="s">
        <v>268</v>
      </c>
      <c r="E357" s="156">
        <v>1</v>
      </c>
      <c r="F357" s="157">
        <v>27.04</v>
      </c>
      <c r="G357" s="157">
        <v>0</v>
      </c>
      <c r="H357" s="157">
        <v>3.2</v>
      </c>
      <c r="I357" s="207">
        <f t="shared" si="45"/>
        <v>86.53</v>
      </c>
      <c r="J357" s="195" t="s">
        <v>102</v>
      </c>
      <c r="K357" s="147"/>
      <c r="L357" s="210"/>
      <c r="M357" s="147"/>
    </row>
    <row r="358" spans="1:13" s="148" customFormat="1" ht="16.5" hidden="1" customHeight="1">
      <c r="A358" s="110"/>
      <c r="B358" s="147" t="s">
        <v>763</v>
      </c>
      <c r="C358" s="183">
        <v>1</v>
      </c>
      <c r="D358" s="205" t="s">
        <v>268</v>
      </c>
      <c r="E358" s="156">
        <v>1</v>
      </c>
      <c r="F358" s="157">
        <v>12.18</v>
      </c>
      <c r="G358" s="157">
        <v>0</v>
      </c>
      <c r="H358" s="157">
        <v>3.2</v>
      </c>
      <c r="I358" s="207">
        <f t="shared" si="45"/>
        <v>38.979999999999997</v>
      </c>
      <c r="J358" s="195" t="s">
        <v>102</v>
      </c>
      <c r="K358" s="147"/>
      <c r="L358" s="210"/>
      <c r="M358" s="147"/>
    </row>
    <row r="359" spans="1:13" s="148" customFormat="1" ht="16.5" hidden="1" customHeight="1">
      <c r="A359" s="110"/>
      <c r="B359" s="147" t="s">
        <v>766</v>
      </c>
      <c r="C359" s="183">
        <v>1</v>
      </c>
      <c r="D359" s="205" t="s">
        <v>268</v>
      </c>
      <c r="E359" s="156">
        <v>1</v>
      </c>
      <c r="F359" s="157">
        <v>12.1</v>
      </c>
      <c r="G359" s="157">
        <v>0</v>
      </c>
      <c r="H359" s="157">
        <v>3.2</v>
      </c>
      <c r="I359" s="207">
        <f t="shared" ref="I359" si="46">ROUND(IF(AND(F359:H359),C359*E359*F359*G359*H359,IF(AND(F359,G359),C359*E359*F359*G359,IF(AND(F359,H359),C359*E359*F359*H359,IF(AND(G359,H359),C359*E359*G359*H359,IF(F359,C359*E359*F359,IF(G359,C359*E359*G359,IF(H359,C359*E359*H359,C359*E359))))))),2)</f>
        <v>38.72</v>
      </c>
      <c r="J359" s="195" t="s">
        <v>102</v>
      </c>
      <c r="K359" s="147"/>
      <c r="L359" s="210"/>
      <c r="M359" s="147"/>
    </row>
    <row r="360" spans="1:13" s="148" customFormat="1" ht="16.5" hidden="1" customHeight="1">
      <c r="A360" s="110"/>
      <c r="B360" s="147" t="s">
        <v>771</v>
      </c>
      <c r="C360" s="183">
        <v>1</v>
      </c>
      <c r="D360" s="205" t="s">
        <v>268</v>
      </c>
      <c r="E360" s="156">
        <v>1</v>
      </c>
      <c r="F360" s="157">
        <v>20.079999999999998</v>
      </c>
      <c r="G360" s="157">
        <v>0</v>
      </c>
      <c r="H360" s="157">
        <v>3.2</v>
      </c>
      <c r="I360" s="207">
        <f t="shared" si="45"/>
        <v>64.260000000000005</v>
      </c>
      <c r="J360" s="195" t="s">
        <v>102</v>
      </c>
      <c r="K360" s="147"/>
      <c r="L360" s="210"/>
      <c r="M360" s="147"/>
    </row>
    <row r="361" spans="1:13" s="148" customFormat="1" ht="16.5" hidden="1" customHeight="1">
      <c r="A361" s="110"/>
      <c r="B361" s="147" t="s">
        <v>772</v>
      </c>
      <c r="C361" s="183">
        <v>1</v>
      </c>
      <c r="D361" s="205" t="s">
        <v>268</v>
      </c>
      <c r="E361" s="156">
        <v>1</v>
      </c>
      <c r="F361" s="157">
        <v>12.6</v>
      </c>
      <c r="G361" s="157">
        <v>0</v>
      </c>
      <c r="H361" s="157">
        <v>0.75</v>
      </c>
      <c r="I361" s="207">
        <f t="shared" si="45"/>
        <v>9.4499999999999993</v>
      </c>
      <c r="J361" s="195" t="s">
        <v>102</v>
      </c>
      <c r="K361" s="147"/>
      <c r="L361" s="210"/>
      <c r="M361" s="147"/>
    </row>
    <row r="362" spans="1:13" s="148" customFormat="1" ht="16.5" hidden="1" customHeight="1">
      <c r="A362" s="110"/>
      <c r="B362" s="147" t="s">
        <v>773</v>
      </c>
      <c r="C362" s="183">
        <v>1</v>
      </c>
      <c r="D362" s="205" t="s">
        <v>268</v>
      </c>
      <c r="E362" s="156">
        <v>1</v>
      </c>
      <c r="F362" s="157">
        <v>3.27</v>
      </c>
      <c r="G362" s="157">
        <v>0</v>
      </c>
      <c r="H362" s="157">
        <v>3.2</v>
      </c>
      <c r="I362" s="207">
        <f t="shared" si="45"/>
        <v>10.46</v>
      </c>
      <c r="J362" s="195" t="s">
        <v>102</v>
      </c>
      <c r="K362" s="147"/>
      <c r="L362" s="210"/>
      <c r="M362" s="147"/>
    </row>
    <row r="363" spans="1:13" s="148" customFormat="1" ht="16.5" hidden="1" customHeight="1">
      <c r="A363" s="110"/>
      <c r="B363" s="147"/>
      <c r="C363" s="183">
        <v>1</v>
      </c>
      <c r="D363" s="205" t="s">
        <v>268</v>
      </c>
      <c r="E363" s="156">
        <v>1</v>
      </c>
      <c r="F363" s="157">
        <v>3.27</v>
      </c>
      <c r="G363" s="157">
        <v>0</v>
      </c>
      <c r="H363" s="157">
        <v>3.2</v>
      </c>
      <c r="I363" s="207">
        <f t="shared" si="45"/>
        <v>10.46</v>
      </c>
      <c r="J363" s="195" t="s">
        <v>102</v>
      </c>
      <c r="K363" s="147"/>
      <c r="L363" s="210"/>
      <c r="M363" s="147"/>
    </row>
    <row r="364" spans="1:13" s="148" customFormat="1" ht="16.5" hidden="1" customHeight="1">
      <c r="A364" s="110"/>
      <c r="B364" s="147" t="s">
        <v>774</v>
      </c>
      <c r="C364" s="183">
        <v>1</v>
      </c>
      <c r="D364" s="205" t="s">
        <v>268</v>
      </c>
      <c r="E364" s="156">
        <v>1</v>
      </c>
      <c r="F364" s="157">
        <v>2.68</v>
      </c>
      <c r="G364" s="157">
        <v>0</v>
      </c>
      <c r="H364" s="157">
        <v>1.2</v>
      </c>
      <c r="I364" s="207">
        <f t="shared" si="45"/>
        <v>3.22</v>
      </c>
      <c r="J364" s="195" t="s">
        <v>102</v>
      </c>
      <c r="K364" s="147"/>
      <c r="L364" s="210"/>
      <c r="M364" s="147"/>
    </row>
    <row r="365" spans="1:13" s="148" customFormat="1" ht="16.5" hidden="1" customHeight="1">
      <c r="A365" s="110"/>
      <c r="B365" s="147" t="s">
        <v>567</v>
      </c>
      <c r="C365" s="183">
        <v>1</v>
      </c>
      <c r="D365" s="205" t="s">
        <v>268</v>
      </c>
      <c r="E365" s="156">
        <v>2</v>
      </c>
      <c r="F365" s="157">
        <v>1.2</v>
      </c>
      <c r="G365" s="157">
        <v>0</v>
      </c>
      <c r="H365" s="157">
        <v>2.1</v>
      </c>
      <c r="I365" s="207">
        <f>-ROUND(IF(AND(F365:H365),C365*E365*F365*G365*H365,IF(AND(F365,G365),C365*E365*F365*G365,IF(AND(F365,H365),C365*E365*F365*H365,IF(AND(G365,H365),C365*E365*G365*H365,IF(F365,C365*E365*F365,IF(G365,C365*E365*G365,IF(H365,C365*E365*H365,C365*E365))))))),2)</f>
        <v>-5.04</v>
      </c>
      <c r="J365" s="195" t="s">
        <v>102</v>
      </c>
      <c r="K365" s="147"/>
      <c r="L365" s="210"/>
      <c r="M365" s="147"/>
    </row>
    <row r="366" spans="1:13" s="148" customFormat="1" ht="16.5" hidden="1" customHeight="1">
      <c r="A366" s="110"/>
      <c r="B366" s="147" t="s">
        <v>748</v>
      </c>
      <c r="C366" s="183">
        <v>1</v>
      </c>
      <c r="D366" s="205" t="s">
        <v>268</v>
      </c>
      <c r="E366" s="156">
        <v>5</v>
      </c>
      <c r="F366" s="157">
        <v>1.5</v>
      </c>
      <c r="G366" s="157">
        <v>0</v>
      </c>
      <c r="H366" s="157">
        <v>1.35</v>
      </c>
      <c r="I366" s="207">
        <f>-ROUND(IF(AND(F366:H366),C366*E366*F366*G366*H366,IF(AND(F366,G366),C366*E366*F366*G366,IF(AND(F366,H366),C366*E366*F366*H366,IF(AND(G366,H366),C366*E366*G366*H366,IF(F366,C366*E366*F366,IF(G366,C366*E366*G366,IF(H366,C366*E366*H366,C366*E366))))))),2)</f>
        <v>-10.130000000000001</v>
      </c>
      <c r="J366" s="195" t="s">
        <v>102</v>
      </c>
      <c r="K366" s="147"/>
      <c r="L366" s="210"/>
      <c r="M366" s="147"/>
    </row>
    <row r="367" spans="1:13" s="148" customFormat="1" ht="16.5" hidden="1" customHeight="1">
      <c r="A367" s="110"/>
      <c r="B367" s="147" t="s">
        <v>744</v>
      </c>
      <c r="C367" s="183">
        <v>1</v>
      </c>
      <c r="D367" s="205" t="s">
        <v>268</v>
      </c>
      <c r="E367" s="156">
        <v>10</v>
      </c>
      <c r="F367" s="157">
        <v>0.6</v>
      </c>
      <c r="G367" s="157">
        <v>0</v>
      </c>
      <c r="H367" s="157">
        <v>0.3</v>
      </c>
      <c r="I367" s="207">
        <f>-ROUND(IF(AND(F367:H367),C367*E367*F367*G367*H367,IF(AND(F367,G367),C367*E367*F367*G367,IF(AND(F367,H367),C367*E367*F367*H367,IF(AND(G367,H367),C367*E367*G367*H367,IF(F367,C367*E367*F367,IF(G367,C367*E367*G367,IF(H367,C367*E367*H367,C367*E367))))))),2)</f>
        <v>-1.8</v>
      </c>
      <c r="J367" s="195" t="s">
        <v>102</v>
      </c>
      <c r="K367" s="147"/>
      <c r="L367" s="210"/>
      <c r="M367" s="147"/>
    </row>
    <row r="368" spans="1:13" s="148" customFormat="1" ht="16.5" hidden="1" customHeight="1">
      <c r="A368" s="110"/>
      <c r="B368" s="147" t="s">
        <v>775</v>
      </c>
      <c r="C368" s="183">
        <v>1</v>
      </c>
      <c r="D368" s="205" t="s">
        <v>268</v>
      </c>
      <c r="E368" s="156">
        <v>1</v>
      </c>
      <c r="F368" s="157">
        <v>1.2</v>
      </c>
      <c r="G368" s="157">
        <v>0</v>
      </c>
      <c r="H368" s="157">
        <v>2.1</v>
      </c>
      <c r="I368" s="207">
        <f>-ROUND(IF(AND(F368:H368),C368*E368*F368*G368*H368,IF(AND(F368,G368),C368*E368*F368*G368,IF(AND(F368,H368),C368*E368*F368*H368,IF(AND(G368,H368),C368*E368*G368*H368,IF(F368,C368*E368*F368,IF(G368,C368*E368*G368,IF(H368,C368*E368*H368,C368*E368))))))),2)</f>
        <v>-2.52</v>
      </c>
      <c r="J368" s="195" t="s">
        <v>102</v>
      </c>
      <c r="K368" s="147"/>
      <c r="L368" s="210"/>
      <c r="M368" s="147"/>
    </row>
    <row r="369" spans="1:13" s="148" customFormat="1" ht="16.5" hidden="1" customHeight="1">
      <c r="A369" s="110"/>
      <c r="B369" s="147" t="s">
        <v>1329</v>
      </c>
      <c r="C369" s="141"/>
      <c r="D369" s="142"/>
      <c r="E369" s="143"/>
      <c r="F369" s="144"/>
      <c r="G369" s="144"/>
      <c r="H369" s="145"/>
      <c r="I369" s="184"/>
      <c r="J369" s="195"/>
      <c r="K369" s="147"/>
      <c r="L369" s="210"/>
      <c r="M369" s="147"/>
    </row>
    <row r="370" spans="1:13" s="148" customFormat="1" ht="16.5" hidden="1" customHeight="1">
      <c r="A370" s="110"/>
      <c r="B370" s="147" t="s">
        <v>761</v>
      </c>
      <c r="C370" s="183">
        <v>1</v>
      </c>
      <c r="D370" s="205" t="s">
        <v>268</v>
      </c>
      <c r="E370" s="156">
        <v>1</v>
      </c>
      <c r="F370" s="157">
        <v>12.53</v>
      </c>
      <c r="G370" s="157">
        <v>0</v>
      </c>
      <c r="H370" s="157">
        <v>3.6</v>
      </c>
      <c r="I370" s="207">
        <f t="shared" ref="I370:I373" si="47">ROUND(IF(AND(F370:H370),C370*E370*F370*G370*H370,IF(AND(F370,G370),C370*E370*F370*G370,IF(AND(F370,H370),C370*E370*F370*H370,IF(AND(G370,H370),C370*E370*G370*H370,IF(F370,C370*E370*F370,IF(G370,C370*E370*G370,IF(H370,C370*E370*H370,C370*E370))))))),2)</f>
        <v>45.11</v>
      </c>
      <c r="J370" s="195" t="s">
        <v>102</v>
      </c>
      <c r="K370" s="147"/>
      <c r="L370" s="210"/>
      <c r="M370" s="147"/>
    </row>
    <row r="371" spans="1:13" s="148" customFormat="1" ht="16.5" hidden="1" customHeight="1">
      <c r="A371" s="110"/>
      <c r="B371" s="147" t="s">
        <v>762</v>
      </c>
      <c r="C371" s="183">
        <v>1</v>
      </c>
      <c r="D371" s="205" t="s">
        <v>268</v>
      </c>
      <c r="E371" s="156">
        <v>1</v>
      </c>
      <c r="F371" s="157">
        <v>8.85</v>
      </c>
      <c r="G371" s="157">
        <v>0</v>
      </c>
      <c r="H371" s="157">
        <v>3.6</v>
      </c>
      <c r="I371" s="207">
        <f t="shared" si="47"/>
        <v>31.86</v>
      </c>
      <c r="J371" s="195" t="s">
        <v>102</v>
      </c>
      <c r="K371" s="147"/>
      <c r="L371" s="210"/>
      <c r="M371" s="147"/>
    </row>
    <row r="372" spans="1:13" s="148" customFormat="1" ht="16.5" hidden="1" customHeight="1">
      <c r="A372" s="110"/>
      <c r="B372" s="147" t="s">
        <v>765</v>
      </c>
      <c r="C372" s="183">
        <v>1</v>
      </c>
      <c r="D372" s="205" t="s">
        <v>268</v>
      </c>
      <c r="E372" s="156">
        <v>1</v>
      </c>
      <c r="F372" s="157">
        <v>6.25</v>
      </c>
      <c r="G372" s="157">
        <v>0</v>
      </c>
      <c r="H372" s="157">
        <v>3.6</v>
      </c>
      <c r="I372" s="207">
        <f t="shared" si="47"/>
        <v>22.5</v>
      </c>
      <c r="J372" s="195" t="s">
        <v>102</v>
      </c>
      <c r="K372" s="147"/>
      <c r="L372" s="210"/>
      <c r="M372" s="147"/>
    </row>
    <row r="373" spans="1:13" s="148" customFormat="1" ht="16.5" hidden="1" customHeight="1">
      <c r="A373" s="110"/>
      <c r="B373" s="147" t="s">
        <v>764</v>
      </c>
      <c r="C373" s="183">
        <v>1</v>
      </c>
      <c r="D373" s="205" t="s">
        <v>268</v>
      </c>
      <c r="E373" s="156">
        <v>1</v>
      </c>
      <c r="F373" s="157">
        <v>5.45</v>
      </c>
      <c r="G373" s="157">
        <v>0</v>
      </c>
      <c r="H373" s="157">
        <v>3.2</v>
      </c>
      <c r="I373" s="207">
        <f t="shared" si="47"/>
        <v>17.440000000000001</v>
      </c>
      <c r="J373" s="195" t="s">
        <v>102</v>
      </c>
      <c r="K373" s="147"/>
      <c r="L373" s="210"/>
      <c r="M373" s="147"/>
    </row>
    <row r="374" spans="1:13" s="148" customFormat="1" ht="16.5" hidden="1" customHeight="1">
      <c r="A374" s="110"/>
      <c r="B374" s="149"/>
      <c r="C374" s="150"/>
      <c r="D374" s="151"/>
      <c r="E374" s="194"/>
      <c r="F374" s="153"/>
      <c r="G374" s="153"/>
      <c r="H374" s="153"/>
      <c r="I374" s="185"/>
      <c r="J374" s="195"/>
      <c r="K374" s="147"/>
      <c r="L374" s="210"/>
      <c r="M374" s="147"/>
    </row>
    <row r="375" spans="1:13" hidden="1">
      <c r="A375" s="110"/>
      <c r="B375" s="147"/>
      <c r="C375" s="154"/>
      <c r="D375" s="155"/>
      <c r="E375" s="156"/>
      <c r="F375" s="157"/>
      <c r="G375" s="158"/>
      <c r="H375" s="110"/>
      <c r="I375" s="185"/>
      <c r="J375" s="195" t="s">
        <v>102</v>
      </c>
      <c r="K375" s="12">
        <f>'DATA 2025-26'!E823</f>
        <v>26.32</v>
      </c>
      <c r="L375" s="210" t="s">
        <v>270</v>
      </c>
      <c r="M375" s="11">
        <f>ROUND(I375*K375,0)</f>
        <v>0</v>
      </c>
    </row>
    <row r="376" spans="1:13" ht="117.75" hidden="1" customHeight="1">
      <c r="A376" s="110">
        <v>4</v>
      </c>
      <c r="B376" s="964" t="s">
        <v>845</v>
      </c>
      <c r="C376" s="964"/>
      <c r="D376" s="964"/>
      <c r="E376" s="964"/>
      <c r="F376" s="964"/>
      <c r="G376" s="964"/>
      <c r="H376" s="964"/>
      <c r="I376" s="183"/>
      <c r="J376" s="186"/>
      <c r="K376" s="110"/>
      <c r="L376" s="210"/>
      <c r="M376" s="139"/>
    </row>
    <row r="377" spans="1:13" s="148" customFormat="1" ht="16.5" hidden="1" customHeight="1">
      <c r="A377" s="110"/>
      <c r="B377" s="147" t="s">
        <v>2174</v>
      </c>
      <c r="C377" s="183">
        <v>1</v>
      </c>
      <c r="D377" s="205" t="s">
        <v>268</v>
      </c>
      <c r="E377" s="156">
        <v>1</v>
      </c>
      <c r="F377" s="157">
        <v>2.9</v>
      </c>
      <c r="G377" s="157">
        <v>2.85</v>
      </c>
      <c r="H377" s="157">
        <v>0</v>
      </c>
      <c r="I377" s="207">
        <f t="shared" ref="I377:I394" si="48">ROUND(IF(AND(F377:H377),C377*E377*F377*G377*H377,IF(AND(F377,G377),C377*E377*F377*G377,IF(AND(F377,H377),C377*E377*F377*H377,IF(AND(G377,H377),C377*E377*G377*H377,IF(F377,C377*E377*F377,IF(G377,C377*E377*G377,IF(H377,C377*E377*H377,C377*E377))))))),2)</f>
        <v>8.27</v>
      </c>
      <c r="J377" s="195" t="s">
        <v>102</v>
      </c>
      <c r="K377" s="147"/>
      <c r="L377" s="110"/>
      <c r="M377" s="147"/>
    </row>
    <row r="378" spans="1:13" s="148" customFormat="1" ht="16.5" hidden="1" customHeight="1">
      <c r="A378" s="110"/>
      <c r="B378" s="147" t="s">
        <v>2166</v>
      </c>
      <c r="C378" s="183">
        <v>1</v>
      </c>
      <c r="D378" s="205" t="s">
        <v>268</v>
      </c>
      <c r="E378" s="156">
        <v>1</v>
      </c>
      <c r="F378" s="157">
        <v>2.25</v>
      </c>
      <c r="G378" s="157">
        <v>2.85</v>
      </c>
      <c r="H378" s="157">
        <v>0</v>
      </c>
      <c r="I378" s="207">
        <f>ROUND(IF(AND(F378:H378),C378*E378*F378*G378*H378,IF(AND(F378,G378),C378*E378*F378*G378,IF(AND(F378,H378),C378*E378*F378*H378,IF(AND(G378,H378),C378*E378*G378*H378,IF(F378,C378*E378*F378,IF(G378,C378*E378*G378,IF(H378,C378*E378*H378,C378*E378))))))),2)</f>
        <v>6.41</v>
      </c>
      <c r="J378" s="195" t="s">
        <v>102</v>
      </c>
      <c r="K378" s="147"/>
      <c r="L378" s="110"/>
      <c r="M378" s="147"/>
    </row>
    <row r="379" spans="1:13" s="148" customFormat="1" ht="16.5" hidden="1" customHeight="1">
      <c r="A379" s="110"/>
      <c r="B379" s="147" t="s">
        <v>2167</v>
      </c>
      <c r="C379" s="183">
        <v>1</v>
      </c>
      <c r="D379" s="205" t="s">
        <v>268</v>
      </c>
      <c r="E379" s="156">
        <v>1</v>
      </c>
      <c r="F379" s="157">
        <v>2.72</v>
      </c>
      <c r="G379" s="157">
        <v>2.85</v>
      </c>
      <c r="H379" s="157">
        <v>0</v>
      </c>
      <c r="I379" s="207">
        <f>ROUND(IF(AND(F379:H379),C379*E379*F379*G379*H379,IF(AND(F379,G379),C379*E379*F379*G379,IF(AND(F379,H379),C379*E379*F379*H379,IF(AND(G379,H379),C379*E379*G379*H379,IF(F379,C379*E379*F379,IF(G379,C379*E379*G379,IF(H379,C379*E379*H379,C379*E379))))))),2)</f>
        <v>7.75</v>
      </c>
      <c r="J379" s="195" t="s">
        <v>102</v>
      </c>
      <c r="K379" s="147"/>
      <c r="L379" s="110"/>
      <c r="M379" s="147"/>
    </row>
    <row r="380" spans="1:13" s="148" customFormat="1" ht="16.5" hidden="1" customHeight="1">
      <c r="A380" s="110"/>
      <c r="B380" s="147" t="s">
        <v>2168</v>
      </c>
      <c r="C380" s="183">
        <v>1</v>
      </c>
      <c r="D380" s="205" t="s">
        <v>268</v>
      </c>
      <c r="E380" s="156">
        <v>1</v>
      </c>
      <c r="F380" s="157">
        <v>1.82</v>
      </c>
      <c r="G380" s="157">
        <v>2.8</v>
      </c>
      <c r="H380" s="157">
        <v>0</v>
      </c>
      <c r="I380" s="207">
        <f>ROUND(IF(AND(F380:H380),C380*E380*F380*G380*H380,IF(AND(F380,G380),C380*E380*F380*G380,IF(AND(F380,H380),C380*E380*F380*H380,IF(AND(G380,H380),C380*E380*G380*H380,IF(F380,C380*E380*F380,IF(G380,C380*E380*G380,IF(H380,C380*E380*H380,C380*E380))))))),2)</f>
        <v>5.0999999999999996</v>
      </c>
      <c r="J380" s="195" t="s">
        <v>102</v>
      </c>
      <c r="K380" s="147"/>
      <c r="L380" s="110"/>
      <c r="M380" s="147"/>
    </row>
    <row r="381" spans="1:13" s="148" customFormat="1" ht="16.5" hidden="1" customHeight="1">
      <c r="A381" s="110"/>
      <c r="B381" s="147" t="s">
        <v>2175</v>
      </c>
      <c r="C381" s="183">
        <v>1</v>
      </c>
      <c r="D381" s="205" t="s">
        <v>268</v>
      </c>
      <c r="E381" s="156">
        <v>1</v>
      </c>
      <c r="F381" s="157">
        <v>6.78</v>
      </c>
      <c r="G381" s="157">
        <v>2.96</v>
      </c>
      <c r="H381" s="157">
        <v>0</v>
      </c>
      <c r="I381" s="207">
        <f>ROUND(IF(AND(F381:H381),C381*E381*F381*G381*H381,IF(AND(F381,G381),C381*E381*F381*G381,IF(AND(F381,H381),C381*E381*F381*H381,IF(AND(G381,H381),C381*E381*G381*H381,IF(F381,C381*E381*F381,IF(G381,C381*E381*G381,IF(H381,C381*E381*H381,C381*E381))))))),2)</f>
        <v>20.07</v>
      </c>
      <c r="J381" s="195" t="s">
        <v>102</v>
      </c>
      <c r="K381" s="147"/>
      <c r="L381" s="110"/>
      <c r="M381" s="147"/>
    </row>
    <row r="382" spans="1:13" s="148" customFormat="1" ht="16.5" hidden="1" customHeight="1">
      <c r="A382" s="110"/>
      <c r="B382" s="147" t="s">
        <v>2170</v>
      </c>
      <c r="C382" s="183">
        <v>1</v>
      </c>
      <c r="D382" s="205" t="s">
        <v>268</v>
      </c>
      <c r="E382" s="156">
        <v>1</v>
      </c>
      <c r="F382" s="157">
        <v>6.22</v>
      </c>
      <c r="G382" s="157">
        <v>2.96</v>
      </c>
      <c r="H382" s="157">
        <v>0</v>
      </c>
      <c r="I382" s="207">
        <f>ROUND(IF(AND(F382:H382),C382*E382*F382*G382*H382,IF(AND(F382,G382),C382*E382*F382*G382,IF(AND(F382,H382),C382*E382*F382*H382,IF(AND(G382,H382),C382*E382*G382*H382,IF(F382,C382*E382*F382,IF(G382,C382*E382*G382,IF(H382,C382*E382*H382,C382*E382))))))),2)</f>
        <v>18.41</v>
      </c>
      <c r="J382" s="195" t="s">
        <v>102</v>
      </c>
      <c r="K382" s="147"/>
      <c r="L382" s="110"/>
      <c r="M382" s="147"/>
    </row>
    <row r="383" spans="1:13" s="148" customFormat="1" ht="16.5" hidden="1" customHeight="1">
      <c r="A383" s="110"/>
      <c r="B383" s="147" t="s">
        <v>2176</v>
      </c>
      <c r="C383" s="183">
        <v>1</v>
      </c>
      <c r="D383" s="205" t="s">
        <v>268</v>
      </c>
      <c r="E383" s="156">
        <v>1</v>
      </c>
      <c r="F383" s="157">
        <v>11.5</v>
      </c>
      <c r="G383" s="157">
        <v>0</v>
      </c>
      <c r="H383" s="157">
        <v>3.15</v>
      </c>
      <c r="I383" s="207">
        <f t="shared" si="48"/>
        <v>36.229999999999997</v>
      </c>
      <c r="J383" s="195" t="s">
        <v>102</v>
      </c>
      <c r="K383" s="147"/>
      <c r="L383" s="110"/>
      <c r="M383" s="147"/>
    </row>
    <row r="384" spans="1:13" s="148" customFormat="1" ht="16.5" hidden="1" customHeight="1">
      <c r="A384" s="110"/>
      <c r="B384" s="147" t="s">
        <v>2166</v>
      </c>
      <c r="C384" s="183">
        <v>1</v>
      </c>
      <c r="D384" s="205" t="s">
        <v>268</v>
      </c>
      <c r="E384" s="156">
        <v>1</v>
      </c>
      <c r="F384" s="157">
        <v>10.199999999999999</v>
      </c>
      <c r="G384" s="157">
        <v>0</v>
      </c>
      <c r="H384" s="157">
        <v>3.15</v>
      </c>
      <c r="I384" s="207">
        <f t="shared" si="48"/>
        <v>32.130000000000003</v>
      </c>
      <c r="J384" s="195" t="s">
        <v>102</v>
      </c>
      <c r="K384" s="147"/>
      <c r="L384" s="110"/>
      <c r="M384" s="147"/>
    </row>
    <row r="385" spans="1:13" s="148" customFormat="1" ht="16.5" hidden="1" customHeight="1">
      <c r="A385" s="110"/>
      <c r="B385" s="147" t="s">
        <v>2167</v>
      </c>
      <c r="C385" s="183">
        <v>1</v>
      </c>
      <c r="D385" s="205" t="s">
        <v>268</v>
      </c>
      <c r="E385" s="156">
        <v>1</v>
      </c>
      <c r="F385" s="157">
        <v>11.14</v>
      </c>
      <c r="G385" s="157">
        <v>0</v>
      </c>
      <c r="H385" s="157">
        <v>3.15</v>
      </c>
      <c r="I385" s="207">
        <f t="shared" si="48"/>
        <v>35.090000000000003</v>
      </c>
      <c r="J385" s="195" t="s">
        <v>102</v>
      </c>
      <c r="K385" s="147"/>
      <c r="L385" s="110"/>
      <c r="M385" s="147"/>
    </row>
    <row r="386" spans="1:13" s="148" customFormat="1" ht="16.5" hidden="1" customHeight="1">
      <c r="A386" s="110"/>
      <c r="B386" s="147" t="s">
        <v>2168</v>
      </c>
      <c r="C386" s="183">
        <v>1</v>
      </c>
      <c r="D386" s="205" t="s">
        <v>268</v>
      </c>
      <c r="E386" s="156">
        <v>1</v>
      </c>
      <c r="F386" s="157">
        <v>9.24</v>
      </c>
      <c r="G386" s="157">
        <v>0</v>
      </c>
      <c r="H386" s="157">
        <v>3.15</v>
      </c>
      <c r="I386" s="207">
        <f t="shared" si="48"/>
        <v>29.11</v>
      </c>
      <c r="J386" s="195" t="s">
        <v>102</v>
      </c>
      <c r="K386" s="147"/>
      <c r="L386" s="110"/>
      <c r="M386" s="147"/>
    </row>
    <row r="387" spans="1:13" s="148" customFormat="1" ht="16.5" hidden="1" customHeight="1">
      <c r="A387" s="110"/>
      <c r="B387" s="147" t="s">
        <v>2175</v>
      </c>
      <c r="C387" s="183">
        <v>1</v>
      </c>
      <c r="D387" s="205" t="s">
        <v>268</v>
      </c>
      <c r="E387" s="156">
        <v>1</v>
      </c>
      <c r="F387" s="157">
        <v>19.48</v>
      </c>
      <c r="G387" s="157">
        <v>0</v>
      </c>
      <c r="H387" s="157">
        <v>3.15</v>
      </c>
      <c r="I387" s="207">
        <f t="shared" si="48"/>
        <v>61.36</v>
      </c>
      <c r="J387" s="195" t="s">
        <v>102</v>
      </c>
      <c r="K387" s="147"/>
      <c r="L387" s="110"/>
      <c r="M387" s="147"/>
    </row>
    <row r="388" spans="1:13" s="148" customFormat="1" ht="16.5" hidden="1" customHeight="1">
      <c r="A388" s="110"/>
      <c r="B388" s="147" t="s">
        <v>2170</v>
      </c>
      <c r="C388" s="183">
        <v>1</v>
      </c>
      <c r="D388" s="205" t="s">
        <v>268</v>
      </c>
      <c r="E388" s="156">
        <v>1</v>
      </c>
      <c r="F388" s="157">
        <v>18.36</v>
      </c>
      <c r="G388" s="157">
        <v>0</v>
      </c>
      <c r="H388" s="157">
        <v>3.15</v>
      </c>
      <c r="I388" s="207">
        <f t="shared" si="48"/>
        <v>57.83</v>
      </c>
      <c r="J388" s="195" t="s">
        <v>102</v>
      </c>
      <c r="K388" s="147"/>
      <c r="L388" s="110"/>
      <c r="M388" s="147"/>
    </row>
    <row r="389" spans="1:13" s="148" customFormat="1" ht="16.5" hidden="1" customHeight="1">
      <c r="A389" s="110"/>
      <c r="B389" s="147" t="s">
        <v>2177</v>
      </c>
      <c r="C389" s="183">
        <v>1</v>
      </c>
      <c r="D389" s="205" t="s">
        <v>268</v>
      </c>
      <c r="E389" s="156">
        <v>2</v>
      </c>
      <c r="F389" s="157">
        <v>1</v>
      </c>
      <c r="G389" s="157">
        <v>0</v>
      </c>
      <c r="H389" s="157">
        <v>0.75</v>
      </c>
      <c r="I389" s="207">
        <f t="shared" si="48"/>
        <v>1.5</v>
      </c>
      <c r="J389" s="195" t="s">
        <v>102</v>
      </c>
      <c r="K389" s="147"/>
      <c r="L389" s="110"/>
      <c r="M389" s="147"/>
    </row>
    <row r="390" spans="1:13" s="148" customFormat="1" ht="16.5" hidden="1" customHeight="1">
      <c r="A390" s="110"/>
      <c r="B390" s="147"/>
      <c r="C390" s="183">
        <v>1</v>
      </c>
      <c r="D390" s="205" t="s">
        <v>268</v>
      </c>
      <c r="E390" s="156">
        <v>2</v>
      </c>
      <c r="F390" s="157">
        <v>0.55000000000000004</v>
      </c>
      <c r="G390" s="157">
        <v>0</v>
      </c>
      <c r="H390" s="157">
        <v>0.75</v>
      </c>
      <c r="I390" s="207">
        <f t="shared" si="48"/>
        <v>0.83</v>
      </c>
      <c r="J390" s="195" t="s">
        <v>102</v>
      </c>
      <c r="K390" s="147"/>
      <c r="L390" s="110"/>
      <c r="M390" s="147"/>
    </row>
    <row r="391" spans="1:13" s="148" customFormat="1" ht="16.5" hidden="1" customHeight="1">
      <c r="A391" s="110"/>
      <c r="B391" s="147" t="s">
        <v>2178</v>
      </c>
      <c r="C391" s="183">
        <v>1</v>
      </c>
      <c r="D391" s="205" t="s">
        <v>268</v>
      </c>
      <c r="E391" s="156">
        <v>1</v>
      </c>
      <c r="F391" s="157">
        <v>1</v>
      </c>
      <c r="G391" s="157">
        <v>0</v>
      </c>
      <c r="H391" s="157">
        <v>0.75</v>
      </c>
      <c r="I391" s="207">
        <f t="shared" si="48"/>
        <v>0.75</v>
      </c>
      <c r="J391" s="195" t="s">
        <v>102</v>
      </c>
      <c r="K391" s="147"/>
      <c r="L391" s="110"/>
      <c r="M391" s="147"/>
    </row>
    <row r="392" spans="1:13" s="148" customFormat="1" ht="16.5" hidden="1" customHeight="1">
      <c r="A392" s="110"/>
      <c r="B392" s="147"/>
      <c r="C392" s="183">
        <v>1</v>
      </c>
      <c r="D392" s="205" t="s">
        <v>268</v>
      </c>
      <c r="E392" s="156">
        <v>2</v>
      </c>
      <c r="F392" s="157">
        <v>0.55000000000000004</v>
      </c>
      <c r="G392" s="157">
        <v>0</v>
      </c>
      <c r="H392" s="157">
        <v>0.75</v>
      </c>
      <c r="I392" s="207">
        <f t="shared" si="48"/>
        <v>0.83</v>
      </c>
      <c r="J392" s="195" t="s">
        <v>102</v>
      </c>
      <c r="K392" s="147"/>
      <c r="L392" s="110"/>
      <c r="M392" s="147"/>
    </row>
    <row r="393" spans="1:13" s="148" customFormat="1" ht="16.5" hidden="1" customHeight="1">
      <c r="A393" s="110"/>
      <c r="B393" s="147" t="s">
        <v>2179</v>
      </c>
      <c r="C393" s="183">
        <v>1</v>
      </c>
      <c r="D393" s="205" t="s">
        <v>268</v>
      </c>
      <c r="E393" s="156">
        <v>1</v>
      </c>
      <c r="F393" s="157">
        <v>1</v>
      </c>
      <c r="G393" s="157">
        <v>0</v>
      </c>
      <c r="H393" s="157">
        <v>0.75</v>
      </c>
      <c r="I393" s="207">
        <f t="shared" si="48"/>
        <v>0.75</v>
      </c>
      <c r="J393" s="195" t="s">
        <v>102</v>
      </c>
      <c r="K393" s="147"/>
      <c r="L393" s="110"/>
      <c r="M393" s="147"/>
    </row>
    <row r="394" spans="1:13" s="148" customFormat="1" ht="16.5" hidden="1" customHeight="1">
      <c r="A394" s="110"/>
      <c r="B394" s="147"/>
      <c r="C394" s="183">
        <v>1</v>
      </c>
      <c r="D394" s="205" t="s">
        <v>268</v>
      </c>
      <c r="E394" s="156">
        <v>2</v>
      </c>
      <c r="F394" s="157">
        <v>0.55000000000000004</v>
      </c>
      <c r="G394" s="157">
        <v>0</v>
      </c>
      <c r="H394" s="157">
        <v>0.75</v>
      </c>
      <c r="I394" s="207">
        <f t="shared" si="48"/>
        <v>0.83</v>
      </c>
      <c r="J394" s="195" t="s">
        <v>102</v>
      </c>
      <c r="K394" s="147"/>
      <c r="L394" s="110"/>
      <c r="M394" s="147"/>
    </row>
    <row r="395" spans="1:13" s="148" customFormat="1" ht="16.5" hidden="1" customHeight="1">
      <c r="A395" s="110"/>
      <c r="B395" s="147" t="s">
        <v>567</v>
      </c>
      <c r="C395" s="183">
        <v>1</v>
      </c>
      <c r="D395" s="205" t="s">
        <v>268</v>
      </c>
      <c r="E395" s="156">
        <v>1</v>
      </c>
      <c r="F395" s="157">
        <v>1.2</v>
      </c>
      <c r="G395" s="157">
        <v>0</v>
      </c>
      <c r="H395" s="157">
        <v>2.1</v>
      </c>
      <c r="I395" s="207">
        <f t="shared" ref="I395:I401" si="49">-ROUND(IF(AND(F395:H395),C395*E395*F395*G395*H395,IF(AND(F395,G395),C395*E395*F395*G395,IF(AND(F395,H395),C395*E395*F395*H395,IF(AND(G395,H395),C395*E395*G395*H395,IF(F395,C395*E395*F395,IF(G395,C395*E395*G395,IF(H395,C395*E395*H395,C395*E395))))))),2)</f>
        <v>-2.52</v>
      </c>
      <c r="J395" s="195" t="s">
        <v>102</v>
      </c>
      <c r="K395" s="147"/>
      <c r="L395" s="110"/>
      <c r="M395" s="147"/>
    </row>
    <row r="396" spans="1:13" s="148" customFormat="1" ht="16.5" hidden="1" customHeight="1">
      <c r="A396" s="110"/>
      <c r="B396" s="147" t="s">
        <v>567</v>
      </c>
      <c r="C396" s="183">
        <v>1</v>
      </c>
      <c r="D396" s="205" t="s">
        <v>268</v>
      </c>
      <c r="E396" s="156">
        <v>2</v>
      </c>
      <c r="F396" s="157">
        <v>0.9</v>
      </c>
      <c r="G396" s="157">
        <v>0</v>
      </c>
      <c r="H396" s="157">
        <v>2.1</v>
      </c>
      <c r="I396" s="207">
        <f t="shared" si="49"/>
        <v>-3.78</v>
      </c>
      <c r="J396" s="195" t="s">
        <v>102</v>
      </c>
      <c r="K396" s="147"/>
      <c r="L396" s="110"/>
      <c r="M396" s="147"/>
    </row>
    <row r="397" spans="1:13" s="148" customFormat="1" ht="16.5" hidden="1" customHeight="1">
      <c r="A397" s="110"/>
      <c r="B397" s="147" t="s">
        <v>567</v>
      </c>
      <c r="C397" s="183">
        <v>2</v>
      </c>
      <c r="D397" s="205" t="s">
        <v>268</v>
      </c>
      <c r="E397" s="156">
        <v>4</v>
      </c>
      <c r="F397" s="157">
        <v>0.9</v>
      </c>
      <c r="G397" s="157">
        <v>0</v>
      </c>
      <c r="H397" s="157">
        <v>2.1</v>
      </c>
      <c r="I397" s="207">
        <f t="shared" si="49"/>
        <v>-15.12</v>
      </c>
      <c r="J397" s="195" t="s">
        <v>102</v>
      </c>
      <c r="K397" s="147"/>
      <c r="L397" s="110"/>
      <c r="M397" s="147"/>
    </row>
    <row r="398" spans="1:13" s="148" customFormat="1" ht="16.5" hidden="1" customHeight="1">
      <c r="A398" s="110"/>
      <c r="B398" s="147" t="s">
        <v>567</v>
      </c>
      <c r="C398" s="183">
        <v>1</v>
      </c>
      <c r="D398" s="205" t="s">
        <v>268</v>
      </c>
      <c r="E398" s="156">
        <v>2</v>
      </c>
      <c r="F398" s="157">
        <v>0.75</v>
      </c>
      <c r="G398" s="157">
        <v>0</v>
      </c>
      <c r="H398" s="157">
        <v>2.1</v>
      </c>
      <c r="I398" s="207">
        <f t="shared" si="49"/>
        <v>-3.15</v>
      </c>
      <c r="J398" s="195" t="s">
        <v>102</v>
      </c>
      <c r="K398" s="147"/>
      <c r="L398" s="110"/>
      <c r="M398" s="147"/>
    </row>
    <row r="399" spans="1:13" s="148" customFormat="1" ht="16.5" hidden="1" customHeight="1">
      <c r="A399" s="110"/>
      <c r="B399" s="147" t="s">
        <v>2180</v>
      </c>
      <c r="C399" s="183">
        <v>1</v>
      </c>
      <c r="D399" s="205" t="s">
        <v>268</v>
      </c>
      <c r="E399" s="156">
        <v>1</v>
      </c>
      <c r="F399" s="157">
        <v>1.25</v>
      </c>
      <c r="G399" s="157">
        <v>0</v>
      </c>
      <c r="H399" s="157">
        <v>2.85</v>
      </c>
      <c r="I399" s="207">
        <f t="shared" si="49"/>
        <v>-3.56</v>
      </c>
      <c r="J399" s="195" t="s">
        <v>102</v>
      </c>
      <c r="K399" s="147"/>
      <c r="L399" s="110"/>
      <c r="M399" s="147"/>
    </row>
    <row r="400" spans="1:13" s="148" customFormat="1" ht="16.5" hidden="1" customHeight="1">
      <c r="A400" s="110"/>
      <c r="B400" s="147" t="s">
        <v>2181</v>
      </c>
      <c r="C400" s="183">
        <v>1</v>
      </c>
      <c r="D400" s="205" t="s">
        <v>268</v>
      </c>
      <c r="E400" s="156">
        <v>8</v>
      </c>
      <c r="F400" s="157">
        <v>1.2</v>
      </c>
      <c r="G400" s="157">
        <v>0</v>
      </c>
      <c r="H400" s="157">
        <v>1.2</v>
      </c>
      <c r="I400" s="207">
        <f t="shared" si="49"/>
        <v>-11.52</v>
      </c>
      <c r="J400" s="195" t="s">
        <v>102</v>
      </c>
      <c r="K400" s="147"/>
      <c r="L400" s="110"/>
      <c r="M400" s="147"/>
    </row>
    <row r="401" spans="1:13" s="148" customFormat="1" ht="16.5" hidden="1" customHeight="1">
      <c r="A401" s="110"/>
      <c r="B401" s="209" t="s">
        <v>569</v>
      </c>
      <c r="C401" s="183">
        <v>1</v>
      </c>
      <c r="D401" s="205" t="s">
        <v>268</v>
      </c>
      <c r="E401" s="156">
        <v>8</v>
      </c>
      <c r="F401" s="157">
        <v>0.6</v>
      </c>
      <c r="G401" s="157">
        <v>0</v>
      </c>
      <c r="H401" s="157">
        <v>0.3</v>
      </c>
      <c r="I401" s="207">
        <f t="shared" si="49"/>
        <v>-1.44</v>
      </c>
      <c r="J401" s="195" t="s">
        <v>102</v>
      </c>
      <c r="K401" s="147"/>
      <c r="L401" s="110"/>
      <c r="M401" s="147"/>
    </row>
    <row r="402" spans="1:13" s="148" customFormat="1" ht="16.5" hidden="1" customHeight="1">
      <c r="A402" s="110"/>
      <c r="B402" s="149"/>
      <c r="C402" s="150"/>
      <c r="D402" s="151"/>
      <c r="E402" s="194"/>
      <c r="F402" s="153"/>
      <c r="G402" s="153"/>
      <c r="H402" s="153"/>
      <c r="I402" s="185"/>
      <c r="J402" s="195"/>
      <c r="K402" s="147"/>
      <c r="L402" s="210"/>
      <c r="M402" s="147"/>
    </row>
    <row r="403" spans="1:13" hidden="1">
      <c r="A403" s="110"/>
      <c r="B403" s="147"/>
      <c r="C403" s="154"/>
      <c r="D403" s="155"/>
      <c r="E403" s="156"/>
      <c r="F403" s="157"/>
      <c r="G403" s="158"/>
      <c r="H403" s="110"/>
      <c r="I403" s="185"/>
      <c r="J403" s="195" t="s">
        <v>102</v>
      </c>
      <c r="K403" s="12">
        <f>'DATA 2025-26'!E838</f>
        <v>170.7</v>
      </c>
      <c r="L403" s="210" t="s">
        <v>270</v>
      </c>
      <c r="M403" s="11">
        <f>ROUND(I403*K403,0)</f>
        <v>0</v>
      </c>
    </row>
    <row r="404" spans="1:13" s="763" customFormat="1" ht="96" customHeight="1">
      <c r="A404" s="757">
        <v>23</v>
      </c>
      <c r="B404" s="965" t="s">
        <v>947</v>
      </c>
      <c r="C404" s="965"/>
      <c r="D404" s="965"/>
      <c r="E404" s="965"/>
      <c r="F404" s="965"/>
      <c r="G404" s="965"/>
      <c r="H404" s="965"/>
      <c r="I404" s="759"/>
      <c r="J404" s="760"/>
      <c r="K404" s="757"/>
      <c r="L404" s="761"/>
      <c r="M404" s="762"/>
    </row>
    <row r="405" spans="1:13" s="771" customFormat="1" ht="16.5" customHeight="1">
      <c r="A405" s="757"/>
      <c r="B405" s="764" t="s">
        <v>2290</v>
      </c>
      <c r="C405" s="765">
        <v>1</v>
      </c>
      <c r="D405" s="766" t="s">
        <v>268</v>
      </c>
      <c r="E405" s="767">
        <v>1</v>
      </c>
      <c r="F405" s="768">
        <v>5.49</v>
      </c>
      <c r="G405" s="768">
        <v>9.76</v>
      </c>
      <c r="H405" s="768">
        <v>0</v>
      </c>
      <c r="I405" s="769">
        <f>ROUND(IF(AND(F405:H405),C405*E405*F405*G405*H405,IF(AND(F405,G405),C405*E405*F405*G405,IF(AND(F405,H405),C405*E405*F405*H405,IF(AND(G405,H405),C405*E405*G405*H405,IF(F405,C405*E405*F405,IF(G405,C405*E405*G405,IF(H405,C405*E405*H405,C405*E405))))))),2)</f>
        <v>53.58</v>
      </c>
      <c r="J405" s="770" t="s">
        <v>102</v>
      </c>
      <c r="K405" s="764"/>
      <c r="L405" s="757"/>
      <c r="M405" s="764"/>
    </row>
    <row r="406" spans="1:13" s="771" customFormat="1" ht="16.5" customHeight="1">
      <c r="A406" s="757"/>
      <c r="B406" s="764" t="s">
        <v>2305</v>
      </c>
      <c r="C406" s="765">
        <v>1</v>
      </c>
      <c r="D406" s="766" t="s">
        <v>268</v>
      </c>
      <c r="E406" s="767">
        <v>1</v>
      </c>
      <c r="F406" s="768">
        <v>5.49</v>
      </c>
      <c r="G406" s="768">
        <v>0</v>
      </c>
      <c r="H406" s="768">
        <v>0.45</v>
      </c>
      <c r="I406" s="769">
        <f t="shared" ref="I406:I410" si="50">ROUND(IF(AND(F406:H406),C406*E406*F406*G406*H406,IF(AND(F406,G406),C406*E406*F406*G406,IF(AND(F406,H406),C406*E406*F406*H406,IF(AND(G406,H406),C406*E406*G406*H406,IF(F406,C406*E406*F406,IF(G406,C406*E406*G406,IF(H406,C406*E406*H406,C406*E406))))))),2)</f>
        <v>2.4700000000000002</v>
      </c>
      <c r="J406" s="770" t="s">
        <v>102</v>
      </c>
      <c r="K406" s="764"/>
      <c r="L406" s="757"/>
      <c r="M406" s="764"/>
    </row>
    <row r="407" spans="1:13" s="771" customFormat="1" ht="16.5" customHeight="1">
      <c r="A407" s="757"/>
      <c r="B407" s="764" t="s">
        <v>2306</v>
      </c>
      <c r="C407" s="765">
        <v>2</v>
      </c>
      <c r="D407" s="766" t="s">
        <v>268</v>
      </c>
      <c r="E407" s="767">
        <v>2</v>
      </c>
      <c r="F407" s="768">
        <v>5.49</v>
      </c>
      <c r="G407" s="768">
        <v>0</v>
      </c>
      <c r="H407" s="768">
        <v>0.45</v>
      </c>
      <c r="I407" s="769">
        <f t="shared" si="50"/>
        <v>9.8800000000000008</v>
      </c>
      <c r="J407" s="770" t="s">
        <v>102</v>
      </c>
      <c r="K407" s="764"/>
      <c r="L407" s="757"/>
      <c r="M407" s="764"/>
    </row>
    <row r="408" spans="1:13" s="771" customFormat="1" ht="16.5" customHeight="1">
      <c r="A408" s="757"/>
      <c r="B408" s="764" t="s">
        <v>2307</v>
      </c>
      <c r="C408" s="765">
        <v>1</v>
      </c>
      <c r="D408" s="766" t="s">
        <v>268</v>
      </c>
      <c r="E408" s="767">
        <v>1</v>
      </c>
      <c r="F408" s="768">
        <v>5.49</v>
      </c>
      <c r="G408" s="768">
        <v>0</v>
      </c>
      <c r="H408" s="768">
        <v>0.45</v>
      </c>
      <c r="I408" s="769">
        <f t="shared" si="50"/>
        <v>2.4700000000000002</v>
      </c>
      <c r="J408" s="770" t="s">
        <v>102</v>
      </c>
      <c r="K408" s="764"/>
      <c r="L408" s="757"/>
      <c r="M408" s="764"/>
    </row>
    <row r="409" spans="1:13" s="771" customFormat="1" ht="16.5" customHeight="1">
      <c r="A409" s="757"/>
      <c r="B409" s="764" t="s">
        <v>2308</v>
      </c>
      <c r="C409" s="765">
        <v>4</v>
      </c>
      <c r="D409" s="766" t="s">
        <v>268</v>
      </c>
      <c r="E409" s="767">
        <v>2</v>
      </c>
      <c r="F409" s="768">
        <v>1.8</v>
      </c>
      <c r="G409" s="768">
        <v>0</v>
      </c>
      <c r="H409" s="768">
        <v>0.6</v>
      </c>
      <c r="I409" s="769">
        <f t="shared" si="50"/>
        <v>8.64</v>
      </c>
      <c r="J409" s="770" t="s">
        <v>102</v>
      </c>
      <c r="K409" s="764"/>
      <c r="L409" s="757"/>
      <c r="M409" s="764"/>
    </row>
    <row r="410" spans="1:13" s="771" customFormat="1" ht="16.5" customHeight="1">
      <c r="A410" s="757"/>
      <c r="B410" s="764" t="s">
        <v>2308</v>
      </c>
      <c r="C410" s="765">
        <v>4</v>
      </c>
      <c r="D410" s="766" t="s">
        <v>268</v>
      </c>
      <c r="E410" s="767">
        <v>2</v>
      </c>
      <c r="F410" s="768">
        <v>1.2</v>
      </c>
      <c r="G410" s="768">
        <v>0</v>
      </c>
      <c r="H410" s="768">
        <v>0.6</v>
      </c>
      <c r="I410" s="769">
        <f t="shared" si="50"/>
        <v>5.76</v>
      </c>
      <c r="J410" s="770" t="s">
        <v>102</v>
      </c>
      <c r="K410" s="764"/>
      <c r="L410" s="757"/>
      <c r="M410" s="764"/>
    </row>
    <row r="411" spans="1:13" s="771" customFormat="1" ht="16.5" customHeight="1">
      <c r="A411" s="757"/>
      <c r="B411" s="764" t="s">
        <v>2324</v>
      </c>
      <c r="C411" s="765">
        <v>1</v>
      </c>
      <c r="D411" s="766" t="s">
        <v>268</v>
      </c>
      <c r="E411" s="767">
        <v>1</v>
      </c>
      <c r="F411" s="768">
        <v>13.41</v>
      </c>
      <c r="G411" s="768">
        <v>0</v>
      </c>
      <c r="H411" s="768">
        <v>2.9</v>
      </c>
      <c r="I411" s="769">
        <f>ROUND(IF(AND(F411:H411),C411*E411*F411*G411*H411,IF(AND(F411,G411),C411*E411*F411*G411,IF(AND(F411,H411),C411*E411*F411*H411,IF(AND(G411,H411),C411*E411*G411*H411,IF(F411,C411*E411*F411,IF(G411,C411*E411*G411,IF(H411,C411*E411*H411,C411*E411))))))),2)</f>
        <v>38.89</v>
      </c>
      <c r="J411" s="770" t="s">
        <v>102</v>
      </c>
      <c r="K411" s="764"/>
      <c r="L411" s="757"/>
      <c r="M411" s="764"/>
    </row>
    <row r="412" spans="1:13" s="771" customFormat="1" ht="16.5" customHeight="1">
      <c r="A412" s="757"/>
      <c r="B412" s="764" t="s">
        <v>2325</v>
      </c>
      <c r="C412" s="765">
        <v>1</v>
      </c>
      <c r="D412" s="766" t="s">
        <v>268</v>
      </c>
      <c r="E412" s="767">
        <v>1</v>
      </c>
      <c r="F412" s="768">
        <v>20.12</v>
      </c>
      <c r="G412" s="768">
        <v>0</v>
      </c>
      <c r="H412" s="768">
        <v>3.65</v>
      </c>
      <c r="I412" s="769">
        <f>ROUND(IF(AND(F412:H412),C412*E412*F412*G412*H412,IF(AND(F412,G412),C412*E412*F412*G412,IF(AND(F412,H412),C412*E412*F412*H412,IF(AND(G412,H412),C412*E412*G412*H412,IF(F412,C412*E412*F412,IF(G412,C412*E412*G412,IF(H412,C412*E412*H412,C412*E412))))))),2)</f>
        <v>73.44</v>
      </c>
      <c r="J412" s="770" t="s">
        <v>102</v>
      </c>
      <c r="K412" s="764"/>
      <c r="L412" s="757"/>
      <c r="M412" s="764"/>
    </row>
    <row r="413" spans="1:13" s="771" customFormat="1" ht="16.5" customHeight="1">
      <c r="A413" s="757"/>
      <c r="B413" s="764" t="s">
        <v>578</v>
      </c>
      <c r="C413" s="765">
        <v>1</v>
      </c>
      <c r="D413" s="766" t="s">
        <v>268</v>
      </c>
      <c r="E413" s="767">
        <v>1</v>
      </c>
      <c r="F413" s="768">
        <v>1.2</v>
      </c>
      <c r="G413" s="768">
        <v>0</v>
      </c>
      <c r="H413" s="768">
        <v>2.1</v>
      </c>
      <c r="I413" s="769">
        <f>-ROUND(IF(AND(F413:H413),C413*E413*F413*G413*H413,IF(AND(F413,G413),C413*E413*F413*G413,IF(AND(F413,H413),C413*E413*F413*H413,IF(AND(G413,H413),C413*E413*G413*H413,IF(F413,C413*E413*F413,IF(G413,C413*E413*G413,IF(H413,C413*E413*H413,C413*E413))))))),2)</f>
        <v>-2.52</v>
      </c>
      <c r="J413" s="770" t="s">
        <v>102</v>
      </c>
      <c r="K413" s="764"/>
      <c r="L413" s="757"/>
      <c r="M413" s="764"/>
    </row>
    <row r="414" spans="1:13" s="771" customFormat="1" ht="16.5" customHeight="1">
      <c r="A414" s="757"/>
      <c r="B414" s="764" t="s">
        <v>578</v>
      </c>
      <c r="C414" s="765">
        <v>1</v>
      </c>
      <c r="D414" s="766" t="s">
        <v>268</v>
      </c>
      <c r="E414" s="767">
        <v>1</v>
      </c>
      <c r="F414" s="768">
        <v>0.9</v>
      </c>
      <c r="G414" s="768">
        <v>0</v>
      </c>
      <c r="H414" s="768">
        <v>2.1</v>
      </c>
      <c r="I414" s="769">
        <f>-ROUND(IF(AND(F414:H414),C414*E414*F414*G414*H414,IF(AND(F414,G414),C414*E414*F414*G414,IF(AND(F414,H414),C414*E414*F414*H414,IF(AND(G414,H414),C414*E414*G414*H414,IF(F414,C414*E414*F414,IF(G414,C414*E414*G414,IF(H414,C414*E414*H414,C414*E414))))))),2)</f>
        <v>-1.89</v>
      </c>
      <c r="J414" s="770" t="s">
        <v>102</v>
      </c>
      <c r="K414" s="764"/>
      <c r="L414" s="757"/>
      <c r="M414" s="764"/>
    </row>
    <row r="415" spans="1:13" s="771" customFormat="1" ht="16.5" customHeight="1">
      <c r="A415" s="757"/>
      <c r="B415" s="764" t="s">
        <v>748</v>
      </c>
      <c r="C415" s="765">
        <v>1</v>
      </c>
      <c r="D415" s="766" t="s">
        <v>268</v>
      </c>
      <c r="E415" s="767">
        <v>4</v>
      </c>
      <c r="F415" s="768">
        <v>1.5</v>
      </c>
      <c r="G415" s="768">
        <v>0</v>
      </c>
      <c r="H415" s="768">
        <v>1.35</v>
      </c>
      <c r="I415" s="769">
        <f>-ROUND(IF(AND(F415:H415),C415*E415*F415*G415*H415,IF(AND(F415,G415),C415*E415*F415*G415,IF(AND(F415,H415),C415*E415*F415*H415,IF(AND(G415,H415),C415*E415*G415*H415,IF(F415,C415*E415*F415,IF(G415,C415*E415*G415,IF(H415,C415*E415*H415,C415*E415))))))),2)</f>
        <v>-8.1</v>
      </c>
      <c r="J415" s="770" t="s">
        <v>102</v>
      </c>
      <c r="K415" s="764"/>
      <c r="L415" s="757"/>
      <c r="M415" s="764"/>
    </row>
    <row r="416" spans="1:13" s="771" customFormat="1" ht="16.5" customHeight="1">
      <c r="A416" s="757"/>
      <c r="B416" s="764" t="s">
        <v>748</v>
      </c>
      <c r="C416" s="765">
        <v>1</v>
      </c>
      <c r="D416" s="766" t="s">
        <v>268</v>
      </c>
      <c r="E416" s="767">
        <v>4</v>
      </c>
      <c r="F416" s="768">
        <v>0.9</v>
      </c>
      <c r="G416" s="768">
        <v>0</v>
      </c>
      <c r="H416" s="768">
        <v>1.35</v>
      </c>
      <c r="I416" s="769">
        <f>-ROUND(IF(AND(F416:H416),C416*E416*F416*G416*H416,IF(AND(F416,G416),C416*E416*F416*G416,IF(AND(F416,H416),C416*E416*F416*H416,IF(AND(G416,H416),C416*E416*G416*H416,IF(F416,C416*E416*F416,IF(G416,C416*E416*G416,IF(H416,C416*E416*H416,C416*E416))))))),2)</f>
        <v>-4.8600000000000003</v>
      </c>
      <c r="J416" s="770" t="s">
        <v>102</v>
      </c>
      <c r="K416" s="764"/>
      <c r="L416" s="757"/>
      <c r="M416" s="764"/>
    </row>
    <row r="417" spans="1:13" s="771" customFormat="1" ht="16.5" customHeight="1">
      <c r="A417" s="757"/>
      <c r="B417" s="773"/>
      <c r="C417" s="774"/>
      <c r="D417" s="775"/>
      <c r="E417" s="776"/>
      <c r="F417" s="777"/>
      <c r="G417" s="777"/>
      <c r="H417" s="777"/>
      <c r="I417" s="769"/>
      <c r="J417" s="783"/>
      <c r="K417" s="764"/>
      <c r="L417" s="761"/>
      <c r="M417" s="764"/>
    </row>
    <row r="418" spans="1:13" s="763" customFormat="1">
      <c r="A418" s="757"/>
      <c r="B418" s="764"/>
      <c r="C418" s="779"/>
      <c r="D418" s="780"/>
      <c r="E418" s="767"/>
      <c r="F418" s="781"/>
      <c r="G418" s="782"/>
      <c r="H418" s="757"/>
      <c r="I418" s="769">
        <f>SUM(I405:I417)</f>
        <v>177.76</v>
      </c>
      <c r="J418" s="783" t="s">
        <v>102</v>
      </c>
      <c r="K418" s="768">
        <f>'DATA 2025-26'!E874</f>
        <v>178.97</v>
      </c>
      <c r="L418" s="761" t="s">
        <v>270</v>
      </c>
      <c r="M418" s="784">
        <f>ROUND(I418*K418,0)</f>
        <v>31814</v>
      </c>
    </row>
    <row r="419" spans="1:13" s="763" customFormat="1" ht="82.5" customHeight="1">
      <c r="A419" s="757">
        <v>24</v>
      </c>
      <c r="B419" s="973" t="s">
        <v>948</v>
      </c>
      <c r="C419" s="974"/>
      <c r="D419" s="974"/>
      <c r="E419" s="974"/>
      <c r="F419" s="974"/>
      <c r="G419" s="974"/>
      <c r="H419" s="975"/>
      <c r="I419" s="759"/>
      <c r="J419" s="760"/>
      <c r="K419" s="757"/>
      <c r="L419" s="761"/>
      <c r="M419" s="762"/>
    </row>
    <row r="420" spans="1:13" s="771" customFormat="1" ht="16.5" customHeight="1">
      <c r="A420" s="757"/>
      <c r="B420" s="764" t="s">
        <v>2293</v>
      </c>
      <c r="C420" s="765">
        <v>1</v>
      </c>
      <c r="D420" s="766" t="s">
        <v>268</v>
      </c>
      <c r="E420" s="767">
        <v>1</v>
      </c>
      <c r="F420" s="768">
        <v>32.76</v>
      </c>
      <c r="G420" s="768">
        <v>0</v>
      </c>
      <c r="H420" s="768">
        <v>4.8499999999999996</v>
      </c>
      <c r="I420" s="769">
        <f>ROUND(IF(AND(F420:H420),C420*E420*F420*G420*H420,IF(AND(F420,G420),C420*E420*F420*G420,IF(AND(F420,H420),C420*E420*F420*H420,IF(AND(G420,H420),C420*E420*G420*H420,IF(F420,C420*E420*F420,IF(G420,C420*E420*G420,IF(H420,C420*E420*H420,C420*E420))))))),2)</f>
        <v>158.88999999999999</v>
      </c>
      <c r="J420" s="770" t="s">
        <v>102</v>
      </c>
      <c r="K420" s="764"/>
      <c r="L420" s="757"/>
      <c r="M420" s="764"/>
    </row>
    <row r="421" spans="1:13" s="771" customFormat="1" ht="16.5" customHeight="1">
      <c r="A421" s="757"/>
      <c r="B421" s="764" t="s">
        <v>1260</v>
      </c>
      <c r="C421" s="765">
        <v>1</v>
      </c>
      <c r="D421" s="766" t="s">
        <v>268</v>
      </c>
      <c r="E421" s="767">
        <v>2</v>
      </c>
      <c r="F421" s="768">
        <v>7.74</v>
      </c>
      <c r="G421" s="768">
        <v>0</v>
      </c>
      <c r="H421" s="768">
        <v>0.75</v>
      </c>
      <c r="I421" s="769">
        <f>ROUND(IF(AND(F421:H421),C421*E421*F421*G421*H421,IF(AND(F421,G421),C421*E421*F421*G421,IF(AND(F421,H421),C421*E421*F421*H421,IF(AND(G421,H421),C421*E421*G421*H421,IF(F421,C421*E421*F421,IF(G421,C421*E421*G421,IF(H421,C421*E421*H421,C421*E421))))))),2)</f>
        <v>11.61</v>
      </c>
      <c r="J421" s="770" t="s">
        <v>102</v>
      </c>
      <c r="K421" s="764"/>
      <c r="L421" s="757"/>
      <c r="M421" s="764"/>
    </row>
    <row r="422" spans="1:13" s="771" customFormat="1" ht="16.5" customHeight="1">
      <c r="A422" s="757"/>
      <c r="B422" s="764"/>
      <c r="C422" s="765">
        <v>1</v>
      </c>
      <c r="D422" s="766" t="s">
        <v>268</v>
      </c>
      <c r="E422" s="767">
        <v>1</v>
      </c>
      <c r="F422" s="768">
        <v>7.74</v>
      </c>
      <c r="G422" s="781">
        <v>0.115</v>
      </c>
      <c r="H422" s="768">
        <v>0</v>
      </c>
      <c r="I422" s="769">
        <f>ROUND(IF(AND(F422:H422),C422*E422*F422*G422*H422,IF(AND(F422,G422),C422*E422*F422*G422,IF(AND(F422,H422),C422*E422*F422*H422,IF(AND(G422,H422),C422*E422*G422*H422,IF(F422,C422*E422*F422,IF(G422,C422*E422*G422,IF(H422,C422*E422*H422,C422*E422))))))),2)</f>
        <v>0.89</v>
      </c>
      <c r="J422" s="770" t="s">
        <v>102</v>
      </c>
      <c r="K422" s="764"/>
      <c r="L422" s="757"/>
      <c r="M422" s="764"/>
    </row>
    <row r="423" spans="1:13" s="771" customFormat="1" ht="16.5" customHeight="1">
      <c r="A423" s="757"/>
      <c r="B423" s="764" t="s">
        <v>578</v>
      </c>
      <c r="C423" s="765">
        <v>1</v>
      </c>
      <c r="D423" s="766" t="s">
        <v>268</v>
      </c>
      <c r="E423" s="767">
        <v>1</v>
      </c>
      <c r="F423" s="768">
        <v>1.2</v>
      </c>
      <c r="G423" s="768">
        <v>0</v>
      </c>
      <c r="H423" s="768">
        <v>2.1</v>
      </c>
      <c r="I423" s="769">
        <f>-ROUND(IF(AND(F423:H423),C423*E423*F423*G423*H423,IF(AND(F423,G423),C423*E423*F423*G423,IF(AND(F423,H423),C423*E423*F423*H423,IF(AND(G423,H423),C423*E423*G423*H423,IF(F423,C423*E423*F423,IF(G423,C423*E423*G423,IF(H423,C423*E423*H423,C423*E423))))))),2)</f>
        <v>-2.52</v>
      </c>
      <c r="J423" s="770" t="s">
        <v>102</v>
      </c>
      <c r="K423" s="764"/>
      <c r="L423" s="757"/>
      <c r="M423" s="764"/>
    </row>
    <row r="424" spans="1:13" s="771" customFormat="1" ht="16.5" customHeight="1">
      <c r="A424" s="757"/>
      <c r="B424" s="764" t="s">
        <v>578</v>
      </c>
      <c r="C424" s="765">
        <v>1</v>
      </c>
      <c r="D424" s="766" t="s">
        <v>268</v>
      </c>
      <c r="E424" s="767">
        <v>2</v>
      </c>
      <c r="F424" s="768">
        <v>0.9</v>
      </c>
      <c r="G424" s="768">
        <v>0</v>
      </c>
      <c r="H424" s="768">
        <v>2.1</v>
      </c>
      <c r="I424" s="769">
        <f>-ROUND(IF(AND(F424:H424),C424*E424*F424*G424*H424,IF(AND(F424,G424),C424*E424*F424*G424,IF(AND(F424,H424),C424*E424*F424*H424,IF(AND(G424,H424),C424*E424*G424*H424,IF(F424,C424*E424*F424,IF(G424,C424*E424*G424,IF(H424,C424*E424*H424,C424*E424))))))),2)</f>
        <v>-3.78</v>
      </c>
      <c r="J424" s="770" t="s">
        <v>102</v>
      </c>
      <c r="K424" s="764"/>
      <c r="L424" s="757"/>
      <c r="M424" s="764"/>
    </row>
    <row r="425" spans="1:13" s="771" customFormat="1" ht="16.5" customHeight="1">
      <c r="A425" s="757"/>
      <c r="B425" s="764" t="s">
        <v>748</v>
      </c>
      <c r="C425" s="765">
        <v>1</v>
      </c>
      <c r="D425" s="766" t="s">
        <v>268</v>
      </c>
      <c r="E425" s="767">
        <v>4</v>
      </c>
      <c r="F425" s="768">
        <v>1.5</v>
      </c>
      <c r="G425" s="768">
        <v>0</v>
      </c>
      <c r="H425" s="768">
        <v>1.35</v>
      </c>
      <c r="I425" s="769">
        <f>-ROUND(IF(AND(F425:H425),C425*E425*F425*G425*H425,IF(AND(F425,G425),C425*E425*F425*G425,IF(AND(F425,H425),C425*E425*F425*H425,IF(AND(G425,H425),C425*E425*G425*H425,IF(F425,C425*E425*F425,IF(G425,C425*E425*G425,IF(H425,C425*E425*H425,C425*E425))))))),2)</f>
        <v>-8.1</v>
      </c>
      <c r="J425" s="770" t="s">
        <v>102</v>
      </c>
      <c r="K425" s="764"/>
      <c r="L425" s="757"/>
      <c r="M425" s="764"/>
    </row>
    <row r="426" spans="1:13" s="771" customFormat="1" ht="16.5" customHeight="1">
      <c r="A426" s="757"/>
      <c r="B426" s="764" t="s">
        <v>748</v>
      </c>
      <c r="C426" s="765">
        <v>1</v>
      </c>
      <c r="D426" s="766" t="s">
        <v>268</v>
      </c>
      <c r="E426" s="767">
        <v>4</v>
      </c>
      <c r="F426" s="768">
        <v>0.9</v>
      </c>
      <c r="G426" s="768">
        <v>0</v>
      </c>
      <c r="H426" s="768">
        <v>1.35</v>
      </c>
      <c r="I426" s="769">
        <f>-ROUND(IF(AND(F426:H426),C426*E426*F426*G426*H426,IF(AND(F426,G426),C426*E426*F426*G426,IF(AND(F426,H426),C426*E426*F426*H426,IF(AND(G426,H426),C426*E426*G426*H426,IF(F426,C426*E426*F426,IF(G426,C426*E426*G426,IF(H426,C426*E426*H426,C426*E426))))))),2)</f>
        <v>-4.8600000000000003</v>
      </c>
      <c r="J426" s="770" t="s">
        <v>102</v>
      </c>
      <c r="K426" s="764"/>
      <c r="L426" s="757"/>
      <c r="M426" s="764"/>
    </row>
    <row r="427" spans="1:13" s="771" customFormat="1" ht="16.5" customHeight="1">
      <c r="A427" s="757"/>
      <c r="B427" s="773"/>
      <c r="C427" s="774"/>
      <c r="D427" s="775"/>
      <c r="E427" s="776"/>
      <c r="F427" s="777"/>
      <c r="G427" s="777"/>
      <c r="H427" s="777"/>
      <c r="I427" s="769"/>
      <c r="J427" s="783"/>
      <c r="K427" s="764"/>
      <c r="L427" s="761"/>
      <c r="M427" s="764"/>
    </row>
    <row r="428" spans="1:13" s="763" customFormat="1">
      <c r="A428" s="757"/>
      <c r="B428" s="764"/>
      <c r="C428" s="779"/>
      <c r="D428" s="780"/>
      <c r="E428" s="767"/>
      <c r="F428" s="781"/>
      <c r="G428" s="782"/>
      <c r="H428" s="757"/>
      <c r="I428" s="769">
        <f>SUM(I420:I427)</f>
        <v>152.12999999999997</v>
      </c>
      <c r="J428" s="783" t="s">
        <v>102</v>
      </c>
      <c r="K428" s="768">
        <f>'DATA 2025-26'!E889</f>
        <v>245.55</v>
      </c>
      <c r="L428" s="761" t="s">
        <v>270</v>
      </c>
      <c r="M428" s="784">
        <f>ROUND(I428*K428,0)</f>
        <v>37356</v>
      </c>
    </row>
    <row r="429" spans="1:13" s="763" customFormat="1" ht="66" customHeight="1">
      <c r="A429" s="757">
        <v>25</v>
      </c>
      <c r="B429" s="973" t="s">
        <v>595</v>
      </c>
      <c r="C429" s="974"/>
      <c r="D429" s="974"/>
      <c r="E429" s="974"/>
      <c r="F429" s="974"/>
      <c r="G429" s="974"/>
      <c r="H429" s="975"/>
      <c r="I429" s="759"/>
      <c r="J429" s="760"/>
      <c r="K429" s="757"/>
      <c r="L429" s="761"/>
      <c r="M429" s="762"/>
    </row>
    <row r="430" spans="1:13" s="771" customFormat="1" ht="16.5" customHeight="1">
      <c r="A430" s="757"/>
      <c r="B430" s="795" t="s">
        <v>2309</v>
      </c>
      <c r="C430" s="796">
        <v>4</v>
      </c>
      <c r="D430" s="797" t="s">
        <v>268</v>
      </c>
      <c r="E430" s="798">
        <v>0.5</v>
      </c>
      <c r="F430" s="799">
        <v>1.5</v>
      </c>
      <c r="G430" s="799">
        <v>0</v>
      </c>
      <c r="H430" s="799">
        <v>1.35</v>
      </c>
      <c r="I430" s="800">
        <f t="shared" ref="I430" si="51">ROUND(IF(AND(F430:H430),C430*E430*F430*G430*H430,IF(AND(F430,G430),C430*E430*F430*G430,IF(AND(F430,H430),C430*E430*F430*H430,IF(AND(G430,H430),C430*E430*G430*H430,IF(F430,C430*E430*F430,IF(G430,C430*E430*G430,IF(H430,C430*E430*H430,C430*E430))))))),2)</f>
        <v>4.05</v>
      </c>
      <c r="J430" s="801" t="s">
        <v>102</v>
      </c>
      <c r="K430" s="764"/>
      <c r="L430" s="757"/>
      <c r="M430" s="764"/>
    </row>
    <row r="431" spans="1:13" s="771" customFormat="1" ht="16.5" customHeight="1">
      <c r="A431" s="757"/>
      <c r="B431" s="795" t="s">
        <v>2309</v>
      </c>
      <c r="C431" s="796">
        <v>4</v>
      </c>
      <c r="D431" s="797" t="s">
        <v>268</v>
      </c>
      <c r="E431" s="798">
        <v>0.5</v>
      </c>
      <c r="F431" s="799">
        <v>0.9</v>
      </c>
      <c r="G431" s="799">
        <v>0</v>
      </c>
      <c r="H431" s="799">
        <v>1.35</v>
      </c>
      <c r="I431" s="800">
        <f t="shared" ref="I431" si="52">ROUND(IF(AND(F431:H431),C431*E431*F431*G431*H431,IF(AND(F431,G431),C431*E431*F431*G431,IF(AND(F431,H431),C431*E431*F431*H431,IF(AND(G431,H431),C431*E431*G431*H431,IF(F431,C431*E431*F431,IF(G431,C431*E431*G431,IF(H431,C431*E431*H431,C431*E431))))))),2)</f>
        <v>2.4300000000000002</v>
      </c>
      <c r="J431" s="801" t="s">
        <v>102</v>
      </c>
      <c r="K431" s="764"/>
      <c r="L431" s="757"/>
      <c r="M431" s="764"/>
    </row>
    <row r="432" spans="1:13" s="771" customFormat="1" ht="16.5" customHeight="1">
      <c r="A432" s="757"/>
      <c r="B432" s="773"/>
      <c r="C432" s="774"/>
      <c r="D432" s="775"/>
      <c r="E432" s="802"/>
      <c r="F432" s="777"/>
      <c r="G432" s="777"/>
      <c r="H432" s="777"/>
      <c r="I432" s="769"/>
      <c r="J432" s="783"/>
      <c r="K432" s="764"/>
      <c r="L432" s="761"/>
      <c r="M432" s="764"/>
    </row>
    <row r="433" spans="1:13" s="763" customFormat="1">
      <c r="A433" s="757"/>
      <c r="B433" s="764"/>
      <c r="C433" s="779"/>
      <c r="D433" s="780"/>
      <c r="E433" s="767"/>
      <c r="F433" s="781"/>
      <c r="G433" s="782"/>
      <c r="H433" s="757"/>
      <c r="I433" s="769">
        <f>SUM(I430:I432)</f>
        <v>6.48</v>
      </c>
      <c r="J433" s="783" t="s">
        <v>102</v>
      </c>
      <c r="K433" s="768">
        <f>'DATA 2025-26'!G908</f>
        <v>224.57</v>
      </c>
      <c r="L433" s="761" t="s">
        <v>270</v>
      </c>
      <c r="M433" s="784">
        <f>ROUND(I433*K433,0)</f>
        <v>1455</v>
      </c>
    </row>
    <row r="434" spans="1:13" s="763" customFormat="1" ht="181.5" customHeight="1">
      <c r="A434" s="757">
        <v>26</v>
      </c>
      <c r="B434" s="965" t="s">
        <v>960</v>
      </c>
      <c r="C434" s="965"/>
      <c r="D434" s="965"/>
      <c r="E434" s="965"/>
      <c r="F434" s="965"/>
      <c r="G434" s="965"/>
      <c r="H434" s="965"/>
      <c r="I434" s="759"/>
      <c r="J434" s="760"/>
      <c r="K434" s="757"/>
      <c r="L434" s="761"/>
      <c r="M434" s="762"/>
    </row>
    <row r="435" spans="1:13" s="771" customFormat="1" ht="16.5" customHeight="1">
      <c r="A435" s="757"/>
      <c r="B435" s="773" t="s">
        <v>2148</v>
      </c>
      <c r="C435" s="774">
        <v>1</v>
      </c>
      <c r="D435" s="775" t="s">
        <v>268</v>
      </c>
      <c r="E435" s="802">
        <v>2.25</v>
      </c>
      <c r="F435" s="777">
        <v>1.2</v>
      </c>
      <c r="G435" s="777">
        <v>0</v>
      </c>
      <c r="H435" s="777">
        <v>2.1</v>
      </c>
      <c r="I435" s="769">
        <f t="shared" ref="I435" si="53">ROUND(IF(AND(F435:H435),C435*E435*F435*G435*H435,IF(AND(F435,G435),C435*E435*F435*G435,IF(AND(F435,H435),C435*E435*F435*H435,IF(AND(G435,H435),C435*E435*G435*H435,IF(F435,C435*E435*F435,IF(G435,C435*E435*G435,IF(H435,C435*E435*H435,C435*E435))))))),2)</f>
        <v>5.67</v>
      </c>
      <c r="J435" s="803" t="s">
        <v>102</v>
      </c>
      <c r="K435" s="764"/>
      <c r="L435" s="761"/>
      <c r="M435" s="764"/>
    </row>
    <row r="436" spans="1:13" s="771" customFormat="1" ht="16.5" customHeight="1">
      <c r="A436" s="757"/>
      <c r="B436" s="773" t="s">
        <v>2148</v>
      </c>
      <c r="C436" s="774">
        <v>2</v>
      </c>
      <c r="D436" s="775" t="s">
        <v>268</v>
      </c>
      <c r="E436" s="802">
        <v>2.25</v>
      </c>
      <c r="F436" s="777">
        <v>0.9</v>
      </c>
      <c r="G436" s="777">
        <v>0</v>
      </c>
      <c r="H436" s="777">
        <v>2.1</v>
      </c>
      <c r="I436" s="769">
        <f t="shared" ref="I436" si="54">ROUND(IF(AND(F436:H436),C436*E436*F436*G436*H436,IF(AND(F436,G436),C436*E436*F436*G436,IF(AND(F436,H436),C436*E436*F436*H436,IF(AND(G436,H436),C436*E436*G436*H436,IF(F436,C436*E436*F436,IF(G436,C436*E436*G436,IF(H436,C436*E436*H436,C436*E436))))))),2)</f>
        <v>8.51</v>
      </c>
      <c r="J436" s="803" t="s">
        <v>102</v>
      </c>
      <c r="K436" s="764"/>
      <c r="L436" s="761"/>
      <c r="M436" s="764"/>
    </row>
    <row r="437" spans="1:13" s="771" customFormat="1" ht="16.5" customHeight="1">
      <c r="A437" s="757"/>
      <c r="B437" s="773"/>
      <c r="C437" s="774"/>
      <c r="D437" s="775"/>
      <c r="E437" s="802"/>
      <c r="F437" s="777"/>
      <c r="G437" s="777"/>
      <c r="H437" s="777"/>
      <c r="I437" s="769"/>
      <c r="J437" s="783"/>
      <c r="K437" s="764"/>
      <c r="L437" s="761"/>
      <c r="M437" s="764"/>
    </row>
    <row r="438" spans="1:13" s="763" customFormat="1">
      <c r="A438" s="757"/>
      <c r="B438" s="764"/>
      <c r="C438" s="779"/>
      <c r="D438" s="780"/>
      <c r="E438" s="767"/>
      <c r="F438" s="781"/>
      <c r="G438" s="782"/>
      <c r="H438" s="757"/>
      <c r="I438" s="769">
        <f>SUM(I435:I437)</f>
        <v>14.18</v>
      </c>
      <c r="J438" s="783" t="s">
        <v>102</v>
      </c>
      <c r="K438" s="768">
        <f>'DATA 2025-26'!G921</f>
        <v>1280.9000000000001</v>
      </c>
      <c r="L438" s="761" t="s">
        <v>270</v>
      </c>
      <c r="M438" s="784">
        <f>ROUND(I438*K438,0)</f>
        <v>18163</v>
      </c>
    </row>
    <row r="439" spans="1:13" ht="111.75" hidden="1" customHeight="1">
      <c r="A439" s="110">
        <v>30</v>
      </c>
      <c r="B439" s="964" t="s">
        <v>669</v>
      </c>
      <c r="C439" s="964"/>
      <c r="D439" s="964"/>
      <c r="E439" s="964"/>
      <c r="F439" s="964"/>
      <c r="G439" s="964"/>
      <c r="H439" s="964"/>
      <c r="I439" s="183"/>
      <c r="J439" s="186"/>
      <c r="K439" s="110"/>
      <c r="L439" s="210"/>
      <c r="M439" s="139"/>
    </row>
    <row r="440" spans="1:13" s="148" customFormat="1" ht="16.5" hidden="1" customHeight="1">
      <c r="A440" s="110"/>
      <c r="B440" s="147" t="s">
        <v>1405</v>
      </c>
      <c r="C440" s="141"/>
      <c r="D440" s="142"/>
      <c r="E440" s="143"/>
      <c r="F440" s="144"/>
      <c r="G440" s="144"/>
      <c r="H440" s="145"/>
      <c r="I440" s="184"/>
      <c r="J440" s="195"/>
      <c r="K440" s="147"/>
      <c r="L440" s="110"/>
      <c r="M440" s="147"/>
    </row>
    <row r="441" spans="1:13" s="148" customFormat="1" ht="16.5" hidden="1" customHeight="1">
      <c r="A441" s="110"/>
      <c r="B441" s="149"/>
      <c r="C441" s="150">
        <v>1</v>
      </c>
      <c r="D441" s="151" t="s">
        <v>268</v>
      </c>
      <c r="E441" s="152">
        <v>1</v>
      </c>
      <c r="F441" s="161">
        <v>2.8</v>
      </c>
      <c r="G441" s="153">
        <v>2</v>
      </c>
      <c r="H441" s="153">
        <v>0</v>
      </c>
      <c r="I441" s="185">
        <f>ROUND(IF(AND(F441:H441),C441*E441*F441*G441*H441,IF(AND(F441,G441),C441*E441*F441*G441,IF(AND(F441,H441),C441*E441*F441*H441,IF(AND(G441,H441),C441*E441*G441*H441,IF(F441,C441*E441*F441,IF(G441,C441*E441*G441,IF(H441,C441*E441*H441,C441*E441))))))),2)</f>
        <v>5.6</v>
      </c>
      <c r="J441" s="195" t="s">
        <v>102</v>
      </c>
      <c r="K441" s="147"/>
      <c r="L441" s="110"/>
      <c r="M441" s="147"/>
    </row>
    <row r="442" spans="1:13" s="148" customFormat="1" ht="16.5" hidden="1" customHeight="1">
      <c r="A442" s="110"/>
      <c r="B442" s="149"/>
      <c r="C442" s="150"/>
      <c r="D442" s="151"/>
      <c r="E442" s="152"/>
      <c r="F442" s="161"/>
      <c r="G442" s="153"/>
      <c r="H442" s="153"/>
      <c r="I442" s="185"/>
      <c r="J442" s="195"/>
      <c r="K442" s="147"/>
      <c r="L442" s="210"/>
      <c r="M442" s="147"/>
    </row>
    <row r="443" spans="1:13" hidden="1">
      <c r="A443" s="110"/>
      <c r="B443" s="147"/>
      <c r="C443" s="154"/>
      <c r="D443" s="155"/>
      <c r="E443" s="156"/>
      <c r="F443" s="157"/>
      <c r="G443" s="158"/>
      <c r="H443" s="110"/>
      <c r="I443" s="185"/>
      <c r="J443" s="195" t="s">
        <v>102</v>
      </c>
      <c r="K443" s="12">
        <f>'DATA 2025-26'!G928</f>
        <v>4517</v>
      </c>
      <c r="L443" s="210" t="s">
        <v>270</v>
      </c>
      <c r="M443" s="11">
        <f>ROUND(I443*K443,0)</f>
        <v>0</v>
      </c>
    </row>
    <row r="444" spans="1:13" ht="66" hidden="1" customHeight="1">
      <c r="A444" s="110">
        <v>12</v>
      </c>
      <c r="B444" s="976" t="s">
        <v>961</v>
      </c>
      <c r="C444" s="977"/>
      <c r="D444" s="977"/>
      <c r="E444" s="977"/>
      <c r="F444" s="977"/>
      <c r="G444" s="977"/>
      <c r="H444" s="978"/>
      <c r="I444" s="183"/>
      <c r="J444" s="186"/>
      <c r="K444" s="110"/>
      <c r="L444" s="210"/>
      <c r="M444" s="139"/>
    </row>
    <row r="445" spans="1:13" s="148" customFormat="1" ht="16.5" hidden="1" customHeight="1">
      <c r="A445" s="110"/>
      <c r="B445" s="149"/>
      <c r="C445" s="150"/>
      <c r="D445" s="151"/>
      <c r="E445" s="152"/>
      <c r="F445" s="153"/>
      <c r="G445" s="153"/>
      <c r="H445" s="153"/>
      <c r="I445" s="185">
        <v>40</v>
      </c>
      <c r="J445" s="195" t="s">
        <v>102</v>
      </c>
      <c r="K445" s="147"/>
      <c r="L445" s="110"/>
      <c r="M445" s="147"/>
    </row>
    <row r="446" spans="1:13" s="148" customFormat="1" ht="16.5" hidden="1" customHeight="1">
      <c r="A446" s="110"/>
      <c r="B446" s="149"/>
      <c r="C446" s="150"/>
      <c r="D446" s="151"/>
      <c r="E446" s="194"/>
      <c r="F446" s="153"/>
      <c r="G446" s="153"/>
      <c r="H446" s="153"/>
      <c r="I446" s="185"/>
      <c r="J446" s="195"/>
      <c r="K446" s="147"/>
      <c r="L446" s="210"/>
      <c r="M446" s="147"/>
    </row>
    <row r="447" spans="1:13" hidden="1">
      <c r="A447" s="110"/>
      <c r="B447" s="147"/>
      <c r="C447" s="154"/>
      <c r="D447" s="155"/>
      <c r="E447" s="156"/>
      <c r="F447" s="157"/>
      <c r="G447" s="158"/>
      <c r="H447" s="110"/>
      <c r="I447" s="185"/>
      <c r="J447" s="195" t="s">
        <v>102</v>
      </c>
      <c r="K447" s="12">
        <f>'DATA 2025-26'!G925</f>
        <v>0</v>
      </c>
      <c r="L447" s="210" t="s">
        <v>270</v>
      </c>
      <c r="M447" s="11">
        <f>ROUND(I447*K447,0)</f>
        <v>0</v>
      </c>
    </row>
    <row r="448" spans="1:13" ht="36.75" hidden="1" customHeight="1">
      <c r="A448" s="110">
        <v>26</v>
      </c>
      <c r="B448" s="964" t="s">
        <v>906</v>
      </c>
      <c r="C448" s="964"/>
      <c r="D448" s="964"/>
      <c r="E448" s="964"/>
      <c r="F448" s="964"/>
      <c r="G448" s="964"/>
      <c r="H448" s="964"/>
      <c r="I448" s="183"/>
      <c r="J448" s="186"/>
      <c r="K448" s="110"/>
      <c r="L448" s="210"/>
      <c r="M448" s="139"/>
    </row>
    <row r="449" spans="1:13" s="148" customFormat="1" ht="16.5" hidden="1" customHeight="1">
      <c r="A449" s="110"/>
      <c r="B449" s="149"/>
      <c r="C449" s="150">
        <v>2</v>
      </c>
      <c r="D449" s="151" t="s">
        <v>268</v>
      </c>
      <c r="E449" s="152">
        <v>11</v>
      </c>
      <c r="F449" s="153">
        <v>0</v>
      </c>
      <c r="G449" s="153">
        <v>0</v>
      </c>
      <c r="H449" s="153">
        <v>0</v>
      </c>
      <c r="I449" s="327">
        <f t="shared" ref="I449" si="55">ROUND(IF(AND(F449:H449),C449*E449*F449*G449*H449,IF(AND(F449,G449),C449*E449*F449*G449,IF(AND(F449,H449),C449*E449*F449*H449,IF(AND(G449,H449),C449*E449*G449*H449,IF(F449,C449*E449*F449,IF(G449,C449*E449*G449,IF(H449,C449*E449*H449,C449*E449))))))),2)</f>
        <v>22</v>
      </c>
      <c r="J449" s="195" t="s">
        <v>114</v>
      </c>
      <c r="K449" s="147"/>
      <c r="L449" s="110"/>
      <c r="M449" s="147"/>
    </row>
    <row r="450" spans="1:13" hidden="1">
      <c r="A450" s="110"/>
      <c r="B450" s="147"/>
      <c r="C450" s="154"/>
      <c r="D450" s="155"/>
      <c r="E450" s="156"/>
      <c r="F450" s="157"/>
      <c r="G450" s="158"/>
      <c r="H450" s="110"/>
      <c r="I450" s="327"/>
      <c r="J450" s="195" t="s">
        <v>114</v>
      </c>
      <c r="K450" s="12">
        <f>'DATA 2025-26'!G937</f>
        <v>1040</v>
      </c>
      <c r="L450" s="210" t="s">
        <v>271</v>
      </c>
      <c r="M450" s="11">
        <f>ROUND(I450*K450,0)</f>
        <v>0</v>
      </c>
    </row>
    <row r="451" spans="1:13" ht="33" hidden="1" customHeight="1">
      <c r="A451" s="110">
        <v>32</v>
      </c>
      <c r="B451" s="964" t="s">
        <v>1022</v>
      </c>
      <c r="C451" s="964"/>
      <c r="D451" s="964"/>
      <c r="E451" s="964"/>
      <c r="F451" s="964"/>
      <c r="G451" s="964"/>
      <c r="H451" s="964"/>
      <c r="I451" s="183"/>
      <c r="J451" s="186"/>
      <c r="K451" s="110"/>
      <c r="L451" s="210"/>
      <c r="M451" s="139"/>
    </row>
    <row r="452" spans="1:13" s="148" customFormat="1" ht="16.5" hidden="1" customHeight="1">
      <c r="A452" s="110"/>
      <c r="B452" s="147" t="s">
        <v>1400</v>
      </c>
      <c r="C452" s="141"/>
      <c r="D452" s="142"/>
      <c r="E452" s="143"/>
      <c r="F452" s="144"/>
      <c r="G452" s="144"/>
      <c r="H452" s="145"/>
      <c r="I452" s="184"/>
      <c r="J452" s="195"/>
      <c r="K452" s="147"/>
      <c r="L452" s="110"/>
      <c r="M452" s="147"/>
    </row>
    <row r="453" spans="1:13" s="148" customFormat="1" ht="16.5" hidden="1" customHeight="1">
      <c r="A453" s="110"/>
      <c r="B453" s="149"/>
      <c r="C453" s="150">
        <v>1</v>
      </c>
      <c r="D453" s="151" t="s">
        <v>268</v>
      </c>
      <c r="E453" s="152">
        <v>1</v>
      </c>
      <c r="F453" s="153">
        <v>0</v>
      </c>
      <c r="G453" s="153">
        <v>0</v>
      </c>
      <c r="H453" s="153">
        <v>0</v>
      </c>
      <c r="I453" s="185">
        <f t="shared" ref="I453" si="56">ROUND(IF(AND(F453:H453),C453*E453*F453*G453*H453,IF(AND(F453,G453),C453*E453*F453*G453,IF(AND(F453,H453),C453*E453*F453*H453,IF(AND(G453,H453),C453*E453*G453*H453,IF(F453,C453*E453*F453,IF(G453,C453*E453*G453,IF(H453,C453*E453*H453,C453*E453))))))),2)</f>
        <v>1</v>
      </c>
      <c r="J453" s="195" t="s">
        <v>114</v>
      </c>
      <c r="K453" s="147"/>
      <c r="L453" s="110"/>
      <c r="M453" s="147"/>
    </row>
    <row r="454" spans="1:13" hidden="1">
      <c r="A454" s="110"/>
      <c r="B454" s="147"/>
      <c r="C454" s="154"/>
      <c r="D454" s="155"/>
      <c r="E454" s="156"/>
      <c r="F454" s="157"/>
      <c r="G454" s="158"/>
      <c r="H454" s="110"/>
      <c r="I454" s="185"/>
      <c r="J454" s="195" t="s">
        <v>114</v>
      </c>
      <c r="K454" s="12">
        <f>'DATA 2025-26'!G946</f>
        <v>780</v>
      </c>
      <c r="L454" s="210" t="s">
        <v>271</v>
      </c>
      <c r="M454" s="11">
        <f>ROUND(I454*K454,0)</f>
        <v>0</v>
      </c>
    </row>
    <row r="455" spans="1:13" ht="36.75" hidden="1" customHeight="1">
      <c r="A455" s="110">
        <v>27</v>
      </c>
      <c r="B455" s="964" t="s">
        <v>1233</v>
      </c>
      <c r="C455" s="964"/>
      <c r="D455" s="964"/>
      <c r="E455" s="964"/>
      <c r="F455" s="964"/>
      <c r="G455" s="964"/>
      <c r="H455" s="964"/>
      <c r="I455" s="183"/>
      <c r="J455" s="186"/>
      <c r="K455" s="110"/>
      <c r="L455" s="210"/>
      <c r="M455" s="139"/>
    </row>
    <row r="456" spans="1:13" s="148" customFormat="1" ht="16.5" hidden="1" customHeight="1">
      <c r="A456" s="110"/>
      <c r="B456" s="149"/>
      <c r="C456" s="150">
        <v>1</v>
      </c>
      <c r="D456" s="151" t="s">
        <v>268</v>
      </c>
      <c r="E456" s="152">
        <v>2</v>
      </c>
      <c r="F456" s="153">
        <v>0</v>
      </c>
      <c r="G456" s="153">
        <v>0</v>
      </c>
      <c r="H456" s="153">
        <v>0</v>
      </c>
      <c r="I456" s="327">
        <f t="shared" ref="I456" si="57">ROUND(IF(AND(F456:H456),C456*E456*F456*G456*H456,IF(AND(F456,G456),C456*E456*F456*G456,IF(AND(F456,H456),C456*E456*F456*H456,IF(AND(G456,H456),C456*E456*G456*H456,IF(F456,C456*E456*F456,IF(G456,C456*E456*G456,IF(H456,C456*E456*H456,C456*E456))))))),2)</f>
        <v>2</v>
      </c>
      <c r="J456" s="195" t="s">
        <v>114</v>
      </c>
      <c r="K456" s="147"/>
      <c r="L456" s="210"/>
      <c r="M456" s="147"/>
    </row>
    <row r="457" spans="1:13" hidden="1">
      <c r="A457" s="110"/>
      <c r="B457" s="147"/>
      <c r="C457" s="154"/>
      <c r="D457" s="155"/>
      <c r="E457" s="156"/>
      <c r="F457" s="157"/>
      <c r="G457" s="158"/>
      <c r="H457" s="110"/>
      <c r="I457" s="327"/>
      <c r="J457" s="195" t="s">
        <v>114</v>
      </c>
      <c r="K457" s="12">
        <f>'DATA 2025-26'!G950</f>
        <v>250</v>
      </c>
      <c r="L457" s="210" t="s">
        <v>271</v>
      </c>
      <c r="M457" s="11">
        <f>ROUND(I457*K457,0)</f>
        <v>0</v>
      </c>
    </row>
    <row r="458" spans="1:13" s="763" customFormat="1" ht="69.75" customHeight="1">
      <c r="A458" s="757">
        <v>27</v>
      </c>
      <c r="B458" s="965" t="s">
        <v>122</v>
      </c>
      <c r="C458" s="965"/>
      <c r="D458" s="965"/>
      <c r="E458" s="965"/>
      <c r="F458" s="965"/>
      <c r="G458" s="965"/>
      <c r="H458" s="965"/>
      <c r="I458" s="759"/>
      <c r="J458" s="760"/>
      <c r="K458" s="757"/>
      <c r="L458" s="761"/>
      <c r="M458" s="762"/>
    </row>
    <row r="459" spans="1:13" s="771" customFormat="1" ht="16.5" customHeight="1">
      <c r="A459" s="757"/>
      <c r="B459" s="764"/>
      <c r="C459" s="804"/>
      <c r="D459" s="805"/>
      <c r="E459" s="806"/>
      <c r="F459" s="807"/>
      <c r="G459" s="807"/>
      <c r="H459" s="807"/>
      <c r="I459" s="786">
        <v>3.7</v>
      </c>
      <c r="J459" s="778" t="s">
        <v>29</v>
      </c>
      <c r="K459" s="764"/>
      <c r="L459" s="757"/>
      <c r="M459" s="764"/>
    </row>
    <row r="460" spans="1:13" s="763" customFormat="1">
      <c r="A460" s="757"/>
      <c r="B460" s="764"/>
      <c r="C460" s="779"/>
      <c r="D460" s="780"/>
      <c r="E460" s="767"/>
      <c r="F460" s="781"/>
      <c r="G460" s="782"/>
      <c r="H460" s="757"/>
      <c r="I460" s="786">
        <f>SUM(I459)</f>
        <v>3.7</v>
      </c>
      <c r="J460" s="778" t="s">
        <v>29</v>
      </c>
      <c r="K460" s="808">
        <f>'DATA 2025-26'!E310</f>
        <v>86540.55</v>
      </c>
      <c r="L460" s="761" t="s">
        <v>278</v>
      </c>
      <c r="M460" s="784">
        <f>ROUND(I460*K460,0)</f>
        <v>320200</v>
      </c>
    </row>
    <row r="461" spans="1:13" hidden="1">
      <c r="A461" s="110"/>
      <c r="B461" s="173" t="s">
        <v>1835</v>
      </c>
      <c r="C461" s="147"/>
      <c r="D461" s="147"/>
      <c r="E461" s="274"/>
      <c r="F461" s="110"/>
      <c r="G461" s="147"/>
      <c r="H461" s="110"/>
      <c r="I461" s="185"/>
      <c r="J461" s="339"/>
      <c r="K461" s="12"/>
      <c r="L461" s="210"/>
      <c r="M461" s="11"/>
    </row>
    <row r="462" spans="1:13" ht="93.75" hidden="1" customHeight="1">
      <c r="A462" s="110">
        <v>1</v>
      </c>
      <c r="B462" s="964" t="s">
        <v>2259</v>
      </c>
      <c r="C462" s="964"/>
      <c r="D462" s="964"/>
      <c r="E462" s="964"/>
      <c r="F462" s="964"/>
      <c r="G462" s="964"/>
      <c r="H462" s="964"/>
      <c r="I462" s="183"/>
      <c r="J462" s="186"/>
      <c r="K462" s="110"/>
      <c r="L462" s="210"/>
      <c r="M462" s="139"/>
    </row>
    <row r="463" spans="1:13" s="148" customFormat="1" ht="16.5" hidden="1" customHeight="1">
      <c r="A463" s="110"/>
      <c r="B463" s="147" t="s">
        <v>1817</v>
      </c>
      <c r="C463" s="183">
        <v>1</v>
      </c>
      <c r="D463" s="205" t="s">
        <v>268</v>
      </c>
      <c r="E463" s="156">
        <v>5</v>
      </c>
      <c r="F463" s="157">
        <v>0.23</v>
      </c>
      <c r="G463" s="157">
        <v>0.3</v>
      </c>
      <c r="H463" s="157">
        <v>2.75</v>
      </c>
      <c r="I463" s="207">
        <f>ROUND(IF(AND(F463:H463),C463*E463*F463*G463*H463,IF(AND(F463,G463),C463*E463*F463*G463,IF(AND(F463,H463),C463*E463*F463*H463,IF(AND(G463,H463),C463*E463*G463*H463,IF(F463,C463*E463*F463,IF(G463,C463*E463*G463,IF(H463,C463*E463*H463,C463*E463))))))),2)</f>
        <v>0.95</v>
      </c>
      <c r="J463" s="195" t="s">
        <v>5</v>
      </c>
      <c r="K463" s="147"/>
      <c r="L463" s="110"/>
      <c r="M463" s="147"/>
    </row>
    <row r="464" spans="1:13" s="148" customFormat="1" ht="16.5" hidden="1" customHeight="1">
      <c r="A464" s="110"/>
      <c r="B464" s="147"/>
      <c r="C464" s="183">
        <v>1</v>
      </c>
      <c r="D464" s="205" t="s">
        <v>268</v>
      </c>
      <c r="E464" s="156">
        <v>8</v>
      </c>
      <c r="F464" s="157">
        <v>0.23</v>
      </c>
      <c r="G464" s="157">
        <v>0.45</v>
      </c>
      <c r="H464" s="157">
        <v>2.75</v>
      </c>
      <c r="I464" s="207">
        <f>ROUND(IF(AND(F464:H464),C464*E464*F464*G464*H464,IF(AND(F464,G464),C464*E464*F464*G464,IF(AND(F464,H464),C464*E464*F464*H464,IF(AND(G464,H464),C464*E464*G464*H464,IF(F464,C464*E464*F464,IF(G464,C464*E464*G464,IF(H464,C464*E464*H464,C464*E464))))))),2)</f>
        <v>2.2799999999999998</v>
      </c>
      <c r="J464" s="195" t="s">
        <v>5</v>
      </c>
      <c r="K464" s="147"/>
      <c r="L464" s="110"/>
      <c r="M464" s="147"/>
    </row>
    <row r="465" spans="1:13" s="148" customFormat="1" ht="16.5" hidden="1" customHeight="1">
      <c r="A465" s="110"/>
      <c r="B465" s="149"/>
      <c r="C465" s="150"/>
      <c r="D465" s="151"/>
      <c r="E465" s="152"/>
      <c r="F465" s="153"/>
      <c r="G465" s="153"/>
      <c r="H465" s="153"/>
      <c r="I465" s="185"/>
      <c r="J465" s="195"/>
      <c r="K465" s="147"/>
      <c r="L465" s="210"/>
      <c r="M465" s="147"/>
    </row>
    <row r="466" spans="1:13" hidden="1">
      <c r="A466" s="110"/>
      <c r="B466" s="147"/>
      <c r="C466" s="154"/>
      <c r="D466" s="155"/>
      <c r="E466" s="156"/>
      <c r="F466" s="157"/>
      <c r="G466" s="158"/>
      <c r="H466" s="110"/>
      <c r="I466" s="185"/>
      <c r="J466" s="195" t="s">
        <v>5</v>
      </c>
      <c r="K466" s="12">
        <f>'DATA 2025-26'!F166</f>
        <v>13584.89</v>
      </c>
      <c r="L466" s="210" t="s">
        <v>269</v>
      </c>
      <c r="M466" s="11">
        <f>ROUND(I466*K466,0)</f>
        <v>0</v>
      </c>
    </row>
    <row r="467" spans="1:13" ht="17.25" hidden="1" customHeight="1">
      <c r="A467" s="110">
        <v>2</v>
      </c>
      <c r="B467" s="964" t="s">
        <v>298</v>
      </c>
      <c r="C467" s="964"/>
      <c r="D467" s="964"/>
      <c r="E467" s="964"/>
      <c r="F467" s="964"/>
      <c r="G467" s="964"/>
      <c r="H467" s="964"/>
      <c r="I467" s="183"/>
      <c r="J467" s="186"/>
      <c r="K467" s="110"/>
      <c r="L467" s="210"/>
      <c r="M467" s="139"/>
    </row>
    <row r="468" spans="1:13" s="148" customFormat="1" ht="16.5" hidden="1" customHeight="1">
      <c r="A468" s="110"/>
      <c r="B468" s="147" t="s">
        <v>1800</v>
      </c>
      <c r="C468" s="183">
        <v>1</v>
      </c>
      <c r="D468" s="205" t="s">
        <v>268</v>
      </c>
      <c r="E468" s="156">
        <v>2</v>
      </c>
      <c r="F468" s="157">
        <v>7.3100000000000005</v>
      </c>
      <c r="G468" s="157">
        <v>0.23</v>
      </c>
      <c r="H468" s="157">
        <v>0.3</v>
      </c>
      <c r="I468" s="207">
        <f>ROUND(IF(AND(F468:H468),C468*E468*F468*G468*H468,IF(AND(F468,G468),C468*E468*F468*G468,IF(AND(F468,H468),C468*E468*F468*H468,IF(AND(G468,H468),C468*E468*G468*H468,IF(F468,C468*E468*F468,IF(G468,C468*E468*G468,IF(H468,C468*E468*H468,C468*E468))))))),2)</f>
        <v>1.01</v>
      </c>
      <c r="J468" s="195" t="s">
        <v>5</v>
      </c>
      <c r="K468" s="147"/>
      <c r="L468" s="210"/>
      <c r="M468" s="147"/>
    </row>
    <row r="469" spans="1:13" s="148" customFormat="1" ht="16.5" hidden="1" customHeight="1">
      <c r="A469" s="110"/>
      <c r="B469" s="147" t="s">
        <v>1801</v>
      </c>
      <c r="C469" s="183">
        <v>1</v>
      </c>
      <c r="D469" s="205" t="s">
        <v>268</v>
      </c>
      <c r="E469" s="156">
        <v>4</v>
      </c>
      <c r="F469" s="157">
        <v>5.9400000000000013</v>
      </c>
      <c r="G469" s="157">
        <v>0.23</v>
      </c>
      <c r="H469" s="157">
        <v>0.45</v>
      </c>
      <c r="I469" s="207">
        <f>ROUND(IF(AND(F469:H469),C469*E469*F469*G469*H469,IF(AND(F469,G469),C469*E469*F469*G469,IF(AND(F469,H469),C469*E469*F469*H469,IF(AND(G469,H469),C469*E469*G469*H469,IF(F469,C469*E469*F469,IF(G469,C469*E469*G469,IF(H469,C469*E469*H469,C469*E469))))))),2)</f>
        <v>2.46</v>
      </c>
      <c r="J469" s="195" t="s">
        <v>5</v>
      </c>
      <c r="K469" s="147"/>
      <c r="L469" s="210"/>
      <c r="M469" s="147"/>
    </row>
    <row r="470" spans="1:13" s="148" customFormat="1" ht="16.5" hidden="1" customHeight="1">
      <c r="A470" s="110"/>
      <c r="B470" s="147" t="s">
        <v>1802</v>
      </c>
      <c r="C470" s="183">
        <v>-1</v>
      </c>
      <c r="D470" s="205" t="s">
        <v>268</v>
      </c>
      <c r="E470" s="156">
        <v>8</v>
      </c>
      <c r="F470" s="157">
        <v>0.23</v>
      </c>
      <c r="G470" s="157">
        <v>0.23</v>
      </c>
      <c r="H470" s="157">
        <v>0.3</v>
      </c>
      <c r="I470" s="207">
        <f>ROUND(IF(AND(F470:H470),C470*E470*F470*G470*H470,IF(AND(F470,G470),C470*E470*F470*G470,IF(AND(F470,H470),C470*E470*F470*H470,IF(AND(G470,H470),C470*E470*G470*H470,IF(F470,C470*E470*F470,IF(G470,C470*E470*G470,IF(H470,C470*E470*H470,C470*E470))))))),2)</f>
        <v>-0.13</v>
      </c>
      <c r="J470" s="195" t="s">
        <v>5</v>
      </c>
      <c r="K470" s="147"/>
      <c r="L470" s="110"/>
      <c r="M470" s="147"/>
    </row>
    <row r="471" spans="1:13" s="148" customFormat="1" ht="16.5" hidden="1" customHeight="1">
      <c r="A471" s="110"/>
      <c r="B471" s="149"/>
      <c r="C471" s="150"/>
      <c r="D471" s="151"/>
      <c r="E471" s="152"/>
      <c r="F471" s="153"/>
      <c r="G471" s="153"/>
      <c r="H471" s="153"/>
      <c r="I471" s="185"/>
      <c r="J471" s="195"/>
      <c r="K471" s="147"/>
      <c r="L471" s="210"/>
      <c r="M471" s="147"/>
    </row>
    <row r="472" spans="1:13" hidden="1">
      <c r="A472" s="110"/>
      <c r="B472" s="147"/>
      <c r="C472" s="154"/>
      <c r="D472" s="155"/>
      <c r="E472" s="156"/>
      <c r="F472" s="157"/>
      <c r="G472" s="158"/>
      <c r="H472" s="110"/>
      <c r="I472" s="185"/>
      <c r="J472" s="195" t="s">
        <v>5</v>
      </c>
      <c r="K472" s="12">
        <f>'DATA 2025-26'!F195</f>
        <v>12444.66</v>
      </c>
      <c r="L472" s="210" t="s">
        <v>269</v>
      </c>
      <c r="M472" s="11">
        <f>ROUND(I472*K472,0)</f>
        <v>0</v>
      </c>
    </row>
    <row r="473" spans="1:13" ht="17.25" hidden="1" customHeight="1">
      <c r="A473" s="110">
        <v>3</v>
      </c>
      <c r="B473" s="964" t="s">
        <v>299</v>
      </c>
      <c r="C473" s="964"/>
      <c r="D473" s="964"/>
      <c r="E473" s="964"/>
      <c r="F473" s="964"/>
      <c r="G473" s="964"/>
      <c r="H473" s="964"/>
      <c r="I473" s="183"/>
      <c r="J473" s="186"/>
      <c r="K473" s="110"/>
      <c r="L473" s="210"/>
      <c r="M473" s="139"/>
    </row>
    <row r="474" spans="1:13" s="148" customFormat="1" ht="16.5" hidden="1" customHeight="1">
      <c r="A474" s="110"/>
      <c r="B474" s="147" t="s">
        <v>1379</v>
      </c>
      <c r="C474" s="183"/>
      <c r="D474" s="205"/>
      <c r="E474" s="156"/>
      <c r="F474" s="157"/>
      <c r="G474" s="157"/>
      <c r="H474" s="157"/>
      <c r="I474" s="206"/>
      <c r="J474" s="195"/>
      <c r="K474" s="147"/>
      <c r="L474" s="110"/>
      <c r="M474" s="147"/>
    </row>
    <row r="475" spans="1:13" s="148" customFormat="1" ht="16.5" hidden="1" customHeight="1">
      <c r="A475" s="110"/>
      <c r="B475" s="147" t="s">
        <v>747</v>
      </c>
      <c r="C475" s="183">
        <v>1</v>
      </c>
      <c r="D475" s="205" t="s">
        <v>268</v>
      </c>
      <c r="E475" s="156">
        <v>1</v>
      </c>
      <c r="F475" s="157">
        <v>3.4</v>
      </c>
      <c r="G475" s="157">
        <v>1.3</v>
      </c>
      <c r="H475" s="157">
        <v>0</v>
      </c>
      <c r="I475" s="207">
        <f>ROUND(IF(AND(F475:H475),C475*E475*F475*G475*H475,IF(AND(F475,G475),C475*E475*F475*G475,IF(AND(F475,H475),C475*E475*F475*H475,IF(AND(G475,H475),C475*E475*G475*H475,IF(F475,C475*E475*F475,IF(G475,C475*E475*G475,IF(H475,C475*E475*H475,C475*E475))))))),2)</f>
        <v>4.42</v>
      </c>
      <c r="J475" s="195" t="s">
        <v>102</v>
      </c>
      <c r="K475" s="147"/>
      <c r="L475" s="110"/>
      <c r="M475" s="147"/>
    </row>
    <row r="476" spans="1:13" s="148" customFormat="1" ht="16.5" hidden="1" customHeight="1">
      <c r="A476" s="110"/>
      <c r="B476" s="147" t="s">
        <v>1385</v>
      </c>
      <c r="C476" s="183"/>
      <c r="D476" s="205"/>
      <c r="E476" s="156"/>
      <c r="F476" s="157"/>
      <c r="G476" s="157"/>
      <c r="H476" s="157"/>
      <c r="I476" s="206"/>
      <c r="J476" s="195"/>
      <c r="K476" s="147"/>
      <c r="L476" s="110"/>
      <c r="M476" s="147"/>
    </row>
    <row r="477" spans="1:13" s="148" customFormat="1" ht="16.5" hidden="1" customHeight="1">
      <c r="A477" s="110"/>
      <c r="B477" s="147" t="s">
        <v>746</v>
      </c>
      <c r="C477" s="183">
        <v>1</v>
      </c>
      <c r="D477" s="205" t="s">
        <v>268</v>
      </c>
      <c r="E477" s="156">
        <v>1</v>
      </c>
      <c r="F477" s="157">
        <v>3.46</v>
      </c>
      <c r="G477" s="157">
        <v>1.5</v>
      </c>
      <c r="H477" s="157">
        <v>0</v>
      </c>
      <c r="I477" s="207">
        <f>ROUND(IF(AND(F477:H477),C477*E477*F477*G477*H477,IF(AND(F477,G477),C477*E477*F477*G477,IF(AND(F477,H477),C477*E477*F477*H477,IF(AND(G477,H477),C477*E477*G477*H477,IF(F477,C477*E477*F477,IF(G477,C477*E477*G477,IF(H477,C477*E477*H477,C477*E477))))))),2)</f>
        <v>5.19</v>
      </c>
      <c r="J477" s="195" t="s">
        <v>102</v>
      </c>
      <c r="K477" s="147"/>
      <c r="L477" s="110"/>
      <c r="M477" s="147"/>
    </row>
    <row r="478" spans="1:13" s="148" customFormat="1" ht="16.5" hidden="1" customHeight="1">
      <c r="A478" s="110"/>
      <c r="B478" s="147" t="s">
        <v>263</v>
      </c>
      <c r="C478" s="183">
        <v>1</v>
      </c>
      <c r="D478" s="205" t="s">
        <v>268</v>
      </c>
      <c r="E478" s="156">
        <v>1</v>
      </c>
      <c r="F478" s="157">
        <v>3.18</v>
      </c>
      <c r="G478" s="157">
        <v>1.47</v>
      </c>
      <c r="H478" s="157">
        <v>0</v>
      </c>
      <c r="I478" s="207">
        <f>ROUND(IF(AND(F478:H478),C478*E478*F478*G478*H478,IF(AND(F478,G478),C478*E478*F478*G478,IF(AND(F478,H478),C478*E478*F478*H478,IF(AND(G478,H478),C478*E478*G478*H478,IF(F478,C478*E478*F478,IF(G478,C478*E478*G478,IF(H478,C478*E478*H478,C478*E478))))))),2)</f>
        <v>4.67</v>
      </c>
      <c r="J478" s="195" t="s">
        <v>102</v>
      </c>
      <c r="K478" s="147"/>
      <c r="L478" s="110"/>
      <c r="M478" s="147"/>
    </row>
    <row r="479" spans="1:13" s="148" customFormat="1" ht="16.5" hidden="1" customHeight="1">
      <c r="A479" s="110"/>
      <c r="B479" s="149"/>
      <c r="C479" s="150"/>
      <c r="D479" s="151"/>
      <c r="E479" s="152"/>
      <c r="F479" s="153"/>
      <c r="G479" s="153"/>
      <c r="H479" s="153"/>
      <c r="I479" s="185"/>
      <c r="J479" s="195"/>
      <c r="K479" s="147"/>
      <c r="L479" s="210"/>
      <c r="M479" s="147"/>
    </row>
    <row r="480" spans="1:13" hidden="1">
      <c r="A480" s="110"/>
      <c r="B480" s="147"/>
      <c r="C480" s="154"/>
      <c r="D480" s="155"/>
      <c r="E480" s="156"/>
      <c r="F480" s="157"/>
      <c r="G480" s="158"/>
      <c r="H480" s="110"/>
      <c r="I480" s="185"/>
      <c r="J480" s="195" t="s">
        <v>102</v>
      </c>
      <c r="K480" s="12">
        <f>'DATA 2025-26'!F219</f>
        <v>1663.5299999999997</v>
      </c>
      <c r="L480" s="210" t="s">
        <v>270</v>
      </c>
      <c r="M480" s="11">
        <f>ROUND(I480*K480,0)</f>
        <v>0</v>
      </c>
    </row>
    <row r="481" spans="1:13" ht="17.25" hidden="1" customHeight="1">
      <c r="A481" s="110">
        <v>3</v>
      </c>
      <c r="B481" s="964" t="s">
        <v>300</v>
      </c>
      <c r="C481" s="964"/>
      <c r="D481" s="964"/>
      <c r="E481" s="964"/>
      <c r="F481" s="964"/>
      <c r="G481" s="964"/>
      <c r="H481" s="964"/>
      <c r="I481" s="183"/>
      <c r="J481" s="186"/>
      <c r="K481" s="110"/>
      <c r="L481" s="210"/>
      <c r="M481" s="139"/>
    </row>
    <row r="482" spans="1:13" s="148" customFormat="1" ht="16.5" hidden="1" customHeight="1">
      <c r="A482" s="110"/>
      <c r="B482" s="147" t="s">
        <v>1818</v>
      </c>
      <c r="C482" s="183">
        <v>1</v>
      </c>
      <c r="D482" s="205" t="s">
        <v>268</v>
      </c>
      <c r="E482" s="156">
        <v>1</v>
      </c>
      <c r="F482" s="157">
        <v>8.82</v>
      </c>
      <c r="G482" s="157">
        <v>6.56</v>
      </c>
      <c r="H482" s="157">
        <v>0</v>
      </c>
      <c r="I482" s="207">
        <f>ROUND(IF(AND(F482:H482),C482*E482*F482*G482*H482,IF(AND(F482,G482),C482*E482*F482*G482,IF(AND(F482,H482),C482*E482*F482*H482,IF(AND(G482,H482),C482*E482*G482*H482,IF(F482,C482*E482*F482,IF(G482,C482*E482*G482,IF(H482,C482*E482*H482,C482*E482))))))),2)</f>
        <v>57.86</v>
      </c>
      <c r="J482" s="195" t="s">
        <v>102</v>
      </c>
      <c r="K482" s="147"/>
      <c r="L482" s="110"/>
      <c r="M482" s="147"/>
    </row>
    <row r="483" spans="1:13" s="148" customFormat="1" ht="16.5" hidden="1" customHeight="1">
      <c r="A483" s="110"/>
      <c r="B483" s="291"/>
      <c r="C483" s="292"/>
      <c r="D483" s="175"/>
      <c r="E483" s="293"/>
      <c r="F483" s="294"/>
      <c r="G483" s="294"/>
      <c r="H483" s="295"/>
      <c r="I483" s="193"/>
      <c r="J483" s="195"/>
      <c r="K483" s="147"/>
      <c r="L483" s="210"/>
      <c r="M483" s="147"/>
    </row>
    <row r="484" spans="1:13" hidden="1">
      <c r="A484" s="110"/>
      <c r="B484" s="147"/>
      <c r="C484" s="154"/>
      <c r="D484" s="155"/>
      <c r="E484" s="156"/>
      <c r="F484" s="157"/>
      <c r="G484" s="158"/>
      <c r="H484" s="110"/>
      <c r="I484" s="185"/>
      <c r="J484" s="195" t="s">
        <v>102</v>
      </c>
      <c r="K484" s="12">
        <f>'DATA 2025-26'!F211</f>
        <v>1676.1100000000001</v>
      </c>
      <c r="L484" s="210" t="s">
        <v>270</v>
      </c>
      <c r="M484" s="11">
        <f>ROUND(I484*K484,0)</f>
        <v>0</v>
      </c>
    </row>
    <row r="485" spans="1:13" ht="17.25" hidden="1" customHeight="1">
      <c r="A485" s="110">
        <v>13</v>
      </c>
      <c r="B485" s="964" t="s">
        <v>570</v>
      </c>
      <c r="C485" s="964"/>
      <c r="D485" s="964"/>
      <c r="E485" s="964"/>
      <c r="F485" s="964"/>
      <c r="G485" s="964"/>
      <c r="H485" s="964"/>
      <c r="I485" s="183"/>
      <c r="J485" s="186"/>
      <c r="K485" s="110"/>
      <c r="L485" s="210"/>
      <c r="M485" s="139"/>
    </row>
    <row r="486" spans="1:13" s="148" customFormat="1" ht="16.5" hidden="1" customHeight="1">
      <c r="A486" s="110"/>
      <c r="B486" s="147" t="s">
        <v>1293</v>
      </c>
      <c r="C486" s="183"/>
      <c r="D486" s="205"/>
      <c r="E486" s="156"/>
      <c r="F486" s="157"/>
      <c r="G486" s="157"/>
      <c r="H486" s="157"/>
      <c r="I486" s="206"/>
      <c r="J486" s="195"/>
      <c r="K486" s="147"/>
      <c r="L486" s="210"/>
      <c r="M486" s="147"/>
    </row>
    <row r="487" spans="1:13" s="148" customFormat="1" ht="16.5" hidden="1" customHeight="1">
      <c r="A487" s="110"/>
      <c r="B487" s="147" t="s">
        <v>1027</v>
      </c>
      <c r="C487" s="183">
        <v>1</v>
      </c>
      <c r="D487" s="205" t="s">
        <v>268</v>
      </c>
      <c r="E487" s="156">
        <v>1</v>
      </c>
      <c r="F487" s="157">
        <v>3.95</v>
      </c>
      <c r="G487" s="157">
        <v>2.1</v>
      </c>
      <c r="H487" s="157">
        <v>0</v>
      </c>
      <c r="I487" s="207">
        <f>ROUND(IF(AND(F487:H487),C487*E487*F487*G487*H487,IF(AND(F487,G487),C487*E487*F487*G487,IF(AND(F487,H487),C487*E487*F487*H487,IF(AND(G487,H487),C487*E487*G487*H487,IF(F487,C487*E487*F487,IF(G487,C487*E487*G487,IF(H487,C487*E487*H487,C487*E487))))))),2)</f>
        <v>8.3000000000000007</v>
      </c>
      <c r="J487" s="195" t="s">
        <v>102</v>
      </c>
      <c r="K487" s="147"/>
      <c r="L487" s="210"/>
      <c r="M487" s="147"/>
    </row>
    <row r="488" spans="1:13" s="148" customFormat="1" ht="16.5" hidden="1" customHeight="1">
      <c r="A488" s="110"/>
      <c r="B488" s="291"/>
      <c r="C488" s="292"/>
      <c r="D488" s="175"/>
      <c r="E488" s="293"/>
      <c r="F488" s="294"/>
      <c r="G488" s="294"/>
      <c r="H488" s="295"/>
      <c r="I488" s="193"/>
      <c r="J488" s="195"/>
      <c r="K488" s="147"/>
      <c r="L488" s="210"/>
      <c r="M488" s="147"/>
    </row>
    <row r="489" spans="1:13" hidden="1">
      <c r="A489" s="110"/>
      <c r="B489" s="147"/>
      <c r="C489" s="154"/>
      <c r="D489" s="155"/>
      <c r="E489" s="156"/>
      <c r="F489" s="157"/>
      <c r="G489" s="158"/>
      <c r="H489" s="110"/>
      <c r="I489" s="185"/>
      <c r="J489" s="195" t="s">
        <v>102</v>
      </c>
      <c r="K489" s="12">
        <f>'DATA 2025-26'!F203</f>
        <v>1321.4</v>
      </c>
      <c r="L489" s="210" t="s">
        <v>270</v>
      </c>
      <c r="M489" s="11">
        <f>ROUND(I489*K489,0)</f>
        <v>0</v>
      </c>
    </row>
    <row r="490" spans="1:13" ht="18.75" hidden="1" customHeight="1">
      <c r="A490" s="110">
        <v>16</v>
      </c>
      <c r="B490" s="964" t="s">
        <v>1115</v>
      </c>
      <c r="C490" s="964"/>
      <c r="D490" s="964"/>
      <c r="E490" s="964"/>
      <c r="F490" s="964"/>
      <c r="G490" s="964"/>
      <c r="H490" s="964"/>
      <c r="I490" s="183"/>
      <c r="J490" s="186"/>
      <c r="K490" s="110"/>
      <c r="L490" s="210"/>
      <c r="M490" s="139"/>
    </row>
    <row r="491" spans="1:13" s="148" customFormat="1" ht="16.5" hidden="1" customHeight="1">
      <c r="A491" s="110"/>
      <c r="B491" s="147" t="s">
        <v>1294</v>
      </c>
      <c r="C491" s="183"/>
      <c r="D491" s="205"/>
      <c r="E491" s="156"/>
      <c r="F491" s="157"/>
      <c r="G491" s="157"/>
      <c r="H491" s="157"/>
      <c r="I491" s="206"/>
      <c r="J491" s="195"/>
      <c r="K491" s="147"/>
      <c r="L491" s="210"/>
      <c r="M491" s="147"/>
    </row>
    <row r="492" spans="1:13" s="148" customFormat="1" ht="16.5" hidden="1" customHeight="1">
      <c r="A492" s="110"/>
      <c r="B492" s="147" t="s">
        <v>1016</v>
      </c>
      <c r="C492" s="183">
        <v>1</v>
      </c>
      <c r="D492" s="205" t="s">
        <v>268</v>
      </c>
      <c r="E492" s="156">
        <v>5</v>
      </c>
      <c r="F492" s="157">
        <v>1.52</v>
      </c>
      <c r="G492" s="157">
        <v>0.23</v>
      </c>
      <c r="H492" s="157">
        <v>0</v>
      </c>
      <c r="I492" s="207">
        <f>ROUND(IF(AND(F492:H492),C492*E492*F492*G492*H492,IF(AND(F492,G492),C492*E492*F492*G492,IF(AND(F492,H492),C492*E492*F492*H492,IF(AND(G492,H492),C492*E492*G492*H492,IF(F492,C492*E492*F492,IF(G492,C492*E492*G492,IF(H492,C492*E492*H492,C492*E492))))))),2)</f>
        <v>1.75</v>
      </c>
      <c r="J492" s="195" t="s">
        <v>102</v>
      </c>
      <c r="K492" s="147"/>
      <c r="L492" s="210"/>
      <c r="M492" s="147"/>
    </row>
    <row r="493" spans="1:13" s="148" customFormat="1" ht="16.5" hidden="1" customHeight="1">
      <c r="A493" s="110"/>
      <c r="B493" s="147"/>
      <c r="C493" s="183">
        <v>1</v>
      </c>
      <c r="D493" s="205" t="s">
        <v>268</v>
      </c>
      <c r="E493" s="156">
        <v>4</v>
      </c>
      <c r="F493" s="157">
        <v>1.83</v>
      </c>
      <c r="G493" s="157">
        <v>0.23</v>
      </c>
      <c r="H493" s="157">
        <v>0</v>
      </c>
      <c r="I493" s="207">
        <f>ROUND(IF(AND(F493:H493),C493*E493*F493*G493*H493,IF(AND(F493,G493),C493*E493*F493*G493,IF(AND(F493,H493),C493*E493*F493*H493,IF(AND(G493,H493),C493*E493*G493*H493,IF(F493,C493*E493*F493,IF(G493,C493*E493*G493,IF(H493,C493*E493*H493,C493*E493))))))),2)</f>
        <v>1.68</v>
      </c>
      <c r="J493" s="195" t="s">
        <v>102</v>
      </c>
      <c r="K493" s="147"/>
      <c r="L493" s="210"/>
      <c r="M493" s="147"/>
    </row>
    <row r="494" spans="1:13" s="148" customFormat="1" ht="16.5" hidden="1" customHeight="1">
      <c r="A494" s="110"/>
      <c r="B494" s="147" t="s">
        <v>1295</v>
      </c>
      <c r="C494" s="183"/>
      <c r="D494" s="205"/>
      <c r="E494" s="156"/>
      <c r="F494" s="157"/>
      <c r="G494" s="157"/>
      <c r="H494" s="157"/>
      <c r="I494" s="206"/>
      <c r="J494" s="195"/>
      <c r="K494" s="147"/>
      <c r="L494" s="210"/>
      <c r="M494" s="147"/>
    </row>
    <row r="495" spans="1:13" s="148" customFormat="1" ht="16.5" hidden="1" customHeight="1">
      <c r="A495" s="110"/>
      <c r="B495" s="147" t="s">
        <v>1016</v>
      </c>
      <c r="C495" s="183">
        <v>1</v>
      </c>
      <c r="D495" s="205" t="s">
        <v>268</v>
      </c>
      <c r="E495" s="156">
        <v>8</v>
      </c>
      <c r="F495" s="157">
        <v>1.52</v>
      </c>
      <c r="G495" s="157">
        <v>0.23</v>
      </c>
      <c r="H495" s="157">
        <v>0</v>
      </c>
      <c r="I495" s="207">
        <f>ROUND(IF(AND(F495:H495),C495*E495*F495*G495*H495,IF(AND(F495,G495),C495*E495*F495*G495,IF(AND(F495,H495),C495*E495*F495*H495,IF(AND(G495,H495),C495*E495*G495*H495,IF(F495,C495*E495*F495,IF(G495,C495*E495*G495,IF(H495,C495*E495*H495,C495*E495))))))),2)</f>
        <v>2.8</v>
      </c>
      <c r="J495" s="195" t="s">
        <v>102</v>
      </c>
      <c r="K495" s="147"/>
      <c r="L495" s="210"/>
      <c r="M495" s="147"/>
    </row>
    <row r="496" spans="1:13" s="148" customFormat="1" ht="16.5" hidden="1" customHeight="1">
      <c r="A496" s="110"/>
      <c r="B496" s="147" t="s">
        <v>1293</v>
      </c>
      <c r="C496" s="183"/>
      <c r="D496" s="205"/>
      <c r="E496" s="156"/>
      <c r="F496" s="157"/>
      <c r="G496" s="157"/>
      <c r="H496" s="157"/>
      <c r="I496" s="206"/>
      <c r="J496" s="195"/>
      <c r="K496" s="147"/>
      <c r="L496" s="210"/>
      <c r="M496" s="147"/>
    </row>
    <row r="497" spans="1:13" s="148" customFormat="1" ht="16.5" hidden="1" customHeight="1">
      <c r="A497" s="110"/>
      <c r="B497" s="147" t="s">
        <v>1029</v>
      </c>
      <c r="C497" s="183">
        <v>1</v>
      </c>
      <c r="D497" s="205" t="s">
        <v>268</v>
      </c>
      <c r="E497" s="156">
        <v>1</v>
      </c>
      <c r="F497" s="157">
        <v>2.7</v>
      </c>
      <c r="G497" s="157">
        <v>1.52</v>
      </c>
      <c r="H497" s="157">
        <v>0</v>
      </c>
      <c r="I497" s="207">
        <f>ROUND(IF(AND(F497:H497),C497*E497*F497*G497*H497,IF(AND(F497,G497),C497*E497*F497*G497,IF(AND(F497,H497),C497*E497*F497*H497,IF(AND(G497,H497),C497*E497*G497*H497,IF(F497,C497*E497*F497,IF(G497,C497*E497*G497,IF(H497,C497*E497*H497,C497*E497))))))),2)</f>
        <v>4.0999999999999996</v>
      </c>
      <c r="J497" s="195" t="s">
        <v>102</v>
      </c>
      <c r="K497" s="147"/>
      <c r="L497" s="210"/>
      <c r="M497" s="147"/>
    </row>
    <row r="498" spans="1:13" s="148" customFormat="1" ht="16.5" hidden="1" customHeight="1">
      <c r="A498" s="110"/>
      <c r="B498" s="147" t="s">
        <v>1030</v>
      </c>
      <c r="C498" s="183">
        <v>1</v>
      </c>
      <c r="D498" s="205" t="s">
        <v>268</v>
      </c>
      <c r="E498" s="156">
        <v>1</v>
      </c>
      <c r="F498" s="157">
        <v>1.4</v>
      </c>
      <c r="G498" s="157">
        <v>1.4</v>
      </c>
      <c r="H498" s="157">
        <v>0</v>
      </c>
      <c r="I498" s="207">
        <f>ROUND(IF(AND(F498:H498),C498*E498*F498*G498*H498,IF(AND(F498,G498),C498*E498*F498*G498,IF(AND(F498,H498),C498*E498*F498*H498,IF(AND(G498,H498),C498*E498*G498*H498,IF(F498,C498*E498*F498,IF(G498,C498*E498*G498,IF(H498,C498*E498*H498,C498*E498))))))),2)</f>
        <v>1.96</v>
      </c>
      <c r="J498" s="195" t="s">
        <v>102</v>
      </c>
      <c r="K498" s="147"/>
      <c r="L498" s="210"/>
      <c r="M498" s="147"/>
    </row>
    <row r="499" spans="1:13" s="148" customFormat="1" ht="16.5" hidden="1" customHeight="1">
      <c r="A499" s="110"/>
      <c r="B499" s="149"/>
      <c r="C499" s="150"/>
      <c r="D499" s="151"/>
      <c r="E499" s="152"/>
      <c r="F499" s="153"/>
      <c r="G499" s="153"/>
      <c r="H499" s="153"/>
      <c r="I499" s="185"/>
      <c r="J499" s="195"/>
      <c r="K499" s="147"/>
      <c r="L499" s="210"/>
      <c r="M499" s="147"/>
    </row>
    <row r="500" spans="1:13" hidden="1">
      <c r="A500" s="110"/>
      <c r="B500" s="147"/>
      <c r="C500" s="154"/>
      <c r="D500" s="155"/>
      <c r="E500" s="156"/>
      <c r="F500" s="157"/>
      <c r="G500" s="158"/>
      <c r="H500" s="110"/>
      <c r="I500" s="185"/>
      <c r="J500" s="195" t="s">
        <v>102</v>
      </c>
      <c r="K500" s="12">
        <f>'DATA 2025-26'!F266</f>
        <v>841.31</v>
      </c>
      <c r="L500" s="210" t="s">
        <v>270</v>
      </c>
      <c r="M500" s="11">
        <f>ROUND(I500*K500,0)</f>
        <v>0</v>
      </c>
    </row>
    <row r="501" spans="1:13" ht="18.75" hidden="1" customHeight="1">
      <c r="A501" s="110">
        <v>16</v>
      </c>
      <c r="B501" s="964" t="s">
        <v>1116</v>
      </c>
      <c r="C501" s="964"/>
      <c r="D501" s="964"/>
      <c r="E501" s="964"/>
      <c r="F501" s="964"/>
      <c r="G501" s="964"/>
      <c r="H501" s="964"/>
      <c r="I501" s="183"/>
      <c r="J501" s="186"/>
      <c r="K501" s="110"/>
      <c r="L501" s="210"/>
      <c r="M501" s="139"/>
    </row>
    <row r="502" spans="1:13" s="148" customFormat="1" ht="16.5" hidden="1" customHeight="1">
      <c r="A502" s="110"/>
      <c r="B502" s="147" t="s">
        <v>1294</v>
      </c>
      <c r="C502" s="183"/>
      <c r="D502" s="205"/>
      <c r="E502" s="156"/>
      <c r="F502" s="157"/>
      <c r="G502" s="157"/>
      <c r="H502" s="157"/>
      <c r="I502" s="206"/>
      <c r="J502" s="195"/>
      <c r="K502" s="147"/>
      <c r="L502" s="210"/>
      <c r="M502" s="147"/>
    </row>
    <row r="503" spans="1:13" s="148" customFormat="1" ht="16.5" hidden="1" customHeight="1">
      <c r="A503" s="110"/>
      <c r="B503" s="147" t="s">
        <v>1016</v>
      </c>
      <c r="C503" s="183">
        <v>1</v>
      </c>
      <c r="D503" s="205" t="s">
        <v>268</v>
      </c>
      <c r="E503" s="156">
        <v>5</v>
      </c>
      <c r="F503" s="157">
        <v>1.52</v>
      </c>
      <c r="G503" s="157">
        <v>0.23</v>
      </c>
      <c r="H503" s="157">
        <v>0</v>
      </c>
      <c r="I503" s="207">
        <f>ROUND(IF(AND(F503:H503),C503*E503*F503*G503*H503,IF(AND(F503,G503),C503*E503*F503*G503,IF(AND(F503,H503),C503*E503*F503*H503,IF(AND(G503,H503),C503*E503*G503*H503,IF(F503,C503*E503*F503,IF(G503,C503*E503*G503,IF(H503,C503*E503*H503,C503*E503))))))),2)</f>
        <v>1.75</v>
      </c>
      <c r="J503" s="195" t="s">
        <v>102</v>
      </c>
      <c r="K503" s="147"/>
      <c r="L503" s="210"/>
      <c r="M503" s="147"/>
    </row>
    <row r="504" spans="1:13" s="148" customFormat="1" ht="16.5" hidden="1" customHeight="1">
      <c r="A504" s="110"/>
      <c r="B504" s="147"/>
      <c r="C504" s="183">
        <v>1</v>
      </c>
      <c r="D504" s="205" t="s">
        <v>268</v>
      </c>
      <c r="E504" s="156">
        <v>4</v>
      </c>
      <c r="F504" s="157">
        <v>1.83</v>
      </c>
      <c r="G504" s="157">
        <v>0.23</v>
      </c>
      <c r="H504" s="157">
        <v>0</v>
      </c>
      <c r="I504" s="207">
        <f>ROUND(IF(AND(F504:H504),C504*E504*F504*G504*H504,IF(AND(F504,G504),C504*E504*F504*G504,IF(AND(F504,H504),C504*E504*F504*H504,IF(AND(G504,H504),C504*E504*G504*H504,IF(F504,C504*E504*F504,IF(G504,C504*E504*G504,IF(H504,C504*E504*H504,C504*E504))))))),2)</f>
        <v>1.68</v>
      </c>
      <c r="J504" s="195" t="s">
        <v>102</v>
      </c>
      <c r="K504" s="147"/>
      <c r="L504" s="210"/>
      <c r="M504" s="147"/>
    </row>
    <row r="505" spans="1:13" s="148" customFormat="1" ht="16.5" hidden="1" customHeight="1">
      <c r="A505" s="110"/>
      <c r="B505" s="147" t="s">
        <v>1295</v>
      </c>
      <c r="C505" s="183"/>
      <c r="D505" s="205"/>
      <c r="E505" s="156"/>
      <c r="F505" s="157"/>
      <c r="G505" s="157"/>
      <c r="H505" s="157"/>
      <c r="I505" s="206"/>
      <c r="J505" s="195"/>
      <c r="K505" s="147"/>
      <c r="L505" s="210"/>
      <c r="M505" s="147"/>
    </row>
    <row r="506" spans="1:13" s="148" customFormat="1" ht="16.5" hidden="1" customHeight="1">
      <c r="A506" s="110"/>
      <c r="B506" s="147" t="s">
        <v>1016</v>
      </c>
      <c r="C506" s="183">
        <v>1</v>
      </c>
      <c r="D506" s="205" t="s">
        <v>268</v>
      </c>
      <c r="E506" s="156">
        <v>8</v>
      </c>
      <c r="F506" s="157">
        <v>1.52</v>
      </c>
      <c r="G506" s="157">
        <v>0.23</v>
      </c>
      <c r="H506" s="157">
        <v>0</v>
      </c>
      <c r="I506" s="207">
        <f>ROUND(IF(AND(F506:H506),C506*E506*F506*G506*H506,IF(AND(F506,G506),C506*E506*F506*G506,IF(AND(F506,H506),C506*E506*F506*H506,IF(AND(G506,H506),C506*E506*G506*H506,IF(F506,C506*E506*F506,IF(G506,C506*E506*G506,IF(H506,C506*E506*H506,C506*E506))))))),2)</f>
        <v>2.8</v>
      </c>
      <c r="J506" s="195" t="s">
        <v>102</v>
      </c>
      <c r="K506" s="147"/>
      <c r="L506" s="210"/>
      <c r="M506" s="147"/>
    </row>
    <row r="507" spans="1:13" s="148" customFormat="1" ht="16.5" hidden="1" customHeight="1">
      <c r="A507" s="110"/>
      <c r="B507" s="147" t="s">
        <v>1293</v>
      </c>
      <c r="C507" s="183"/>
      <c r="D507" s="205"/>
      <c r="E507" s="156"/>
      <c r="F507" s="157"/>
      <c r="G507" s="157"/>
      <c r="H507" s="157"/>
      <c r="I507" s="206"/>
      <c r="J507" s="195"/>
      <c r="K507" s="147"/>
      <c r="L507" s="210"/>
      <c r="M507" s="147"/>
    </row>
    <row r="508" spans="1:13" s="148" customFormat="1" ht="16.5" hidden="1" customHeight="1">
      <c r="A508" s="110"/>
      <c r="B508" s="147" t="s">
        <v>1029</v>
      </c>
      <c r="C508" s="183">
        <v>1</v>
      </c>
      <c r="D508" s="205" t="s">
        <v>268</v>
      </c>
      <c r="E508" s="156">
        <v>1</v>
      </c>
      <c r="F508" s="157">
        <v>2.7</v>
      </c>
      <c r="G508" s="157">
        <v>1.52</v>
      </c>
      <c r="H508" s="157">
        <v>0</v>
      </c>
      <c r="I508" s="207">
        <f>ROUND(IF(AND(F508:H508),C508*E508*F508*G508*H508,IF(AND(F508,G508),C508*E508*F508*G508,IF(AND(F508,H508),C508*E508*F508*H508,IF(AND(G508,H508),C508*E508*G508*H508,IF(F508,C508*E508*F508,IF(G508,C508*E508*G508,IF(H508,C508*E508*H508,C508*E508))))))),2)</f>
        <v>4.0999999999999996</v>
      </c>
      <c r="J508" s="195" t="s">
        <v>102</v>
      </c>
      <c r="K508" s="147"/>
      <c r="L508" s="210"/>
      <c r="M508" s="147"/>
    </row>
    <row r="509" spans="1:13" s="148" customFormat="1" ht="16.5" hidden="1" customHeight="1">
      <c r="A509" s="110"/>
      <c r="B509" s="147" t="s">
        <v>1030</v>
      </c>
      <c r="C509" s="183">
        <v>1</v>
      </c>
      <c r="D509" s="205" t="s">
        <v>268</v>
      </c>
      <c r="E509" s="156">
        <v>1</v>
      </c>
      <c r="F509" s="157">
        <v>1.4</v>
      </c>
      <c r="G509" s="157">
        <v>1.4</v>
      </c>
      <c r="H509" s="157">
        <v>0</v>
      </c>
      <c r="I509" s="207">
        <f>ROUND(IF(AND(F509:H509),C509*E509*F509*G509*H509,IF(AND(F509,G509),C509*E509*F509*G509,IF(AND(F509,H509),C509*E509*F509*H509,IF(AND(G509,H509),C509*E509*G509*H509,IF(F509,C509*E509*F509,IF(G509,C509*E509*G509,IF(H509,C509*E509*H509,C509*E509))))))),2)</f>
        <v>1.96</v>
      </c>
      <c r="J509" s="195" t="s">
        <v>102</v>
      </c>
      <c r="K509" s="147"/>
      <c r="L509" s="210"/>
      <c r="M509" s="147"/>
    </row>
    <row r="510" spans="1:13" s="148" customFormat="1" ht="16.5" hidden="1" customHeight="1">
      <c r="A510" s="110"/>
      <c r="B510" s="149"/>
      <c r="C510" s="150"/>
      <c r="D510" s="151"/>
      <c r="E510" s="152"/>
      <c r="F510" s="153"/>
      <c r="G510" s="153"/>
      <c r="H510" s="153"/>
      <c r="I510" s="185"/>
      <c r="J510" s="195"/>
      <c r="K510" s="147"/>
      <c r="L510" s="210"/>
      <c r="M510" s="147"/>
    </row>
    <row r="511" spans="1:13" hidden="1">
      <c r="A511" s="110"/>
      <c r="B511" s="147"/>
      <c r="C511" s="154"/>
      <c r="D511" s="155"/>
      <c r="E511" s="156"/>
      <c r="F511" s="157"/>
      <c r="G511" s="158"/>
      <c r="H511" s="110"/>
      <c r="I511" s="185"/>
      <c r="J511" s="195" t="s">
        <v>102</v>
      </c>
      <c r="K511" s="12">
        <f>'DATA 2025-26'!F274</f>
        <v>668.77</v>
      </c>
      <c r="L511" s="210" t="s">
        <v>270</v>
      </c>
      <c r="M511" s="11">
        <f>ROUND(I511*K511,0)</f>
        <v>0</v>
      </c>
    </row>
    <row r="512" spans="1:13" ht="17.25" hidden="1" customHeight="1">
      <c r="A512" s="110">
        <v>4</v>
      </c>
      <c r="B512" s="964" t="s">
        <v>568</v>
      </c>
      <c r="C512" s="964"/>
      <c r="D512" s="964"/>
      <c r="E512" s="964"/>
      <c r="F512" s="964"/>
      <c r="G512" s="964"/>
      <c r="H512" s="964"/>
      <c r="I512" s="183"/>
      <c r="J512" s="186"/>
      <c r="K512" s="110"/>
      <c r="L512" s="210"/>
      <c r="M512" s="139"/>
    </row>
    <row r="513" spans="1:13" s="148" customFormat="1" ht="16.5" hidden="1" customHeight="1">
      <c r="A513" s="110"/>
      <c r="B513" s="147" t="s">
        <v>1809</v>
      </c>
      <c r="C513" s="183">
        <v>1</v>
      </c>
      <c r="D513" s="205" t="s">
        <v>268</v>
      </c>
      <c r="E513" s="156">
        <v>2</v>
      </c>
      <c r="F513" s="157">
        <v>5.9400000000000013</v>
      </c>
      <c r="G513" s="157">
        <v>0.23</v>
      </c>
      <c r="H513" s="157">
        <v>0.23</v>
      </c>
      <c r="I513" s="207">
        <f>ROUND(IF(AND(F513:H513),C513*E513*F513*G513*H513,IF(AND(F513,G513),C513*E513*F513*G513,IF(AND(F513,H513),C513*E513*F513*H513,IF(AND(G513,H513),C513*E513*G513*H513,IF(F513,C513*E513*F513,IF(G513,C513*E513*G513,IF(H513,C513*E513*H513,C513*E513))))))),2)</f>
        <v>0.63</v>
      </c>
      <c r="J513" s="195" t="s">
        <v>5</v>
      </c>
      <c r="K513" s="147"/>
      <c r="L513" s="110"/>
      <c r="M513" s="147"/>
    </row>
    <row r="514" spans="1:13" s="148" customFormat="1" ht="16.5" hidden="1" customHeight="1">
      <c r="A514" s="110"/>
      <c r="B514" s="147"/>
      <c r="C514" s="183">
        <v>1</v>
      </c>
      <c r="D514" s="205" t="s">
        <v>268</v>
      </c>
      <c r="E514" s="156">
        <v>2</v>
      </c>
      <c r="F514" s="157">
        <v>6.85</v>
      </c>
      <c r="G514" s="157">
        <v>0.23</v>
      </c>
      <c r="H514" s="157">
        <v>0.23</v>
      </c>
      <c r="I514" s="207">
        <f>ROUND(IF(AND(F514:H514),C514*E514*F514*G514*H514,IF(AND(F514,G514),C514*E514*F514*G514,IF(AND(F514,H514),C514*E514*F514*H514,IF(AND(G514,H514),C514*E514*G514*H514,IF(F514,C514*E514*F514,IF(G514,C514*E514*G514,IF(H514,C514*E514*H514,C514*E514))))))),2)</f>
        <v>0.72</v>
      </c>
      <c r="J514" s="195" t="s">
        <v>5</v>
      </c>
      <c r="K514" s="147"/>
      <c r="L514" s="110"/>
      <c r="M514" s="147"/>
    </row>
    <row r="515" spans="1:13" s="148" customFormat="1" ht="16.5" hidden="1" customHeight="1">
      <c r="A515" s="110"/>
      <c r="B515" s="149"/>
      <c r="C515" s="150"/>
      <c r="D515" s="151"/>
      <c r="E515" s="152"/>
      <c r="F515" s="157"/>
      <c r="G515" s="157"/>
      <c r="H515" s="157"/>
      <c r="I515" s="185"/>
      <c r="J515" s="195"/>
      <c r="K515" s="147"/>
      <c r="L515" s="210"/>
      <c r="M515" s="147"/>
    </row>
    <row r="516" spans="1:13" hidden="1">
      <c r="A516" s="110"/>
      <c r="B516" s="147"/>
      <c r="C516" s="154"/>
      <c r="D516" s="155"/>
      <c r="E516" s="156"/>
      <c r="F516" s="157"/>
      <c r="G516" s="158"/>
      <c r="H516" s="110"/>
      <c r="I516" s="185"/>
      <c r="J516" s="195" t="s">
        <v>5</v>
      </c>
      <c r="K516" s="12">
        <f>'DATA 2025-26'!F173</f>
        <v>13608.179999999998</v>
      </c>
      <c r="L516" s="210" t="s">
        <v>269</v>
      </c>
      <c r="M516" s="11">
        <f>ROUND(I516*K516,0)</f>
        <v>0</v>
      </c>
    </row>
    <row r="517" spans="1:13" ht="17.25" hidden="1" customHeight="1">
      <c r="A517" s="110">
        <v>5</v>
      </c>
      <c r="B517" s="964" t="s">
        <v>636</v>
      </c>
      <c r="C517" s="964"/>
      <c r="D517" s="964"/>
      <c r="E517" s="964"/>
      <c r="F517" s="964"/>
      <c r="G517" s="964"/>
      <c r="H517" s="964"/>
      <c r="I517" s="183"/>
      <c r="J517" s="186"/>
      <c r="K517" s="110"/>
      <c r="L517" s="210"/>
      <c r="M517" s="139"/>
    </row>
    <row r="518" spans="1:13" s="148" customFormat="1" ht="15" hidden="1">
      <c r="A518" s="110"/>
      <c r="B518" s="147"/>
      <c r="C518" s="183">
        <v>1</v>
      </c>
      <c r="D518" s="205" t="s">
        <v>268</v>
      </c>
      <c r="E518" s="156">
        <v>6</v>
      </c>
      <c r="F518" s="157">
        <v>1.5</v>
      </c>
      <c r="G518" s="157">
        <v>0</v>
      </c>
      <c r="H518" s="157">
        <v>0</v>
      </c>
      <c r="I518" s="207">
        <f>ROUND(IF(AND(F518:H518),C518*E518*F518*G518*H518,IF(AND(F518,G518),C518*E518*F518*G518,IF(AND(F518,H518),C518*E518*F518*H518,IF(AND(G518,H518),C518*E518*G518*H518,IF(F518,C518*E518*F518,IF(G518,C518*E518*G518,IF(H518,C518*E518*H518,C518*E518))))))),2)</f>
        <v>9</v>
      </c>
      <c r="J518" s="195" t="s">
        <v>274</v>
      </c>
      <c r="K518" s="147"/>
      <c r="L518" s="110"/>
      <c r="M518" s="147"/>
    </row>
    <row r="519" spans="1:13" s="148" customFormat="1" ht="15" hidden="1">
      <c r="A519" s="110"/>
      <c r="B519" s="149"/>
      <c r="C519" s="150"/>
      <c r="D519" s="151"/>
      <c r="E519" s="152"/>
      <c r="F519" s="153"/>
      <c r="G519" s="153"/>
      <c r="H519" s="153"/>
      <c r="I519" s="185"/>
      <c r="J519" s="195"/>
      <c r="K519" s="147"/>
      <c r="L519" s="210"/>
      <c r="M519" s="147"/>
    </row>
    <row r="520" spans="1:13" hidden="1">
      <c r="A520" s="110"/>
      <c r="B520" s="147"/>
      <c r="C520" s="154"/>
      <c r="D520" s="155"/>
      <c r="E520" s="156"/>
      <c r="F520" s="157"/>
      <c r="G520" s="158"/>
      <c r="H520" s="110"/>
      <c r="I520" s="185"/>
      <c r="J520" s="195" t="s">
        <v>274</v>
      </c>
      <c r="K520" s="12">
        <f>'DATA 2025-26'!F244</f>
        <v>1091.03</v>
      </c>
      <c r="L520" s="210" t="s">
        <v>276</v>
      </c>
      <c r="M520" s="11">
        <f>ROUND(I520*K520,0)</f>
        <v>0</v>
      </c>
    </row>
    <row r="521" spans="1:13" ht="64.5" hidden="1" customHeight="1">
      <c r="A521" s="110">
        <v>1</v>
      </c>
      <c r="B521" s="964" t="s">
        <v>144</v>
      </c>
      <c r="C521" s="964"/>
      <c r="D521" s="964"/>
      <c r="E521" s="964"/>
      <c r="F521" s="964"/>
      <c r="G521" s="964"/>
      <c r="H521" s="964"/>
      <c r="I521" s="183"/>
      <c r="J521" s="186"/>
      <c r="K521" s="110"/>
      <c r="L521" s="210"/>
      <c r="M521" s="139"/>
    </row>
    <row r="522" spans="1:13" hidden="1">
      <c r="A522" s="110"/>
      <c r="B522" s="632" t="s">
        <v>2093</v>
      </c>
      <c r="C522" s="671"/>
      <c r="D522" s="672"/>
      <c r="E522" s="673"/>
      <c r="F522" s="632"/>
      <c r="G522" s="632"/>
      <c r="H522" s="632"/>
      <c r="I522" s="183"/>
      <c r="J522" s="186"/>
      <c r="K522" s="110"/>
      <c r="L522" s="210"/>
      <c r="M522" s="139"/>
    </row>
    <row r="523" spans="1:13" s="148" customFormat="1" ht="16.5" hidden="1" customHeight="1">
      <c r="A523" s="110"/>
      <c r="B523" s="147" t="s">
        <v>1850</v>
      </c>
      <c r="C523" s="183">
        <v>1</v>
      </c>
      <c r="D523" s="205" t="s">
        <v>268</v>
      </c>
      <c r="E523" s="156">
        <v>1</v>
      </c>
      <c r="F523" s="157">
        <v>9</v>
      </c>
      <c r="G523" s="157">
        <v>7.8</v>
      </c>
      <c r="H523" s="157">
        <v>0</v>
      </c>
      <c r="I523" s="207">
        <f>ROUND(IF(AND(F523:H523),C523*E523*F523*G523*H523,IF(AND(F523,G523),C523*E523*F523*G523,IF(AND(F523,H523),C523*E523*F523*H523,IF(AND(G523,H523),C523*E523*G523*H523,IF(F523,C523*E523*F523,IF(G523,C523*E523*G523,IF(H523,C523*E523*H523,C523*E523))))))),2)</f>
        <v>70.2</v>
      </c>
      <c r="J523" s="195" t="s">
        <v>102</v>
      </c>
      <c r="K523" s="147"/>
      <c r="L523" s="110"/>
      <c r="M523" s="147"/>
    </row>
    <row r="524" spans="1:13" s="148" customFormat="1" ht="16.5" hidden="1" customHeight="1">
      <c r="A524" s="110"/>
      <c r="B524" s="147"/>
      <c r="C524" s="183">
        <v>1</v>
      </c>
      <c r="D524" s="205" t="s">
        <v>268</v>
      </c>
      <c r="E524" s="156">
        <v>1</v>
      </c>
      <c r="F524" s="157">
        <v>1.8</v>
      </c>
      <c r="G524" s="157">
        <v>1.65</v>
      </c>
      <c r="H524" s="157">
        <v>0</v>
      </c>
      <c r="I524" s="207">
        <f>-ROUND(IF(AND(F524:H524),C524*E524*F524*G524*H524,IF(AND(F524,G524),C524*E524*F524*G524,IF(AND(F524,H524),C524*E524*F524*H524,IF(AND(G524,H524),C524*E524*G524*H524,IF(F524,C524*E524*F524,IF(G524,C524*E524*G524,IF(H524,C524*E524*H524,C524*E524))))))),2)</f>
        <v>-2.97</v>
      </c>
      <c r="J524" s="195" t="s">
        <v>102</v>
      </c>
      <c r="K524" s="147"/>
      <c r="L524" s="110"/>
      <c r="M524" s="147"/>
    </row>
    <row r="525" spans="1:13" s="148" customFormat="1" ht="16.5" hidden="1" customHeight="1">
      <c r="A525" s="110"/>
      <c r="B525" s="149"/>
      <c r="C525" s="150"/>
      <c r="D525" s="151"/>
      <c r="E525" s="152"/>
      <c r="F525" s="153"/>
      <c r="G525" s="153"/>
      <c r="H525" s="153"/>
      <c r="I525" s="185"/>
      <c r="J525" s="195"/>
      <c r="K525" s="147"/>
      <c r="L525" s="210"/>
      <c r="M525" s="147"/>
    </row>
    <row r="526" spans="1:13" hidden="1">
      <c r="A526" s="110"/>
      <c r="B526" s="147"/>
      <c r="C526" s="154"/>
      <c r="D526" s="155"/>
      <c r="E526" s="156"/>
      <c r="F526" s="157"/>
      <c r="G526" s="158"/>
      <c r="H526" s="110"/>
      <c r="I526" s="185"/>
      <c r="J526" s="195" t="s">
        <v>102</v>
      </c>
      <c r="K526" s="12">
        <f>'DATA 2025-26'!F611</f>
        <v>421.37</v>
      </c>
      <c r="L526" s="210" t="s">
        <v>270</v>
      </c>
      <c r="M526" s="11">
        <f>ROUND(I526*K526,0)</f>
        <v>0</v>
      </c>
    </row>
    <row r="527" spans="1:13" ht="64.5" hidden="1" customHeight="1">
      <c r="A527" s="110">
        <v>13</v>
      </c>
      <c r="B527" s="964" t="s">
        <v>1114</v>
      </c>
      <c r="C527" s="964"/>
      <c r="D527" s="964"/>
      <c r="E527" s="964"/>
      <c r="F527" s="964"/>
      <c r="G527" s="964"/>
      <c r="H527" s="964"/>
      <c r="I527" s="183"/>
      <c r="J527" s="186"/>
      <c r="K527" s="110"/>
      <c r="L527" s="210"/>
      <c r="M527" s="139"/>
    </row>
    <row r="528" spans="1:13" s="148" customFormat="1" ht="16.5" hidden="1" customHeight="1">
      <c r="A528" s="110"/>
      <c r="B528" s="147" t="s">
        <v>1307</v>
      </c>
      <c r="C528" s="183"/>
      <c r="D528" s="205"/>
      <c r="E528" s="156"/>
      <c r="F528" s="157"/>
      <c r="G528" s="157"/>
      <c r="H528" s="157"/>
      <c r="I528" s="206"/>
      <c r="J528" s="195"/>
      <c r="K528" s="147"/>
      <c r="L528" s="210"/>
      <c r="M528" s="147"/>
    </row>
    <row r="529" spans="1:13" s="148" customFormat="1" ht="16.5" hidden="1" customHeight="1">
      <c r="A529" s="110"/>
      <c r="B529" s="147"/>
      <c r="C529" s="183">
        <v>1</v>
      </c>
      <c r="D529" s="205" t="s">
        <v>268</v>
      </c>
      <c r="E529" s="156">
        <v>1</v>
      </c>
      <c r="F529" s="157">
        <v>10.45</v>
      </c>
      <c r="G529" s="157">
        <v>12</v>
      </c>
      <c r="H529" s="157">
        <v>0</v>
      </c>
      <c r="I529" s="207">
        <f>ROUND(IF(AND(F529:H529),C529*E529*F529*G529*H529,IF(AND(F529,G529),C529*E529*F529*G529,IF(AND(F529,H529),C529*E529*F529*H529,IF(AND(G529,H529),C529*E529*G529*H529,IF(F529,C529*E529*F529,IF(G529,C529*E529*G529,IF(H529,C529*E529*H529,C529*E529))))))),2)</f>
        <v>125.4</v>
      </c>
      <c r="J529" s="195" t="s">
        <v>102</v>
      </c>
      <c r="K529" s="147"/>
      <c r="L529" s="210"/>
      <c r="M529" s="147"/>
    </row>
    <row r="530" spans="1:13" s="148" customFormat="1" ht="16.5" hidden="1" customHeight="1">
      <c r="A530" s="110"/>
      <c r="B530" s="147"/>
      <c r="C530" s="183">
        <v>1</v>
      </c>
      <c r="D530" s="205" t="s">
        <v>268</v>
      </c>
      <c r="E530" s="156">
        <v>1</v>
      </c>
      <c r="F530" s="157">
        <v>3.52</v>
      </c>
      <c r="G530" s="157">
        <v>0.92</v>
      </c>
      <c r="H530" s="157">
        <v>0</v>
      </c>
      <c r="I530" s="207">
        <f>ROUND(IF(AND(F530:H530),C530*E530*F530*G530*H530,IF(AND(F530,G530),C530*E530*F530*G530,IF(AND(F530,H530),C530*E530*F530*H530,IF(AND(G530,H530),C530*E530*G530*H530,IF(F530,C530*E530*F530,IF(G530,C530*E530*G530,IF(H530,C530*E530*H530,C530*E530))))))),2)</f>
        <v>3.24</v>
      </c>
      <c r="J530" s="195" t="s">
        <v>102</v>
      </c>
      <c r="K530" s="147"/>
      <c r="L530" s="210"/>
      <c r="M530" s="147"/>
    </row>
    <row r="531" spans="1:13" s="148" customFormat="1" ht="16.5" hidden="1" customHeight="1">
      <c r="A531" s="110"/>
      <c r="B531" s="149"/>
      <c r="C531" s="150"/>
      <c r="D531" s="151"/>
      <c r="E531" s="152"/>
      <c r="F531" s="153"/>
      <c r="G531" s="153"/>
      <c r="H531" s="153"/>
      <c r="I531" s="185"/>
      <c r="J531" s="195"/>
      <c r="K531" s="147"/>
      <c r="L531" s="210"/>
      <c r="M531" s="147"/>
    </row>
    <row r="532" spans="1:13" hidden="1">
      <c r="A532" s="110"/>
      <c r="B532" s="147"/>
      <c r="C532" s="154"/>
      <c r="D532" s="155"/>
      <c r="E532" s="156"/>
      <c r="F532" s="157"/>
      <c r="G532" s="158"/>
      <c r="H532" s="110"/>
      <c r="I532" s="185"/>
      <c r="J532" s="195" t="s">
        <v>102</v>
      </c>
      <c r="K532" s="12">
        <f>'DATA 2025-26'!F626</f>
        <v>483.74</v>
      </c>
      <c r="L532" s="210" t="s">
        <v>270</v>
      </c>
      <c r="M532" s="11">
        <f>ROUND(I532*K532,0)</f>
        <v>0</v>
      </c>
    </row>
    <row r="533" spans="1:13" ht="69.75" hidden="1" customHeight="1">
      <c r="A533" s="110">
        <v>7</v>
      </c>
      <c r="B533" s="964" t="s">
        <v>301</v>
      </c>
      <c r="C533" s="964"/>
      <c r="D533" s="964"/>
      <c r="E533" s="964"/>
      <c r="F533" s="964"/>
      <c r="G533" s="964"/>
      <c r="H533" s="964"/>
      <c r="I533" s="183"/>
      <c r="J533" s="186"/>
      <c r="K533" s="110"/>
      <c r="L533" s="210"/>
      <c r="M533" s="139"/>
    </row>
    <row r="534" spans="1:13" s="148" customFormat="1" ht="16.5" hidden="1" customHeight="1">
      <c r="A534" s="110"/>
      <c r="B534" s="147" t="s">
        <v>1803</v>
      </c>
      <c r="C534" s="183">
        <v>1</v>
      </c>
      <c r="D534" s="205" t="s">
        <v>268</v>
      </c>
      <c r="E534" s="156">
        <v>2</v>
      </c>
      <c r="F534" s="157">
        <v>7.3100000000000005</v>
      </c>
      <c r="G534" s="157">
        <v>0.23</v>
      </c>
      <c r="H534" s="157">
        <v>2.75</v>
      </c>
      <c r="I534" s="207">
        <f>ROUND(IF(AND(F534:H534),C534*E534*F534*G534*H534,IF(AND(F534,G534),C534*E534*F534*G534,IF(AND(F534,H534),C534*E534*F534*H534,IF(AND(G534,H534),C534*E534*G534*H534,IF(F534,C534*E534*F534,IF(G534,C534*E534*G534,IF(H534,C534*E534*H534,C534*E534))))))),2)</f>
        <v>9.25</v>
      </c>
      <c r="J534" s="195" t="s">
        <v>5</v>
      </c>
      <c r="K534" s="147"/>
      <c r="L534" s="110"/>
      <c r="M534" s="147"/>
    </row>
    <row r="535" spans="1:13" s="148" customFormat="1" ht="16.5" hidden="1" customHeight="1">
      <c r="A535" s="110"/>
      <c r="B535" s="147" t="s">
        <v>1812</v>
      </c>
      <c r="C535" s="183">
        <v>1</v>
      </c>
      <c r="D535" s="205" t="s">
        <v>268</v>
      </c>
      <c r="E535" s="156">
        <v>2</v>
      </c>
      <c r="F535" s="157">
        <v>5.9400000000000013</v>
      </c>
      <c r="G535" s="157">
        <v>0.23</v>
      </c>
      <c r="H535" s="157">
        <v>2.75</v>
      </c>
      <c r="I535" s="207">
        <f>ROUND(IF(AND(F535:H535),C535*E535*F535*G535*H535,IF(AND(F535,G535),C535*E535*F535*G535,IF(AND(F535,H535),C535*E535*F535*H535,IF(AND(G535,H535),C535*E535*G535*H535,IF(F535,C535*E535*F535,IF(G535,C535*E535*G535,IF(H535,C535*E535*H535,C535*E535))))))),2)</f>
        <v>7.51</v>
      </c>
      <c r="J535" s="195" t="s">
        <v>5</v>
      </c>
      <c r="K535" s="147"/>
      <c r="L535" s="110"/>
      <c r="M535" s="147"/>
    </row>
    <row r="536" spans="1:13" s="148" customFormat="1" ht="16.5" hidden="1" customHeight="1">
      <c r="A536" s="110"/>
      <c r="B536" s="147" t="s">
        <v>1804</v>
      </c>
      <c r="C536" s="183"/>
      <c r="D536" s="205"/>
      <c r="E536" s="156"/>
      <c r="F536" s="157"/>
      <c r="G536" s="157"/>
      <c r="H536" s="157"/>
      <c r="I536" s="207"/>
      <c r="J536" s="195"/>
      <c r="K536" s="147"/>
      <c r="L536" s="110"/>
      <c r="M536" s="147"/>
    </row>
    <row r="537" spans="1:13" s="148" customFormat="1" ht="16.5" hidden="1" customHeight="1">
      <c r="A537" s="110"/>
      <c r="B537" s="147" t="s">
        <v>1805</v>
      </c>
      <c r="C537" s="183">
        <v>-1</v>
      </c>
      <c r="D537" s="205" t="s">
        <v>268</v>
      </c>
      <c r="E537" s="156">
        <v>1</v>
      </c>
      <c r="F537" s="157">
        <v>1.05</v>
      </c>
      <c r="G537" s="157">
        <v>0.23</v>
      </c>
      <c r="H537" s="157">
        <v>2.13</v>
      </c>
      <c r="I537" s="207">
        <f t="shared" ref="I537:I542" si="58">ROUND(IF(AND(F537:H537),C537*E537*F537*G537*H537,IF(AND(F537,G537),C537*E537*F537*G537,IF(AND(F537,H537),C537*E537*F537*H537,IF(AND(G537,H537),C537*E537*G537*H537,IF(F537,C537*E537*F537,IF(G537,C537*E537*G537,IF(H537,C537*E537*H537,C537*E537))))))),2)</f>
        <v>-0.51</v>
      </c>
      <c r="J537" s="195" t="s">
        <v>5</v>
      </c>
      <c r="K537" s="147"/>
      <c r="L537" s="110"/>
      <c r="M537" s="147"/>
    </row>
    <row r="538" spans="1:13" s="148" customFormat="1" ht="16.5" hidden="1" customHeight="1">
      <c r="A538" s="110"/>
      <c r="B538" s="147" t="s">
        <v>1806</v>
      </c>
      <c r="C538" s="183">
        <v>-1</v>
      </c>
      <c r="D538" s="205" t="s">
        <v>268</v>
      </c>
      <c r="E538" s="156">
        <v>6</v>
      </c>
      <c r="F538" s="157">
        <v>1.22</v>
      </c>
      <c r="G538" s="157">
        <v>0.23</v>
      </c>
      <c r="H538" s="157">
        <v>1.22</v>
      </c>
      <c r="I538" s="207">
        <f t="shared" si="58"/>
        <v>-2.0499999999999998</v>
      </c>
      <c r="J538" s="195" t="s">
        <v>5</v>
      </c>
      <c r="K538" s="147"/>
      <c r="L538" s="110"/>
      <c r="M538" s="147"/>
    </row>
    <row r="539" spans="1:13" s="148" customFormat="1" ht="16.5" hidden="1" customHeight="1">
      <c r="A539" s="110"/>
      <c r="B539" s="147"/>
      <c r="C539" s="183">
        <v>-1</v>
      </c>
      <c r="D539" s="205" t="s">
        <v>268</v>
      </c>
      <c r="E539" s="156">
        <v>2</v>
      </c>
      <c r="F539" s="157">
        <v>0.9</v>
      </c>
      <c r="G539" s="157">
        <v>0.23</v>
      </c>
      <c r="H539" s="157">
        <v>0.9</v>
      </c>
      <c r="I539" s="207">
        <f t="shared" si="58"/>
        <v>-0.37</v>
      </c>
      <c r="J539" s="195" t="s">
        <v>5</v>
      </c>
      <c r="K539" s="147"/>
      <c r="L539" s="110"/>
      <c r="M539" s="147"/>
    </row>
    <row r="540" spans="1:13" s="148" customFormat="1" ht="16.5" hidden="1" customHeight="1">
      <c r="A540" s="110"/>
      <c r="B540" s="147" t="s">
        <v>1807</v>
      </c>
      <c r="C540" s="183">
        <v>-1</v>
      </c>
      <c r="D540" s="205" t="s">
        <v>268</v>
      </c>
      <c r="E540" s="156">
        <v>8</v>
      </c>
      <c r="F540" s="157">
        <v>0.9</v>
      </c>
      <c r="G540" s="157">
        <v>0.23</v>
      </c>
      <c r="H540" s="157">
        <v>0.3</v>
      </c>
      <c r="I540" s="207">
        <f t="shared" si="58"/>
        <v>-0.5</v>
      </c>
      <c r="J540" s="195" t="s">
        <v>5</v>
      </c>
      <c r="K540" s="147"/>
      <c r="L540" s="110"/>
      <c r="M540" s="147"/>
    </row>
    <row r="541" spans="1:13" s="148" customFormat="1" ht="16.5" hidden="1" customHeight="1">
      <c r="A541" s="110"/>
      <c r="B541" s="147" t="s">
        <v>1808</v>
      </c>
      <c r="C541" s="183">
        <v>-1</v>
      </c>
      <c r="D541" s="205" t="s">
        <v>268</v>
      </c>
      <c r="E541" s="156">
        <v>2</v>
      </c>
      <c r="F541" s="157">
        <v>7.3100000000000005</v>
      </c>
      <c r="G541" s="157">
        <v>0.23</v>
      </c>
      <c r="H541" s="157">
        <v>0.23</v>
      </c>
      <c r="I541" s="207">
        <f t="shared" si="58"/>
        <v>-0.77</v>
      </c>
      <c r="J541" s="195" t="s">
        <v>5</v>
      </c>
      <c r="K541" s="147"/>
      <c r="L541" s="110"/>
      <c r="M541" s="147"/>
    </row>
    <row r="542" spans="1:13" s="148" customFormat="1" ht="16.5" hidden="1" customHeight="1">
      <c r="A542" s="110"/>
      <c r="B542" s="147"/>
      <c r="C542" s="183">
        <v>-1</v>
      </c>
      <c r="D542" s="205" t="s">
        <v>268</v>
      </c>
      <c r="E542" s="156">
        <v>2</v>
      </c>
      <c r="F542" s="157">
        <v>5.9400000000000013</v>
      </c>
      <c r="G542" s="157">
        <v>0.23</v>
      </c>
      <c r="H542" s="157">
        <v>0.23</v>
      </c>
      <c r="I542" s="207">
        <f t="shared" si="58"/>
        <v>-0.63</v>
      </c>
      <c r="J542" s="195" t="s">
        <v>5</v>
      </c>
      <c r="K542" s="147"/>
      <c r="L542" s="110"/>
      <c r="M542" s="147"/>
    </row>
    <row r="543" spans="1:13" s="148" customFormat="1" ht="16.5" hidden="1" customHeight="1">
      <c r="A543" s="110"/>
      <c r="B543" s="149"/>
      <c r="C543" s="150"/>
      <c r="D543" s="151"/>
      <c r="E543" s="152"/>
      <c r="F543" s="153"/>
      <c r="G543" s="153"/>
      <c r="H543" s="153"/>
      <c r="I543" s="185"/>
      <c r="J543" s="195"/>
      <c r="K543" s="147"/>
      <c r="L543" s="210"/>
      <c r="M543" s="147"/>
    </row>
    <row r="544" spans="1:13" hidden="1">
      <c r="A544" s="110"/>
      <c r="B544" s="147"/>
      <c r="C544" s="154"/>
      <c r="D544" s="155"/>
      <c r="E544" s="156"/>
      <c r="F544" s="157"/>
      <c r="G544" s="158"/>
      <c r="H544" s="110"/>
      <c r="I544" s="185"/>
      <c r="J544" s="195" t="s">
        <v>5</v>
      </c>
      <c r="K544" s="12">
        <f>'DATA 2025-26'!F430</f>
        <v>8935.9399999999987</v>
      </c>
      <c r="L544" s="210" t="s">
        <v>269</v>
      </c>
      <c r="M544" s="11">
        <f>ROUND(I544*K544,0)</f>
        <v>0</v>
      </c>
    </row>
    <row r="545" spans="1:13" ht="69.75" hidden="1" customHeight="1">
      <c r="A545" s="110">
        <v>8</v>
      </c>
      <c r="B545" s="964" t="s">
        <v>637</v>
      </c>
      <c r="C545" s="964"/>
      <c r="D545" s="964"/>
      <c r="E545" s="964"/>
      <c r="F545" s="964"/>
      <c r="G545" s="964"/>
      <c r="H545" s="964"/>
      <c r="I545" s="183"/>
      <c r="J545" s="186"/>
      <c r="K545" s="110"/>
      <c r="L545" s="210"/>
      <c r="M545" s="139"/>
    </row>
    <row r="546" spans="1:13" s="148" customFormat="1" ht="16.5" hidden="1" customHeight="1">
      <c r="A546" s="110"/>
      <c r="B546" s="147" t="s">
        <v>1380</v>
      </c>
      <c r="C546" s="183"/>
      <c r="D546" s="205"/>
      <c r="E546" s="156"/>
      <c r="F546" s="157"/>
      <c r="G546" s="157"/>
      <c r="H546" s="157"/>
      <c r="I546" s="206"/>
      <c r="J546" s="195"/>
      <c r="K546" s="147"/>
      <c r="L546" s="110"/>
      <c r="M546" s="147"/>
    </row>
    <row r="547" spans="1:13" s="148" customFormat="1" ht="16.5" hidden="1" customHeight="1">
      <c r="A547" s="110"/>
      <c r="B547" s="147" t="s">
        <v>1357</v>
      </c>
      <c r="C547" s="183">
        <v>1</v>
      </c>
      <c r="D547" s="205" t="s">
        <v>268</v>
      </c>
      <c r="E547" s="156">
        <v>1</v>
      </c>
      <c r="F547" s="157">
        <v>9.06</v>
      </c>
      <c r="G547" s="157">
        <v>0.23</v>
      </c>
      <c r="H547" s="157">
        <v>2.1</v>
      </c>
      <c r="I547" s="207">
        <f t="shared" ref="I547:I553" si="59">ROUND(IF(AND(F547:H547),C547*E547*F547*G547*H547,IF(AND(F547,G547),C547*E547*F547*G547,IF(AND(F547,H547),C547*E547*F547*H547,IF(AND(G547,H547),C547*E547*G547*H547,IF(F547,C547*E547*F547,IF(G547,C547*E547*G547,IF(H547,C547*E547*H547,C547*E547))))))),2)</f>
        <v>4.38</v>
      </c>
      <c r="J547" s="195" t="s">
        <v>5</v>
      </c>
      <c r="K547" s="147"/>
      <c r="L547" s="110"/>
      <c r="M547" s="147"/>
    </row>
    <row r="548" spans="1:13" s="148" customFormat="1" ht="16.5" hidden="1" customHeight="1">
      <c r="A548" s="110"/>
      <c r="B548" s="147" t="s">
        <v>1358</v>
      </c>
      <c r="C548" s="183">
        <v>1</v>
      </c>
      <c r="D548" s="205" t="s">
        <v>268</v>
      </c>
      <c r="E548" s="156">
        <v>1</v>
      </c>
      <c r="F548" s="157">
        <v>3.16</v>
      </c>
      <c r="G548" s="157">
        <v>0.23</v>
      </c>
      <c r="H548" s="157">
        <v>2.1</v>
      </c>
      <c r="I548" s="207">
        <f t="shared" si="59"/>
        <v>1.53</v>
      </c>
      <c r="J548" s="195" t="s">
        <v>5</v>
      </c>
      <c r="K548" s="147"/>
      <c r="L548" s="110"/>
      <c r="M548" s="147"/>
    </row>
    <row r="549" spans="1:13" s="148" customFormat="1" ht="16.5" hidden="1" customHeight="1">
      <c r="A549" s="110"/>
      <c r="B549" s="147" t="s">
        <v>1352</v>
      </c>
      <c r="C549" s="183">
        <v>1</v>
      </c>
      <c r="D549" s="205" t="s">
        <v>268</v>
      </c>
      <c r="E549" s="156">
        <v>1</v>
      </c>
      <c r="F549" s="157">
        <v>3.1</v>
      </c>
      <c r="G549" s="157">
        <v>0.23</v>
      </c>
      <c r="H549" s="157">
        <v>2.1</v>
      </c>
      <c r="I549" s="207">
        <f t="shared" si="59"/>
        <v>1.5</v>
      </c>
      <c r="J549" s="195" t="s">
        <v>5</v>
      </c>
      <c r="K549" s="147"/>
      <c r="L549" s="110"/>
      <c r="M549" s="147"/>
    </row>
    <row r="550" spans="1:13" s="148" customFormat="1" ht="16.5" hidden="1" customHeight="1">
      <c r="A550" s="110"/>
      <c r="B550" s="147" t="s">
        <v>1359</v>
      </c>
      <c r="C550" s="183">
        <v>1</v>
      </c>
      <c r="D550" s="205" t="s">
        <v>268</v>
      </c>
      <c r="E550" s="156">
        <v>1</v>
      </c>
      <c r="F550" s="157">
        <v>12</v>
      </c>
      <c r="G550" s="157">
        <v>0.23</v>
      </c>
      <c r="H550" s="157">
        <v>2.1</v>
      </c>
      <c r="I550" s="207">
        <f t="shared" si="59"/>
        <v>5.8</v>
      </c>
      <c r="J550" s="195" t="s">
        <v>5</v>
      </c>
      <c r="K550" s="147"/>
      <c r="L550" s="110"/>
      <c r="M550" s="147"/>
    </row>
    <row r="551" spans="1:13" s="148" customFormat="1" ht="16.5" hidden="1" customHeight="1">
      <c r="A551" s="110"/>
      <c r="B551" s="147" t="s">
        <v>1349</v>
      </c>
      <c r="C551" s="183">
        <v>1</v>
      </c>
      <c r="D551" s="205" t="s">
        <v>268</v>
      </c>
      <c r="E551" s="156">
        <v>1</v>
      </c>
      <c r="F551" s="157">
        <v>3.16</v>
      </c>
      <c r="G551" s="157">
        <v>0.23</v>
      </c>
      <c r="H551" s="157">
        <v>2.1</v>
      </c>
      <c r="I551" s="207">
        <f t="shared" si="59"/>
        <v>1.53</v>
      </c>
      <c r="J551" s="195" t="s">
        <v>5</v>
      </c>
      <c r="K551" s="147"/>
      <c r="L551" s="110"/>
      <c r="M551" s="147"/>
    </row>
    <row r="552" spans="1:13" s="148" customFormat="1" ht="16.5" hidden="1" customHeight="1">
      <c r="A552" s="110"/>
      <c r="B552" s="147" t="s">
        <v>1356</v>
      </c>
      <c r="C552" s="183">
        <v>1</v>
      </c>
      <c r="D552" s="205" t="s">
        <v>268</v>
      </c>
      <c r="E552" s="156">
        <v>1</v>
      </c>
      <c r="F552" s="157">
        <v>3.1</v>
      </c>
      <c r="G552" s="157">
        <v>0.23</v>
      </c>
      <c r="H552" s="157">
        <v>2.1</v>
      </c>
      <c r="I552" s="207">
        <f t="shared" si="59"/>
        <v>1.5</v>
      </c>
      <c r="J552" s="195" t="s">
        <v>5</v>
      </c>
      <c r="K552" s="147"/>
      <c r="L552" s="110"/>
      <c r="M552" s="147"/>
    </row>
    <row r="553" spans="1:13" s="148" customFormat="1" ht="16.5" hidden="1" customHeight="1">
      <c r="A553" s="110"/>
      <c r="B553" s="147" t="s">
        <v>1355</v>
      </c>
      <c r="C553" s="183">
        <v>1</v>
      </c>
      <c r="D553" s="205" t="s">
        <v>268</v>
      </c>
      <c r="E553" s="156">
        <v>1</v>
      </c>
      <c r="F553" s="157">
        <v>3.16</v>
      </c>
      <c r="G553" s="157">
        <v>0.23</v>
      </c>
      <c r="H553" s="157">
        <v>2.1</v>
      </c>
      <c r="I553" s="207">
        <f t="shared" si="59"/>
        <v>1.53</v>
      </c>
      <c r="J553" s="195" t="s">
        <v>5</v>
      </c>
      <c r="K553" s="147"/>
      <c r="L553" s="110"/>
      <c r="M553" s="147"/>
    </row>
    <row r="554" spans="1:13" s="148" customFormat="1" ht="16.5" hidden="1" customHeight="1">
      <c r="A554" s="110"/>
      <c r="B554" s="147" t="s">
        <v>277</v>
      </c>
      <c r="C554" s="183">
        <v>1</v>
      </c>
      <c r="D554" s="205" t="s">
        <v>268</v>
      </c>
      <c r="E554" s="156">
        <v>5</v>
      </c>
      <c r="F554" s="157">
        <v>1.35</v>
      </c>
      <c r="G554" s="157">
        <v>0.23</v>
      </c>
      <c r="H554" s="157">
        <v>1.5</v>
      </c>
      <c r="I554" s="207">
        <f>-ROUND(IF(AND(F554:H554),C554*E554*F554*G554*H554,IF(AND(F554,G554),C554*E554*F554*G554,IF(AND(F554,H554),C554*E554*F554*H554,IF(AND(G554,H554),C554*E554*G554*H554,IF(F554,C554*E554*F554,IF(G554,C554*E554*G554,IF(H554,C554*E554*H554,C554*E554))))))),2)</f>
        <v>-2.33</v>
      </c>
      <c r="J554" s="195" t="s">
        <v>5</v>
      </c>
      <c r="K554" s="147"/>
      <c r="L554" s="110"/>
      <c r="M554" s="147"/>
    </row>
    <row r="555" spans="1:13" s="148" customFormat="1" ht="16.5" hidden="1" customHeight="1">
      <c r="A555" s="110"/>
      <c r="B555" s="147" t="s">
        <v>567</v>
      </c>
      <c r="C555" s="183">
        <v>1</v>
      </c>
      <c r="D555" s="205" t="s">
        <v>268</v>
      </c>
      <c r="E555" s="156">
        <v>1</v>
      </c>
      <c r="F555" s="157">
        <v>1.2</v>
      </c>
      <c r="G555" s="157">
        <v>0.23</v>
      </c>
      <c r="H555" s="157">
        <v>2.1</v>
      </c>
      <c r="I555" s="207">
        <f>-ROUND(IF(AND(F555:H555),C555*E555*F555*G555*H555,IF(AND(F555,G555),C555*E555*F555*G555,IF(AND(F555,H555),C555*E555*F555*H555,IF(AND(G555,H555),C555*E555*G555*H555,IF(F555,C555*E555*F555,IF(G555,C555*E555*G555,IF(H555,C555*E555*H555,C555*E555))))))),2)</f>
        <v>-0.57999999999999996</v>
      </c>
      <c r="J555" s="195" t="s">
        <v>5</v>
      </c>
      <c r="K555" s="147"/>
      <c r="L555" s="110"/>
      <c r="M555" s="147"/>
    </row>
    <row r="556" spans="1:13" s="148" customFormat="1" ht="16.5" hidden="1" customHeight="1">
      <c r="A556" s="110"/>
      <c r="B556" s="147" t="s">
        <v>567</v>
      </c>
      <c r="C556" s="183">
        <v>1</v>
      </c>
      <c r="D556" s="205" t="s">
        <v>268</v>
      </c>
      <c r="E556" s="156">
        <v>2</v>
      </c>
      <c r="F556" s="157">
        <v>1.0900000000000001</v>
      </c>
      <c r="G556" s="157">
        <v>0.23</v>
      </c>
      <c r="H556" s="157">
        <v>2.1</v>
      </c>
      <c r="I556" s="207">
        <f>-ROUND(IF(AND(F556:H556),C556*E556*F556*G556*H556,IF(AND(F556,G556),C556*E556*F556*G556,IF(AND(F556,H556),C556*E556*F556*H556,IF(AND(G556,H556),C556*E556*G556*H556,IF(F556,C556*E556*F556,IF(G556,C556*E556*G556,IF(H556,C556*E556*H556,C556*E556))))))),2)</f>
        <v>-1.05</v>
      </c>
      <c r="J556" s="195" t="s">
        <v>5</v>
      </c>
      <c r="K556" s="147"/>
      <c r="L556" s="110"/>
      <c r="M556" s="147"/>
    </row>
    <row r="557" spans="1:13" s="148" customFormat="1" ht="16.5" hidden="1" customHeight="1">
      <c r="A557" s="110"/>
      <c r="B557" s="147" t="s">
        <v>279</v>
      </c>
      <c r="C557" s="183">
        <v>1</v>
      </c>
      <c r="D557" s="205" t="s">
        <v>268</v>
      </c>
      <c r="E557" s="156">
        <v>5</v>
      </c>
      <c r="F557" s="157">
        <v>0.38</v>
      </c>
      <c r="G557" s="157">
        <v>0.23</v>
      </c>
      <c r="H557" s="157">
        <v>2.1</v>
      </c>
      <c r="I557" s="207">
        <f>-ROUND(IF(AND(F557:H557),C557*E557*F557*G557*H557,IF(AND(F557,G557),C557*E557*F557*G557,IF(AND(F557,H557),C557*E557*F557*H557,IF(AND(G557,H557),C557*E557*G557*H557,IF(F557,C557*E557*F557,IF(G557,C557*E557*G557,IF(H557,C557*E557*H557,C557*E557))))))),2)</f>
        <v>-0.92</v>
      </c>
      <c r="J557" s="195" t="s">
        <v>5</v>
      </c>
      <c r="K557" s="147"/>
      <c r="L557" s="110"/>
      <c r="M557" s="147"/>
    </row>
    <row r="558" spans="1:13" s="148" customFormat="1" ht="16.5" hidden="1" customHeight="1">
      <c r="A558" s="110"/>
      <c r="B558" s="147" t="s">
        <v>1382</v>
      </c>
      <c r="C558" s="183"/>
      <c r="D558" s="205"/>
      <c r="E558" s="156"/>
      <c r="F558" s="157"/>
      <c r="G558" s="157"/>
      <c r="H558" s="157"/>
      <c r="I558" s="206"/>
      <c r="J558" s="195"/>
      <c r="K558" s="147"/>
      <c r="L558" s="110"/>
      <c r="M558" s="147"/>
    </row>
    <row r="559" spans="1:13" s="148" customFormat="1" ht="16.5" hidden="1" customHeight="1">
      <c r="A559" s="110"/>
      <c r="B559" s="147" t="s">
        <v>1357</v>
      </c>
      <c r="C559" s="183">
        <v>1</v>
      </c>
      <c r="D559" s="205" t="s">
        <v>268</v>
      </c>
      <c r="E559" s="156">
        <v>1</v>
      </c>
      <c r="F559" s="157">
        <v>9.06</v>
      </c>
      <c r="G559" s="157">
        <v>0.23</v>
      </c>
      <c r="H559" s="157">
        <v>0.6</v>
      </c>
      <c r="I559" s="207">
        <f t="shared" ref="I559:I565" si="60">ROUND(IF(AND(F559:H559),C559*E559*F559*G559*H559,IF(AND(F559,G559),C559*E559*F559*G559,IF(AND(F559,H559),C559*E559*F559*H559,IF(AND(G559,H559),C559*E559*G559*H559,IF(F559,C559*E559*F559,IF(G559,C559*E559*G559,IF(H559,C559*E559*H559,C559*E559))))))),2)</f>
        <v>1.25</v>
      </c>
      <c r="J559" s="195" t="s">
        <v>5</v>
      </c>
      <c r="K559" s="147"/>
      <c r="L559" s="110"/>
      <c r="M559" s="147"/>
    </row>
    <row r="560" spans="1:13" s="148" customFormat="1" ht="16.5" hidden="1" customHeight="1">
      <c r="A560" s="110"/>
      <c r="B560" s="147" t="s">
        <v>1358</v>
      </c>
      <c r="C560" s="183">
        <v>1</v>
      </c>
      <c r="D560" s="205" t="s">
        <v>268</v>
      </c>
      <c r="E560" s="156">
        <v>1</v>
      </c>
      <c r="F560" s="157">
        <v>3.16</v>
      </c>
      <c r="G560" s="157">
        <v>0.23</v>
      </c>
      <c r="H560" s="157">
        <v>0.6</v>
      </c>
      <c r="I560" s="207">
        <f t="shared" si="60"/>
        <v>0.44</v>
      </c>
      <c r="J560" s="195" t="s">
        <v>5</v>
      </c>
      <c r="K560" s="147"/>
      <c r="L560" s="110"/>
      <c r="M560" s="147"/>
    </row>
    <row r="561" spans="1:13" s="148" customFormat="1" ht="16.5" hidden="1" customHeight="1">
      <c r="A561" s="110"/>
      <c r="B561" s="147" t="s">
        <v>1352</v>
      </c>
      <c r="C561" s="183">
        <v>1</v>
      </c>
      <c r="D561" s="205" t="s">
        <v>268</v>
      </c>
      <c r="E561" s="156">
        <v>1</v>
      </c>
      <c r="F561" s="157">
        <v>3.1</v>
      </c>
      <c r="G561" s="157">
        <v>0.23</v>
      </c>
      <c r="H561" s="157">
        <v>0.6</v>
      </c>
      <c r="I561" s="207">
        <f t="shared" si="60"/>
        <v>0.43</v>
      </c>
      <c r="J561" s="195" t="s">
        <v>5</v>
      </c>
      <c r="K561" s="147"/>
      <c r="L561" s="110"/>
      <c r="M561" s="147"/>
    </row>
    <row r="562" spans="1:13" s="148" customFormat="1" ht="16.5" hidden="1" customHeight="1">
      <c r="A562" s="110"/>
      <c r="B562" s="147" t="s">
        <v>1359</v>
      </c>
      <c r="C562" s="183">
        <v>1</v>
      </c>
      <c r="D562" s="205" t="s">
        <v>268</v>
      </c>
      <c r="E562" s="156">
        <v>1</v>
      </c>
      <c r="F562" s="157">
        <v>12</v>
      </c>
      <c r="G562" s="157">
        <v>0.23</v>
      </c>
      <c r="H562" s="157">
        <v>0.6</v>
      </c>
      <c r="I562" s="207">
        <f t="shared" si="60"/>
        <v>1.66</v>
      </c>
      <c r="J562" s="195" t="s">
        <v>5</v>
      </c>
      <c r="K562" s="147"/>
      <c r="L562" s="110"/>
      <c r="M562" s="147"/>
    </row>
    <row r="563" spans="1:13" s="148" customFormat="1" ht="16.5" hidden="1" customHeight="1">
      <c r="A563" s="110"/>
      <c r="B563" s="147" t="s">
        <v>1349</v>
      </c>
      <c r="C563" s="183">
        <v>1</v>
      </c>
      <c r="D563" s="205" t="s">
        <v>268</v>
      </c>
      <c r="E563" s="156">
        <v>1</v>
      </c>
      <c r="F563" s="157">
        <v>3.16</v>
      </c>
      <c r="G563" s="157">
        <v>0.23</v>
      </c>
      <c r="H563" s="157">
        <v>0.6</v>
      </c>
      <c r="I563" s="207">
        <f t="shared" si="60"/>
        <v>0.44</v>
      </c>
      <c r="J563" s="195" t="s">
        <v>5</v>
      </c>
      <c r="K563" s="147"/>
      <c r="L563" s="110"/>
      <c r="M563" s="147"/>
    </row>
    <row r="564" spans="1:13" s="148" customFormat="1" ht="16.5" hidden="1" customHeight="1">
      <c r="A564" s="110"/>
      <c r="B564" s="147" t="s">
        <v>1356</v>
      </c>
      <c r="C564" s="183">
        <v>1</v>
      </c>
      <c r="D564" s="205" t="s">
        <v>268</v>
      </c>
      <c r="E564" s="156">
        <v>1</v>
      </c>
      <c r="F564" s="157">
        <v>3.1</v>
      </c>
      <c r="G564" s="157">
        <v>0.23</v>
      </c>
      <c r="H564" s="157">
        <v>0.6</v>
      </c>
      <c r="I564" s="207">
        <f t="shared" si="60"/>
        <v>0.43</v>
      </c>
      <c r="J564" s="195" t="s">
        <v>5</v>
      </c>
      <c r="K564" s="147"/>
      <c r="L564" s="110"/>
      <c r="M564" s="147"/>
    </row>
    <row r="565" spans="1:13" s="148" customFormat="1" ht="16.5" hidden="1" customHeight="1">
      <c r="A565" s="110"/>
      <c r="B565" s="147"/>
      <c r="C565" s="183">
        <v>1</v>
      </c>
      <c r="D565" s="205" t="s">
        <v>268</v>
      </c>
      <c r="E565" s="156">
        <v>1</v>
      </c>
      <c r="F565" s="157">
        <v>3.16</v>
      </c>
      <c r="G565" s="157">
        <v>0.23</v>
      </c>
      <c r="H565" s="157">
        <v>0.6</v>
      </c>
      <c r="I565" s="207">
        <f t="shared" si="60"/>
        <v>0.44</v>
      </c>
      <c r="J565" s="195" t="s">
        <v>5</v>
      </c>
      <c r="K565" s="147"/>
      <c r="L565" s="110"/>
      <c r="M565" s="147"/>
    </row>
    <row r="566" spans="1:13" s="148" customFormat="1" ht="16.5" hidden="1" customHeight="1">
      <c r="A566" s="110"/>
      <c r="B566" s="147" t="s">
        <v>279</v>
      </c>
      <c r="C566" s="183">
        <v>1</v>
      </c>
      <c r="D566" s="205" t="s">
        <v>268</v>
      </c>
      <c r="E566" s="156">
        <v>5</v>
      </c>
      <c r="F566" s="157">
        <v>0.38</v>
      </c>
      <c r="G566" s="157">
        <v>0.23</v>
      </c>
      <c r="H566" s="157">
        <v>0.6</v>
      </c>
      <c r="I566" s="207">
        <f>-ROUND(IF(AND(F566:H566),C566*E566*F566*G566*H566,IF(AND(F566,G566),C566*E566*F566*G566,IF(AND(F566,H566),C566*E566*F566*H566,IF(AND(G566,H566),C566*E566*G566*H566,IF(F566,C566*E566*F566,IF(G566,C566*E566*G566,IF(H566,C566*E566*H566,C566*E566))))))),2)</f>
        <v>-0.26</v>
      </c>
      <c r="J566" s="195" t="s">
        <v>5</v>
      </c>
      <c r="K566" s="147"/>
      <c r="L566" s="110"/>
      <c r="M566" s="147"/>
    </row>
    <row r="567" spans="1:13" s="148" customFormat="1" ht="16.5" hidden="1" customHeight="1">
      <c r="A567" s="110"/>
      <c r="B567" s="147" t="s">
        <v>569</v>
      </c>
      <c r="C567" s="183">
        <v>1</v>
      </c>
      <c r="D567" s="205" t="s">
        <v>268</v>
      </c>
      <c r="E567" s="156">
        <v>8</v>
      </c>
      <c r="F567" s="157">
        <v>0.6</v>
      </c>
      <c r="G567" s="157">
        <v>0.23</v>
      </c>
      <c r="H567" s="157">
        <v>0.3</v>
      </c>
      <c r="I567" s="207">
        <f>-ROUND(IF(AND(F567:H567),C567*E567*F567*G567*H567,IF(AND(F567,G567),C567*E567*F567*G567,IF(AND(F567,H567),C567*E567*F567*H567,IF(AND(G567,H567),C567*E567*G567*H567,IF(F567,C567*E567*F567,IF(G567,C567*E567*G567,IF(H567,C567*E567*H567,C567*E567))))))),2)</f>
        <v>-0.33</v>
      </c>
      <c r="J567" s="195" t="s">
        <v>5</v>
      </c>
      <c r="K567" s="147"/>
      <c r="L567" s="110"/>
      <c r="M567" s="147"/>
    </row>
    <row r="568" spans="1:13" s="148" customFormat="1" ht="16.5" hidden="1" customHeight="1">
      <c r="A568" s="110"/>
      <c r="B568" s="149"/>
      <c r="C568" s="150"/>
      <c r="D568" s="151"/>
      <c r="E568" s="152"/>
      <c r="F568" s="153"/>
      <c r="G568" s="153"/>
      <c r="H568" s="153"/>
      <c r="I568" s="185"/>
      <c r="J568" s="195"/>
      <c r="K568" s="147"/>
      <c r="L568" s="210"/>
      <c r="M568" s="147"/>
    </row>
    <row r="569" spans="1:13" hidden="1">
      <c r="A569" s="110"/>
      <c r="B569" s="147"/>
      <c r="C569" s="154"/>
      <c r="D569" s="155"/>
      <c r="E569" s="156"/>
      <c r="F569" s="157"/>
      <c r="G569" s="158"/>
      <c r="H569" s="110"/>
      <c r="I569" s="185"/>
      <c r="J569" s="195" t="s">
        <v>5</v>
      </c>
      <c r="K569" s="12">
        <f>'DATA 2025-26'!F412</f>
        <v>7915.73</v>
      </c>
      <c r="L569" s="210" t="s">
        <v>269</v>
      </c>
      <c r="M569" s="11">
        <f>ROUND(I569*K569,0)</f>
        <v>0</v>
      </c>
    </row>
    <row r="570" spans="1:13" ht="132.75" hidden="1" customHeight="1">
      <c r="A570" s="110">
        <v>9</v>
      </c>
      <c r="B570" s="964" t="s">
        <v>853</v>
      </c>
      <c r="C570" s="964"/>
      <c r="D570" s="964"/>
      <c r="E570" s="964"/>
      <c r="F570" s="964"/>
      <c r="G570" s="964"/>
      <c r="H570" s="964"/>
      <c r="I570" s="183"/>
      <c r="J570" s="186"/>
      <c r="K570" s="110"/>
      <c r="L570" s="210"/>
      <c r="M570" s="139"/>
    </row>
    <row r="571" spans="1:13" s="148" customFormat="1" ht="16.5" hidden="1" customHeight="1">
      <c r="A571" s="110"/>
      <c r="B571" s="147" t="s">
        <v>1377</v>
      </c>
      <c r="C571" s="183"/>
      <c r="D571" s="205"/>
      <c r="E571" s="156"/>
      <c r="F571" s="157"/>
      <c r="G571" s="157"/>
      <c r="H571" s="157"/>
      <c r="I571" s="206"/>
      <c r="J571" s="195"/>
      <c r="K571" s="147"/>
      <c r="L571" s="110"/>
      <c r="M571" s="147"/>
    </row>
    <row r="572" spans="1:13" s="148" customFormat="1" ht="15" hidden="1">
      <c r="A572" s="110"/>
      <c r="B572" s="147" t="s">
        <v>1360</v>
      </c>
      <c r="C572" s="183">
        <v>1</v>
      </c>
      <c r="D572" s="205" t="s">
        <v>268</v>
      </c>
      <c r="E572" s="156">
        <v>1</v>
      </c>
      <c r="F572" s="157">
        <v>9.3000000000000007</v>
      </c>
      <c r="G572" s="157">
        <v>0</v>
      </c>
      <c r="H572" s="157">
        <v>2.1</v>
      </c>
      <c r="I572" s="207">
        <f t="shared" ref="I572:I578" si="61">ROUND(IF(AND(F572:H572),C572*E572*F572*G572*H572,IF(AND(F572,G572),C572*E572*F572*G572,IF(AND(F572,H572),C572*E572*F572*H572,IF(AND(G572,H572),C572*E572*G572*H572,IF(F572,C572*E572*F572,IF(G572,C572*E572*G572,IF(H572,C572*E572*H572,C572*E572))))))),2)</f>
        <v>19.53</v>
      </c>
      <c r="J572" s="195" t="s">
        <v>102</v>
      </c>
      <c r="K572" s="147"/>
      <c r="L572" s="110"/>
      <c r="M572" s="147"/>
    </row>
    <row r="573" spans="1:13" s="148" customFormat="1" ht="15" hidden="1">
      <c r="A573" s="110"/>
      <c r="B573" s="147" t="s">
        <v>1360</v>
      </c>
      <c r="C573" s="183">
        <v>1</v>
      </c>
      <c r="D573" s="205" t="s">
        <v>268</v>
      </c>
      <c r="E573" s="156">
        <v>1</v>
      </c>
      <c r="F573" s="157">
        <v>9.3000000000000007</v>
      </c>
      <c r="G573" s="157">
        <v>0</v>
      </c>
      <c r="H573" s="157">
        <v>2.1</v>
      </c>
      <c r="I573" s="207">
        <f t="shared" si="61"/>
        <v>19.53</v>
      </c>
      <c r="J573" s="195" t="s">
        <v>102</v>
      </c>
      <c r="K573" s="147"/>
      <c r="L573" s="110"/>
      <c r="M573" s="147"/>
    </row>
    <row r="574" spans="1:13" s="148" customFormat="1" ht="15" hidden="1">
      <c r="A574" s="110"/>
      <c r="B574" s="147" t="s">
        <v>1349</v>
      </c>
      <c r="C574" s="183">
        <v>1</v>
      </c>
      <c r="D574" s="205" t="s">
        <v>268</v>
      </c>
      <c r="E574" s="156">
        <v>1</v>
      </c>
      <c r="F574" s="157">
        <v>3.16</v>
      </c>
      <c r="G574" s="157">
        <v>0</v>
      </c>
      <c r="H574" s="157">
        <v>2.1</v>
      </c>
      <c r="I574" s="207">
        <f t="shared" si="61"/>
        <v>6.64</v>
      </c>
      <c r="J574" s="195" t="s">
        <v>102</v>
      </c>
      <c r="K574" s="147"/>
      <c r="L574" s="110"/>
      <c r="M574" s="147"/>
    </row>
    <row r="575" spans="1:13" s="148" customFormat="1" ht="15" hidden="1">
      <c r="A575" s="110"/>
      <c r="B575" s="147" t="s">
        <v>1350</v>
      </c>
      <c r="C575" s="183">
        <v>1</v>
      </c>
      <c r="D575" s="205" t="s">
        <v>268</v>
      </c>
      <c r="E575" s="156">
        <v>1</v>
      </c>
      <c r="F575" s="157">
        <v>3.16</v>
      </c>
      <c r="G575" s="157">
        <v>0</v>
      </c>
      <c r="H575" s="157">
        <v>2.1</v>
      </c>
      <c r="I575" s="207">
        <f t="shared" si="61"/>
        <v>6.64</v>
      </c>
      <c r="J575" s="195" t="s">
        <v>102</v>
      </c>
      <c r="K575" s="147"/>
      <c r="L575" s="110"/>
      <c r="M575" s="147"/>
    </row>
    <row r="576" spans="1:13" s="148" customFormat="1" ht="15" hidden="1">
      <c r="A576" s="110"/>
      <c r="B576" s="147" t="s">
        <v>1351</v>
      </c>
      <c r="C576" s="183">
        <v>1</v>
      </c>
      <c r="D576" s="205" t="s">
        <v>268</v>
      </c>
      <c r="E576" s="156">
        <v>1</v>
      </c>
      <c r="F576" s="157">
        <v>3.16</v>
      </c>
      <c r="G576" s="157">
        <v>0</v>
      </c>
      <c r="H576" s="157">
        <v>2.1</v>
      </c>
      <c r="I576" s="207">
        <f t="shared" si="61"/>
        <v>6.64</v>
      </c>
      <c r="J576" s="195" t="s">
        <v>102</v>
      </c>
      <c r="K576" s="147"/>
      <c r="L576" s="110"/>
      <c r="M576" s="147"/>
    </row>
    <row r="577" spans="1:13" s="148" customFormat="1" ht="15" hidden="1">
      <c r="A577" s="110"/>
      <c r="B577" s="147" t="s">
        <v>1361</v>
      </c>
      <c r="C577" s="183">
        <v>1</v>
      </c>
      <c r="D577" s="205" t="s">
        <v>268</v>
      </c>
      <c r="E577" s="156">
        <v>1</v>
      </c>
      <c r="F577" s="157">
        <v>3.1</v>
      </c>
      <c r="G577" s="157">
        <v>0</v>
      </c>
      <c r="H577" s="157">
        <v>2.1</v>
      </c>
      <c r="I577" s="207">
        <f t="shared" si="61"/>
        <v>6.51</v>
      </c>
      <c r="J577" s="195" t="s">
        <v>102</v>
      </c>
      <c r="K577" s="147"/>
      <c r="L577" s="110"/>
      <c r="M577" s="147"/>
    </row>
    <row r="578" spans="1:13" s="148" customFormat="1" ht="15" hidden="1">
      <c r="A578" s="110"/>
      <c r="B578" s="147"/>
      <c r="C578" s="183">
        <v>1</v>
      </c>
      <c r="D578" s="205" t="s">
        <v>268</v>
      </c>
      <c r="E578" s="156">
        <v>1</v>
      </c>
      <c r="F578" s="157">
        <v>3.2</v>
      </c>
      <c r="G578" s="157">
        <v>0</v>
      </c>
      <c r="H578" s="157">
        <v>2.1</v>
      </c>
      <c r="I578" s="207">
        <f t="shared" si="61"/>
        <v>6.72</v>
      </c>
      <c r="J578" s="195" t="s">
        <v>102</v>
      </c>
      <c r="K578" s="147"/>
      <c r="L578" s="110"/>
      <c r="M578" s="147"/>
    </row>
    <row r="579" spans="1:13" s="148" customFormat="1" ht="15" hidden="1">
      <c r="A579" s="110"/>
      <c r="B579" s="147" t="s">
        <v>578</v>
      </c>
      <c r="C579" s="183">
        <v>1</v>
      </c>
      <c r="D579" s="205" t="s">
        <v>268</v>
      </c>
      <c r="E579" s="156">
        <v>5</v>
      </c>
      <c r="F579" s="157">
        <v>1.0900000000000001</v>
      </c>
      <c r="G579" s="157">
        <v>0</v>
      </c>
      <c r="H579" s="157">
        <v>2.1</v>
      </c>
      <c r="I579" s="207">
        <f>-ROUND(IF(AND(F579:H579),C579*E579*F579*G579*H579,IF(AND(F579,G579),C579*E579*F579*G579,IF(AND(F579,H579),C579*E579*F579*H579,IF(AND(G579,H579),C579*E579*G579*H579,IF(F579,C579*E579*F579,IF(G579,C579*E579*G579,IF(H579,C579*E579*H579,C579*E579))))))),2)</f>
        <v>-11.45</v>
      </c>
      <c r="J579" s="195" t="s">
        <v>102</v>
      </c>
      <c r="K579" s="147"/>
      <c r="L579" s="110"/>
      <c r="M579" s="147"/>
    </row>
    <row r="580" spans="1:13" s="148" customFormat="1" ht="15" hidden="1">
      <c r="A580" s="110"/>
      <c r="B580" s="147" t="s">
        <v>279</v>
      </c>
      <c r="C580" s="183">
        <v>1</v>
      </c>
      <c r="D580" s="205" t="s">
        <v>268</v>
      </c>
      <c r="E580" s="156">
        <v>2</v>
      </c>
      <c r="F580" s="157">
        <v>0.38</v>
      </c>
      <c r="G580" s="157">
        <v>0</v>
      </c>
      <c r="H580" s="157">
        <v>2.1</v>
      </c>
      <c r="I580" s="207">
        <f>-ROUND(IF(AND(F580:H580),C580*E580*F580*G580*H580,IF(AND(F580,G580),C580*E580*F580*G580,IF(AND(F580,H580),C580*E580*F580*H580,IF(AND(G580,H580),C580*E580*G580*H580,IF(F580,C580*E580*F580,IF(G580,C580*E580*G580,IF(H580,C580*E580*H580,C580*E580))))))),2)</f>
        <v>-1.6</v>
      </c>
      <c r="J580" s="195" t="s">
        <v>102</v>
      </c>
      <c r="K580" s="147"/>
      <c r="L580" s="110"/>
      <c r="M580" s="147"/>
    </row>
    <row r="581" spans="1:13" s="148" customFormat="1" ht="15" hidden="1">
      <c r="A581" s="110"/>
      <c r="B581" s="147" t="s">
        <v>1381</v>
      </c>
      <c r="C581" s="183">
        <v>1</v>
      </c>
      <c r="D581" s="205" t="s">
        <v>268</v>
      </c>
      <c r="E581" s="156">
        <v>1</v>
      </c>
      <c r="F581" s="157">
        <v>13.45</v>
      </c>
      <c r="G581" s="157">
        <v>0</v>
      </c>
      <c r="H581" s="157">
        <v>0.75</v>
      </c>
      <c r="I581" s="207">
        <f>ROUND(IF(AND(F581:H581),C581*E581*F581*G581*H581,IF(AND(F581,G581),C581*E581*F581*G581,IF(AND(F581,H581),C581*E581*F581*H581,IF(AND(G581,H581),C581*E581*G581*H581,IF(F581,C581*E581*F581,IF(G581,C581*E581*G581,IF(H581,C581*E581*H581,C581*E581))))))),2)</f>
        <v>10.09</v>
      </c>
      <c r="J581" s="195" t="s">
        <v>102</v>
      </c>
      <c r="K581" s="147"/>
      <c r="L581" s="110"/>
      <c r="M581" s="147"/>
    </row>
    <row r="582" spans="1:13" s="148" customFormat="1" ht="16.5" hidden="1" customHeight="1">
      <c r="A582" s="110"/>
      <c r="B582" s="147" t="s">
        <v>1383</v>
      </c>
      <c r="C582" s="183"/>
      <c r="D582" s="205"/>
      <c r="E582" s="156"/>
      <c r="F582" s="157"/>
      <c r="G582" s="157"/>
      <c r="H582" s="157"/>
      <c r="I582" s="206"/>
      <c r="J582" s="195"/>
      <c r="K582" s="147"/>
      <c r="L582" s="110"/>
      <c r="M582" s="147"/>
    </row>
    <row r="583" spans="1:13" s="148" customFormat="1" ht="15" hidden="1">
      <c r="A583" s="110"/>
      <c r="B583" s="147" t="s">
        <v>1360</v>
      </c>
      <c r="C583" s="183">
        <v>1</v>
      </c>
      <c r="D583" s="205" t="s">
        <v>268</v>
      </c>
      <c r="E583" s="156">
        <v>1</v>
      </c>
      <c r="F583" s="157">
        <v>9.3000000000000007</v>
      </c>
      <c r="G583" s="157">
        <v>0</v>
      </c>
      <c r="H583" s="157">
        <v>0.6</v>
      </c>
      <c r="I583" s="207">
        <f t="shared" ref="I583:I591" si="62">ROUND(IF(AND(F583:H583),C583*E583*F583*G583*H583,IF(AND(F583,G583),C583*E583*F583*G583,IF(AND(F583,H583),C583*E583*F583*H583,IF(AND(G583,H583),C583*E583*G583*H583,IF(F583,C583*E583*F583,IF(G583,C583*E583*G583,IF(H583,C583*E583*H583,C583*E583))))))),2)</f>
        <v>5.58</v>
      </c>
      <c r="J583" s="195" t="s">
        <v>102</v>
      </c>
      <c r="K583" s="147"/>
      <c r="L583" s="110"/>
      <c r="M583" s="147"/>
    </row>
    <row r="584" spans="1:13" s="148" customFormat="1" ht="15" hidden="1">
      <c r="A584" s="110"/>
      <c r="B584" s="147" t="s">
        <v>1360</v>
      </c>
      <c r="C584" s="183">
        <v>1</v>
      </c>
      <c r="D584" s="205" t="s">
        <v>268</v>
      </c>
      <c r="E584" s="156">
        <v>1</v>
      </c>
      <c r="F584" s="157">
        <v>9.3000000000000007</v>
      </c>
      <c r="G584" s="157">
        <v>0</v>
      </c>
      <c r="H584" s="157">
        <v>0.6</v>
      </c>
      <c r="I584" s="207">
        <f t="shared" si="62"/>
        <v>5.58</v>
      </c>
      <c r="J584" s="195" t="s">
        <v>102</v>
      </c>
      <c r="K584" s="147"/>
      <c r="L584" s="110"/>
      <c r="M584" s="147"/>
    </row>
    <row r="585" spans="1:13" s="148" customFormat="1" ht="15" hidden="1">
      <c r="A585" s="110"/>
      <c r="B585" s="147" t="s">
        <v>1349</v>
      </c>
      <c r="C585" s="183">
        <v>1</v>
      </c>
      <c r="D585" s="205" t="s">
        <v>268</v>
      </c>
      <c r="E585" s="156">
        <v>1</v>
      </c>
      <c r="F585" s="157">
        <v>3.16</v>
      </c>
      <c r="G585" s="157">
        <v>0</v>
      </c>
      <c r="H585" s="157">
        <v>0.6</v>
      </c>
      <c r="I585" s="207">
        <f t="shared" si="62"/>
        <v>1.9</v>
      </c>
      <c r="J585" s="195" t="s">
        <v>102</v>
      </c>
      <c r="K585" s="147"/>
      <c r="L585" s="110"/>
      <c r="M585" s="147"/>
    </row>
    <row r="586" spans="1:13" s="148" customFormat="1" ht="15" hidden="1">
      <c r="A586" s="110"/>
      <c r="B586" s="147" t="s">
        <v>1350</v>
      </c>
      <c r="C586" s="183">
        <v>1</v>
      </c>
      <c r="D586" s="205" t="s">
        <v>268</v>
      </c>
      <c r="E586" s="156">
        <v>1</v>
      </c>
      <c r="F586" s="157">
        <v>3.16</v>
      </c>
      <c r="G586" s="157">
        <v>0</v>
      </c>
      <c r="H586" s="157">
        <v>0.6</v>
      </c>
      <c r="I586" s="207">
        <f t="shared" si="62"/>
        <v>1.9</v>
      </c>
      <c r="J586" s="195" t="s">
        <v>102</v>
      </c>
      <c r="K586" s="147"/>
      <c r="L586" s="110"/>
      <c r="M586" s="147"/>
    </row>
    <row r="587" spans="1:13" s="148" customFormat="1" ht="15" hidden="1">
      <c r="A587" s="110"/>
      <c r="B587" s="147" t="s">
        <v>1351</v>
      </c>
      <c r="C587" s="183">
        <v>1</v>
      </c>
      <c r="D587" s="205" t="s">
        <v>268</v>
      </c>
      <c r="E587" s="156">
        <v>1</v>
      </c>
      <c r="F587" s="157">
        <v>3.16</v>
      </c>
      <c r="G587" s="157">
        <v>0</v>
      </c>
      <c r="H587" s="157">
        <v>0.6</v>
      </c>
      <c r="I587" s="207">
        <f t="shared" si="62"/>
        <v>1.9</v>
      </c>
      <c r="J587" s="195" t="s">
        <v>102</v>
      </c>
      <c r="K587" s="147"/>
      <c r="L587" s="110"/>
      <c r="M587" s="147"/>
    </row>
    <row r="588" spans="1:13" s="148" customFormat="1" ht="15" hidden="1">
      <c r="A588" s="110"/>
      <c r="B588" s="147" t="s">
        <v>1361</v>
      </c>
      <c r="C588" s="183">
        <v>1</v>
      </c>
      <c r="D588" s="205" t="s">
        <v>268</v>
      </c>
      <c r="E588" s="156">
        <v>1</v>
      </c>
      <c r="F588" s="157">
        <v>3.1</v>
      </c>
      <c r="G588" s="157">
        <v>0</v>
      </c>
      <c r="H588" s="157">
        <v>0.6</v>
      </c>
      <c r="I588" s="207">
        <f t="shared" si="62"/>
        <v>1.86</v>
      </c>
      <c r="J588" s="195" t="s">
        <v>102</v>
      </c>
      <c r="K588" s="147"/>
      <c r="L588" s="110"/>
      <c r="M588" s="147"/>
    </row>
    <row r="589" spans="1:13" s="148" customFormat="1" ht="15" hidden="1">
      <c r="A589" s="110"/>
      <c r="B589" s="147"/>
      <c r="C589" s="183">
        <v>1</v>
      </c>
      <c r="D589" s="205" t="s">
        <v>268</v>
      </c>
      <c r="E589" s="156">
        <v>1</v>
      </c>
      <c r="F589" s="157">
        <v>3.1</v>
      </c>
      <c r="G589" s="157">
        <v>0</v>
      </c>
      <c r="H589" s="157">
        <v>0.6</v>
      </c>
      <c r="I589" s="207">
        <f t="shared" si="62"/>
        <v>1.86</v>
      </c>
      <c r="J589" s="195" t="s">
        <v>102</v>
      </c>
      <c r="K589" s="147"/>
      <c r="L589" s="110"/>
      <c r="M589" s="147"/>
    </row>
    <row r="590" spans="1:13" s="148" customFormat="1" ht="15" hidden="1">
      <c r="A590" s="110"/>
      <c r="B590" s="147"/>
      <c r="C590" s="183">
        <v>1</v>
      </c>
      <c r="D590" s="205" t="s">
        <v>268</v>
      </c>
      <c r="E590" s="156">
        <v>1</v>
      </c>
      <c r="F590" s="157">
        <v>3.2</v>
      </c>
      <c r="G590" s="157">
        <v>0</v>
      </c>
      <c r="H590" s="157">
        <v>0.6</v>
      </c>
      <c r="I590" s="207">
        <f t="shared" si="62"/>
        <v>1.92</v>
      </c>
      <c r="J590" s="195" t="s">
        <v>102</v>
      </c>
      <c r="K590" s="147"/>
      <c r="L590" s="110"/>
      <c r="M590" s="147"/>
    </row>
    <row r="591" spans="1:13" s="148" customFormat="1" ht="15" hidden="1">
      <c r="A591" s="110"/>
      <c r="B591" s="147"/>
      <c r="C591" s="183">
        <v>1</v>
      </c>
      <c r="D591" s="205" t="s">
        <v>268</v>
      </c>
      <c r="E591" s="156">
        <v>1</v>
      </c>
      <c r="F591" s="157">
        <v>13.45</v>
      </c>
      <c r="G591" s="157">
        <v>0</v>
      </c>
      <c r="H591" s="157">
        <v>0.75</v>
      </c>
      <c r="I591" s="207">
        <f t="shared" si="62"/>
        <v>10.09</v>
      </c>
      <c r="J591" s="195" t="s">
        <v>102</v>
      </c>
      <c r="K591" s="147"/>
      <c r="L591" s="110"/>
      <c r="M591" s="147"/>
    </row>
    <row r="592" spans="1:13" s="148" customFormat="1" ht="15" hidden="1">
      <c r="A592" s="110"/>
      <c r="B592" s="147" t="s">
        <v>279</v>
      </c>
      <c r="C592" s="183">
        <v>1</v>
      </c>
      <c r="D592" s="205" t="s">
        <v>268</v>
      </c>
      <c r="E592" s="156">
        <v>2</v>
      </c>
      <c r="F592" s="157">
        <v>0.38</v>
      </c>
      <c r="G592" s="157">
        <v>0</v>
      </c>
      <c r="H592" s="157">
        <v>0.6</v>
      </c>
      <c r="I592" s="207">
        <f>-ROUND(IF(AND(F592:H592),C592*E592*F592*G592*H592,IF(AND(F592,G592),C592*E592*F592*G592,IF(AND(F592,H592),C592*E592*F592*H592,IF(AND(G592,H592),C592*E592*G592*H592,IF(F592,C592*E592*F592,IF(G592,C592*E592*G592,IF(H592,C592*E592*H592,C592*E592))))))),2)</f>
        <v>-0.46</v>
      </c>
      <c r="J592" s="195" t="s">
        <v>102</v>
      </c>
      <c r="K592" s="147"/>
      <c r="L592" s="110"/>
      <c r="M592" s="147"/>
    </row>
    <row r="593" spans="1:13" s="148" customFormat="1" ht="16.5" hidden="1" customHeight="1">
      <c r="A593" s="110"/>
      <c r="B593" s="147" t="s">
        <v>1391</v>
      </c>
      <c r="C593" s="183"/>
      <c r="D593" s="205"/>
      <c r="E593" s="156"/>
      <c r="F593" s="157"/>
      <c r="G593" s="157"/>
      <c r="H593" s="157"/>
      <c r="I593" s="206"/>
      <c r="J593" s="195"/>
      <c r="K593" s="147"/>
      <c r="L593" s="210"/>
      <c r="M593" s="147"/>
    </row>
    <row r="594" spans="1:13" s="148" customFormat="1" ht="16.5" hidden="1" customHeight="1">
      <c r="A594" s="110"/>
      <c r="B594" s="147" t="s">
        <v>1390</v>
      </c>
      <c r="C594" s="183">
        <v>1</v>
      </c>
      <c r="D594" s="205" t="s">
        <v>268</v>
      </c>
      <c r="E594" s="156">
        <v>1</v>
      </c>
      <c r="F594" s="157">
        <v>10.3</v>
      </c>
      <c r="G594" s="157">
        <v>0</v>
      </c>
      <c r="H594" s="157">
        <v>0.75</v>
      </c>
      <c r="I594" s="207">
        <f>ROUND(IF(AND(F594:H594),C594*E594*F594*G594*H594,IF(AND(F594,G594),C594*E594*F594*G594,IF(AND(F594,H594),C594*E594*F594*H594,IF(AND(G594,H594),C594*E594*G594*H594,IF(F594,C594*E594*F594,IF(G594,C594*E594*G594,IF(H594,C594*E594*H594,C594*E594))))))),2)</f>
        <v>7.73</v>
      </c>
      <c r="J594" s="195" t="s">
        <v>102</v>
      </c>
      <c r="K594" s="147"/>
      <c r="L594" s="210"/>
      <c r="M594" s="147"/>
    </row>
    <row r="595" spans="1:13" s="148" customFormat="1" ht="16.5" hidden="1" customHeight="1">
      <c r="A595" s="110"/>
      <c r="B595" s="147"/>
      <c r="C595" s="183"/>
      <c r="D595" s="205"/>
      <c r="E595" s="156"/>
      <c r="F595" s="157"/>
      <c r="G595" s="157"/>
      <c r="H595" s="157"/>
      <c r="I595" s="207"/>
      <c r="J595" s="195"/>
      <c r="K595" s="147"/>
      <c r="L595" s="210"/>
      <c r="M595" s="147"/>
    </row>
    <row r="596" spans="1:13" hidden="1">
      <c r="A596" s="110"/>
      <c r="B596" s="147"/>
      <c r="C596" s="154"/>
      <c r="D596" s="155"/>
      <c r="E596" s="156"/>
      <c r="F596" s="157"/>
      <c r="G596" s="158"/>
      <c r="H596" s="110"/>
      <c r="I596" s="185"/>
      <c r="J596" s="195" t="s">
        <v>102</v>
      </c>
      <c r="K596" s="12">
        <f>'DATA 2025-26'!F448</f>
        <v>1022.72</v>
      </c>
      <c r="L596" s="210" t="s">
        <v>270</v>
      </c>
      <c r="M596" s="11">
        <f>ROUND(I596*K596/1,0)</f>
        <v>0</v>
      </c>
    </row>
    <row r="597" spans="1:13" ht="79.5" hidden="1" customHeight="1">
      <c r="A597" s="110">
        <v>20</v>
      </c>
      <c r="B597" s="964" t="s">
        <v>975</v>
      </c>
      <c r="C597" s="964"/>
      <c r="D597" s="964"/>
      <c r="E597" s="964"/>
      <c r="F597" s="964"/>
      <c r="G597" s="964"/>
      <c r="H597" s="964"/>
      <c r="I597" s="183"/>
      <c r="J597" s="186"/>
      <c r="K597" s="110"/>
      <c r="L597" s="210"/>
      <c r="M597" s="139"/>
    </row>
    <row r="598" spans="1:13" s="148" customFormat="1" ht="16.5" hidden="1" customHeight="1">
      <c r="A598" s="110"/>
      <c r="B598" s="147" t="s">
        <v>1309</v>
      </c>
      <c r="C598" s="183"/>
      <c r="D598" s="205"/>
      <c r="E598" s="156"/>
      <c r="F598" s="157"/>
      <c r="G598" s="157"/>
      <c r="H598" s="157"/>
      <c r="I598" s="206"/>
      <c r="J598" s="195"/>
      <c r="K598" s="147"/>
      <c r="L598" s="210"/>
      <c r="M598" s="147"/>
    </row>
    <row r="599" spans="1:13" s="148" customFormat="1" ht="16.5" hidden="1" customHeight="1">
      <c r="A599" s="110"/>
      <c r="B599" s="147" t="s">
        <v>1028</v>
      </c>
      <c r="C599" s="183">
        <v>1</v>
      </c>
      <c r="D599" s="205" t="s">
        <v>268</v>
      </c>
      <c r="E599" s="156">
        <v>2</v>
      </c>
      <c r="F599" s="157">
        <v>0.75</v>
      </c>
      <c r="G599" s="157">
        <v>0.15</v>
      </c>
      <c r="H599" s="157">
        <v>1.05</v>
      </c>
      <c r="I599" s="207">
        <f t="shared" ref="I599:I605" si="63">ROUND(IF(AND(F599:H599),C599*E599*F599*G599*H599,IF(AND(F599,G599),C599*E599*F599*G599,IF(AND(F599,H599),C599*E599*F599*H599,IF(AND(G599,H599),C599*E599*G599*H599,IF(F599,C599*E599*F599,IF(G599,C599*E599*G599,IF(H599,C599*E599*H599,C599*E599))))))),2)</f>
        <v>0.24</v>
      </c>
      <c r="J599" s="195" t="s">
        <v>5</v>
      </c>
      <c r="K599" s="147"/>
      <c r="L599" s="210"/>
      <c r="M599" s="147"/>
    </row>
    <row r="600" spans="1:13" s="148" customFormat="1" ht="16.5" hidden="1" customHeight="1">
      <c r="A600" s="110"/>
      <c r="B600" s="147"/>
      <c r="C600" s="183">
        <v>1</v>
      </c>
      <c r="D600" s="205" t="s">
        <v>268</v>
      </c>
      <c r="E600" s="156">
        <v>1</v>
      </c>
      <c r="F600" s="157">
        <v>1.2</v>
      </c>
      <c r="G600" s="157">
        <v>0.15</v>
      </c>
      <c r="H600" s="157">
        <v>0.75</v>
      </c>
      <c r="I600" s="207">
        <f t="shared" si="63"/>
        <v>0.14000000000000001</v>
      </c>
      <c r="J600" s="195" t="s">
        <v>5</v>
      </c>
      <c r="K600" s="147"/>
      <c r="L600" s="210"/>
      <c r="M600" s="147"/>
    </row>
    <row r="601" spans="1:13" s="148" customFormat="1" ht="16.5" hidden="1" customHeight="1">
      <c r="A601" s="110"/>
      <c r="B601" s="147"/>
      <c r="C601" s="183">
        <v>1</v>
      </c>
      <c r="D601" s="205" t="s">
        <v>268</v>
      </c>
      <c r="E601" s="156">
        <v>0.5</v>
      </c>
      <c r="F601" s="157">
        <v>2.7</v>
      </c>
      <c r="G601" s="157">
        <v>0.15</v>
      </c>
      <c r="H601" s="157">
        <v>1.8</v>
      </c>
      <c r="I601" s="207">
        <f t="shared" si="63"/>
        <v>0.36</v>
      </c>
      <c r="J601" s="195" t="s">
        <v>5</v>
      </c>
      <c r="K601" s="147"/>
      <c r="L601" s="210"/>
      <c r="M601" s="147"/>
    </row>
    <row r="602" spans="1:13" s="148" customFormat="1" ht="16.5" hidden="1" customHeight="1">
      <c r="A602" s="110"/>
      <c r="B602" s="147"/>
      <c r="C602" s="183">
        <v>1</v>
      </c>
      <c r="D602" s="205" t="s">
        <v>268</v>
      </c>
      <c r="E602" s="156">
        <v>1</v>
      </c>
      <c r="F602" s="157">
        <v>1</v>
      </c>
      <c r="G602" s="157">
        <v>0.15</v>
      </c>
      <c r="H602" s="157">
        <v>1.4</v>
      </c>
      <c r="I602" s="207">
        <f t="shared" si="63"/>
        <v>0.21</v>
      </c>
      <c r="J602" s="195" t="s">
        <v>5</v>
      </c>
      <c r="K602" s="147"/>
      <c r="L602" s="210"/>
      <c r="M602" s="147"/>
    </row>
    <row r="603" spans="1:13" s="148" customFormat="1" ht="16.5" hidden="1" customHeight="1">
      <c r="A603" s="110"/>
      <c r="B603" s="147"/>
      <c r="C603" s="183">
        <v>1</v>
      </c>
      <c r="D603" s="205" t="s">
        <v>268</v>
      </c>
      <c r="E603" s="156">
        <v>1</v>
      </c>
      <c r="F603" s="157">
        <v>1.73</v>
      </c>
      <c r="G603" s="157">
        <v>0.15</v>
      </c>
      <c r="H603" s="157">
        <v>1.8</v>
      </c>
      <c r="I603" s="207">
        <f t="shared" si="63"/>
        <v>0.47</v>
      </c>
      <c r="J603" s="195" t="s">
        <v>5</v>
      </c>
      <c r="K603" s="147"/>
      <c r="L603" s="210"/>
      <c r="M603" s="147"/>
    </row>
    <row r="604" spans="1:13" s="148" customFormat="1" ht="16.5" hidden="1" customHeight="1">
      <c r="A604" s="110"/>
      <c r="B604" s="147"/>
      <c r="C604" s="183">
        <v>1</v>
      </c>
      <c r="D604" s="205" t="s">
        <v>268</v>
      </c>
      <c r="E604" s="156">
        <v>1</v>
      </c>
      <c r="F604" s="157">
        <v>2.65</v>
      </c>
      <c r="G604" s="157">
        <v>0.15</v>
      </c>
      <c r="H604" s="157">
        <v>1.2</v>
      </c>
      <c r="I604" s="207">
        <f t="shared" si="63"/>
        <v>0.48</v>
      </c>
      <c r="J604" s="195" t="s">
        <v>5</v>
      </c>
      <c r="K604" s="147"/>
      <c r="L604" s="210"/>
      <c r="M604" s="147"/>
    </row>
    <row r="605" spans="1:13" s="148" customFormat="1" ht="16.5" hidden="1" customHeight="1">
      <c r="A605" s="110"/>
      <c r="B605" s="147"/>
      <c r="C605" s="183">
        <v>1</v>
      </c>
      <c r="D605" s="205" t="s">
        <v>268</v>
      </c>
      <c r="E605" s="156">
        <v>1</v>
      </c>
      <c r="F605" s="157">
        <v>2.85</v>
      </c>
      <c r="G605" s="157">
        <v>0.15</v>
      </c>
      <c r="H605" s="157">
        <v>1.2</v>
      </c>
      <c r="I605" s="207">
        <f t="shared" si="63"/>
        <v>0.51</v>
      </c>
      <c r="J605" s="195" t="s">
        <v>5</v>
      </c>
      <c r="K605" s="147"/>
      <c r="L605" s="210"/>
      <c r="M605" s="147"/>
    </row>
    <row r="606" spans="1:13" s="148" customFormat="1" ht="16.5" hidden="1" customHeight="1">
      <c r="A606" s="110"/>
      <c r="B606" s="149"/>
      <c r="C606" s="150"/>
      <c r="D606" s="151"/>
      <c r="E606" s="152"/>
      <c r="F606" s="153"/>
      <c r="G606" s="153"/>
      <c r="H606" s="153"/>
      <c r="I606" s="185"/>
      <c r="J606" s="195"/>
      <c r="K606" s="147"/>
      <c r="L606" s="210"/>
      <c r="M606" s="147"/>
    </row>
    <row r="607" spans="1:13" hidden="1">
      <c r="A607" s="110"/>
      <c r="B607" s="147"/>
      <c r="C607" s="154"/>
      <c r="D607" s="155"/>
      <c r="E607" s="156"/>
      <c r="F607" s="157"/>
      <c r="G607" s="158"/>
      <c r="H607" s="110"/>
      <c r="I607" s="185"/>
      <c r="J607" s="195" t="s">
        <v>5</v>
      </c>
      <c r="K607" s="12">
        <f>'DATA 2025-26'!F465</f>
        <v>7499.6200000000008</v>
      </c>
      <c r="L607" s="210" t="s">
        <v>269</v>
      </c>
      <c r="M607" s="11">
        <f>ROUND(I607*K607,0)</f>
        <v>0</v>
      </c>
    </row>
    <row r="608" spans="1:13" ht="103.5" hidden="1" customHeight="1">
      <c r="A608" s="110">
        <v>19</v>
      </c>
      <c r="B608" s="964" t="s">
        <v>951</v>
      </c>
      <c r="C608" s="964"/>
      <c r="D608" s="964"/>
      <c r="E608" s="964"/>
      <c r="F608" s="964"/>
      <c r="G608" s="964"/>
      <c r="H608" s="964"/>
      <c r="I608" s="183"/>
      <c r="J608" s="186"/>
      <c r="K608" s="110"/>
      <c r="L608" s="210"/>
      <c r="M608" s="139"/>
    </row>
    <row r="609" spans="1:13" s="148" customFormat="1" ht="16.5" hidden="1" customHeight="1">
      <c r="A609" s="110"/>
      <c r="B609" s="147" t="s">
        <v>1296</v>
      </c>
      <c r="C609" s="183"/>
      <c r="D609" s="205"/>
      <c r="E609" s="156"/>
      <c r="F609" s="157"/>
      <c r="G609" s="157"/>
      <c r="H609" s="157"/>
      <c r="I609" s="206"/>
      <c r="J609" s="195"/>
      <c r="K609" s="147"/>
      <c r="L609" s="210"/>
      <c r="M609" s="147"/>
    </row>
    <row r="610" spans="1:13" s="148" customFormat="1" ht="16.5" hidden="1" customHeight="1">
      <c r="A610" s="110"/>
      <c r="B610" s="147"/>
      <c r="C610" s="183">
        <v>1</v>
      </c>
      <c r="D610" s="205" t="s">
        <v>268</v>
      </c>
      <c r="E610" s="156">
        <v>2</v>
      </c>
      <c r="F610" s="157">
        <v>2.0499999999999998</v>
      </c>
      <c r="G610" s="157">
        <v>1.7</v>
      </c>
      <c r="H610" s="157">
        <v>0</v>
      </c>
      <c r="I610" s="207">
        <f>ROUND(IF(AND(F610:H610),C610*E610*F610*G610*H610,IF(AND(F610,G610),C610*E610*F610*G610,IF(AND(F610,H610),C610*E610*F610*H610,IF(AND(G610,H610),C610*E610*G610*H610,IF(F610,C610*E610*F610,IF(G610,C610*E610*G610,IF(H610,C610*E610*H610,C610*E610))))))),2)</f>
        <v>6.97</v>
      </c>
      <c r="J610" s="195" t="s">
        <v>102</v>
      </c>
      <c r="K610" s="147"/>
      <c r="L610" s="210"/>
      <c r="M610" s="147"/>
    </row>
    <row r="611" spans="1:13" s="148" customFormat="1" ht="16.5" hidden="1" customHeight="1">
      <c r="A611" s="110"/>
      <c r="B611" s="147"/>
      <c r="C611" s="183">
        <v>1</v>
      </c>
      <c r="D611" s="205" t="s">
        <v>268</v>
      </c>
      <c r="E611" s="156">
        <v>2</v>
      </c>
      <c r="F611" s="157">
        <v>3.6</v>
      </c>
      <c r="G611" s="157">
        <v>0.95</v>
      </c>
      <c r="H611" s="157">
        <v>0</v>
      </c>
      <c r="I611" s="207">
        <f>ROUND(IF(AND(F611:H611),C611*E611*F611*G611*H611,IF(AND(F611,G611),C611*E611*F611*G611,IF(AND(F611,H611),C611*E611*F611*H611,IF(AND(G611,H611),C611*E611*G611*H611,IF(F611,C611*E611*F611,IF(G611,C611*E611*G611,IF(H611,C611*E611*H611,C611*E611))))))),2)</f>
        <v>6.84</v>
      </c>
      <c r="J611" s="195" t="s">
        <v>102</v>
      </c>
      <c r="K611" s="147"/>
      <c r="L611" s="210"/>
      <c r="M611" s="147"/>
    </row>
    <row r="612" spans="1:13" s="148" customFormat="1" ht="16.5" hidden="1" customHeight="1">
      <c r="A612" s="110"/>
      <c r="B612" s="147"/>
      <c r="C612" s="183"/>
      <c r="D612" s="205"/>
      <c r="E612" s="156"/>
      <c r="F612" s="157"/>
      <c r="G612" s="157"/>
      <c r="H612" s="157"/>
      <c r="I612" s="207"/>
      <c r="J612" s="195"/>
      <c r="K612" s="147"/>
      <c r="L612" s="210"/>
      <c r="M612" s="147"/>
    </row>
    <row r="613" spans="1:13" hidden="1">
      <c r="A613" s="110"/>
      <c r="B613" s="147"/>
      <c r="C613" s="154"/>
      <c r="D613" s="155"/>
      <c r="E613" s="156"/>
      <c r="F613" s="157"/>
      <c r="G613" s="158"/>
      <c r="H613" s="110"/>
      <c r="I613" s="185"/>
      <c r="J613" s="195" t="s">
        <v>102</v>
      </c>
      <c r="K613" s="12">
        <f>'DATA 2025-26'!F595</f>
        <v>2913.09</v>
      </c>
      <c r="L613" s="210" t="s">
        <v>270</v>
      </c>
      <c r="M613" s="11">
        <f>ROUND(I613*K613/1,0)</f>
        <v>0</v>
      </c>
    </row>
    <row r="614" spans="1:13" ht="54.75" hidden="1" customHeight="1">
      <c r="A614" s="110">
        <v>8</v>
      </c>
      <c r="B614" s="964" t="s">
        <v>123</v>
      </c>
      <c r="C614" s="964"/>
      <c r="D614" s="964"/>
      <c r="E614" s="964"/>
      <c r="F614" s="964"/>
      <c r="G614" s="964"/>
      <c r="H614" s="964"/>
      <c r="I614" s="183"/>
      <c r="J614" s="186"/>
      <c r="K614" s="110"/>
      <c r="L614" s="210"/>
      <c r="M614" s="139"/>
    </row>
    <row r="615" spans="1:13" s="148" customFormat="1" ht="16.5" hidden="1" customHeight="1">
      <c r="A615" s="110"/>
      <c r="B615" s="147" t="s">
        <v>1819</v>
      </c>
      <c r="C615" s="183">
        <v>1</v>
      </c>
      <c r="D615" s="205" t="s">
        <v>268</v>
      </c>
      <c r="E615" s="156">
        <v>1</v>
      </c>
      <c r="F615" s="157">
        <v>5.48</v>
      </c>
      <c r="G615" s="157">
        <v>6.85</v>
      </c>
      <c r="H615" s="157">
        <v>0</v>
      </c>
      <c r="I615" s="207">
        <f>ROUND(IF(AND(F615:H615),C615*E615*F615*G615*H615,IF(AND(F615,G615),C615*E615*F615*G615,IF(AND(F615,H615),C615*E615*F615*H615,IF(AND(G615,H615),C615*E615*G615*H615,IF(F615,C615*E615*F615,IF(G615,C615*E615*G615,IF(H615,C615*E615*H615,C615*E615))))))),2)</f>
        <v>37.54</v>
      </c>
      <c r="J615" s="195" t="s">
        <v>102</v>
      </c>
      <c r="K615" s="147"/>
      <c r="L615" s="110"/>
      <c r="M615" s="147"/>
    </row>
    <row r="616" spans="1:13" s="148" customFormat="1" ht="16.5" hidden="1" customHeight="1">
      <c r="A616" s="110"/>
      <c r="B616" s="147"/>
      <c r="C616" s="183">
        <v>1</v>
      </c>
      <c r="D616" s="205" t="s">
        <v>268</v>
      </c>
      <c r="E616" s="156">
        <v>2</v>
      </c>
      <c r="F616" s="157">
        <v>5.48</v>
      </c>
      <c r="G616" s="157">
        <v>0</v>
      </c>
      <c r="H616" s="157">
        <v>0.45</v>
      </c>
      <c r="I616" s="207">
        <f>ROUND(IF(AND(F616:H616),C616*E616*F616*G616*H616,IF(AND(F616,G616),C616*E616*F616*G616,IF(AND(F616,H616),C616*E616*F616*H616,IF(AND(G616,H616),C616*E616*G616*H616,IF(F616,C616*E616*F616,IF(G616,C616*E616*G616,IF(H616,C616*E616*H616,C616*E616))))))),2)</f>
        <v>4.93</v>
      </c>
      <c r="J616" s="195" t="s">
        <v>102</v>
      </c>
      <c r="K616" s="147"/>
      <c r="L616" s="110"/>
      <c r="M616" s="147"/>
    </row>
    <row r="617" spans="1:13" s="148" customFormat="1" ht="16.5" hidden="1" customHeight="1">
      <c r="A617" s="110"/>
      <c r="B617" s="147" t="s">
        <v>1810</v>
      </c>
      <c r="C617" s="183">
        <v>1</v>
      </c>
      <c r="D617" s="205" t="s">
        <v>268</v>
      </c>
      <c r="E617" s="156">
        <v>1</v>
      </c>
      <c r="F617" s="157">
        <v>29.510000000000005</v>
      </c>
      <c r="G617" s="157">
        <v>0.3</v>
      </c>
      <c r="H617" s="157">
        <v>0</v>
      </c>
      <c r="I617" s="207">
        <f>ROUND(IF(AND(F617:H617),C617*E617*F617*G617*H617,IF(AND(F617,G617),C617*E617*F617*G617,IF(AND(F617,H617),C617*E617*F617*H617,IF(AND(G617,H617),C617*E617*G617*H617,IF(F617,C617*E617*F617,IF(G617,C617*E617*G617,IF(H617,C617*E617*H617,C617*E617))))))),2)</f>
        <v>8.85</v>
      </c>
      <c r="J617" s="195" t="s">
        <v>102</v>
      </c>
      <c r="K617" s="147"/>
      <c r="L617" s="110"/>
      <c r="M617" s="147"/>
    </row>
    <row r="618" spans="1:13" s="148" customFormat="1" ht="16.5" hidden="1" customHeight="1">
      <c r="A618" s="110"/>
      <c r="B618" s="147" t="s">
        <v>1811</v>
      </c>
      <c r="C618" s="183">
        <v>1</v>
      </c>
      <c r="D618" s="205" t="s">
        <v>268</v>
      </c>
      <c r="E618" s="156">
        <v>6</v>
      </c>
      <c r="F618" s="157">
        <v>1.2</v>
      </c>
      <c r="G618" s="157">
        <v>0.6</v>
      </c>
      <c r="H618" s="157">
        <v>0</v>
      </c>
      <c r="I618" s="207">
        <f>ROUND(IF(AND(F618:H618),C618*E618*F618*G618*H618,IF(AND(F618,G618),C618*E618*F618*G618,IF(AND(F618,H618),C618*E618*F618*H618,IF(AND(G618,H618),C618*E618*G618*H618,IF(F618,C618*E618*F618,IF(G618,C618*E618*G618,IF(H618,C618*E618*H618,C618*E618))))))),2)</f>
        <v>4.32</v>
      </c>
      <c r="J618" s="195" t="s">
        <v>102</v>
      </c>
      <c r="K618" s="147"/>
      <c r="L618" s="110"/>
      <c r="M618" s="147"/>
    </row>
    <row r="619" spans="1:13" s="148" customFormat="1" ht="16.5" hidden="1" customHeight="1">
      <c r="A619" s="110"/>
      <c r="B619" s="147"/>
      <c r="C619" s="183">
        <v>6</v>
      </c>
      <c r="D619" s="205" t="s">
        <v>268</v>
      </c>
      <c r="E619" s="156">
        <v>2</v>
      </c>
      <c r="F619" s="157">
        <v>0.6</v>
      </c>
      <c r="G619" s="157">
        <v>0.05</v>
      </c>
      <c r="H619" s="157">
        <v>0</v>
      </c>
      <c r="I619" s="207">
        <f>ROUND(IF(AND(F619:H619),C619*E619*F619*G619*H619,IF(AND(F619,G619),C619*E619*F619*G619,IF(AND(F619,H619),C619*E619*F619*H619,IF(AND(G619,H619),C619*E619*G619*H619,IF(F619,C619*E619*F619,IF(G619,C619*E619*G619,IF(H619,C619*E619*H619,C619*E619))))))),2)</f>
        <v>0.36</v>
      </c>
      <c r="J619" s="195" t="s">
        <v>102</v>
      </c>
      <c r="K619" s="147"/>
      <c r="L619" s="110"/>
      <c r="M619" s="147"/>
    </row>
    <row r="620" spans="1:13" s="148" customFormat="1" ht="16.5" hidden="1" customHeight="1">
      <c r="A620" s="110"/>
      <c r="B620" s="149"/>
      <c r="C620" s="150"/>
      <c r="D620" s="151"/>
      <c r="E620" s="152"/>
      <c r="F620" s="153"/>
      <c r="G620" s="153"/>
      <c r="H620" s="153"/>
      <c r="I620" s="185"/>
      <c r="J620" s="195"/>
      <c r="K620" s="147"/>
      <c r="L620" s="210"/>
      <c r="M620" s="147"/>
    </row>
    <row r="621" spans="1:13" hidden="1">
      <c r="A621" s="110"/>
      <c r="B621" s="147"/>
      <c r="C621" s="154"/>
      <c r="D621" s="155"/>
      <c r="E621" s="156"/>
      <c r="F621" s="157"/>
      <c r="G621" s="158"/>
      <c r="H621" s="110"/>
      <c r="I621" s="185"/>
      <c r="J621" s="195" t="s">
        <v>102</v>
      </c>
      <c r="K621" s="12">
        <f>'DATA 2025-26'!F482</f>
        <v>434.79</v>
      </c>
      <c r="L621" s="210" t="s">
        <v>270</v>
      </c>
      <c r="M621" s="11">
        <f>ROUND(I621*K621,0)</f>
        <v>0</v>
      </c>
    </row>
    <row r="622" spans="1:13" ht="42" hidden="1" customHeight="1">
      <c r="A622" s="110">
        <v>9</v>
      </c>
      <c r="B622" s="964" t="s">
        <v>124</v>
      </c>
      <c r="C622" s="964"/>
      <c r="D622" s="964"/>
      <c r="E622" s="964"/>
      <c r="F622" s="964"/>
      <c r="G622" s="964"/>
      <c r="H622" s="964"/>
      <c r="I622" s="183"/>
      <c r="J622" s="186"/>
      <c r="K622" s="110"/>
      <c r="L622" s="210"/>
      <c r="M622" s="139"/>
    </row>
    <row r="623" spans="1:13" s="148" customFormat="1" ht="16.5" hidden="1" customHeight="1">
      <c r="A623" s="110"/>
      <c r="B623" s="147" t="s">
        <v>1803</v>
      </c>
      <c r="C623" s="183">
        <v>1</v>
      </c>
      <c r="D623" s="205" t="s">
        <v>268</v>
      </c>
      <c r="E623" s="156">
        <v>2</v>
      </c>
      <c r="F623" s="157">
        <v>6.85</v>
      </c>
      <c r="G623" s="157">
        <v>0</v>
      </c>
      <c r="H623" s="157">
        <v>3.2</v>
      </c>
      <c r="I623" s="207">
        <f>ROUND(IF(AND(F623:H623),C623*E623*F623*G623*H623,IF(AND(F623,G623),C623*E623*F623*G623,IF(AND(F623,H623),C623*E623*F623*H623,IF(AND(G623,H623),C623*E623*G623*H623,IF(F623,C623*E623*F623,IF(G623,C623*E623*G623,IF(H623,C623*E623*H623,C623*E623))))))),2)</f>
        <v>43.84</v>
      </c>
      <c r="J623" s="195" t="s">
        <v>102</v>
      </c>
      <c r="K623" s="147"/>
      <c r="L623" s="210"/>
      <c r="M623" s="147"/>
    </row>
    <row r="624" spans="1:13" s="148" customFormat="1" ht="16.5" hidden="1" customHeight="1">
      <c r="A624" s="110"/>
      <c r="B624" s="147" t="s">
        <v>1812</v>
      </c>
      <c r="C624" s="183">
        <v>1</v>
      </c>
      <c r="D624" s="205" t="s">
        <v>268</v>
      </c>
      <c r="E624" s="156">
        <v>2</v>
      </c>
      <c r="F624" s="157">
        <v>5.48</v>
      </c>
      <c r="G624" s="157">
        <v>0</v>
      </c>
      <c r="H624" s="157">
        <v>3.2</v>
      </c>
      <c r="I624" s="207">
        <f>ROUND(IF(AND(F624:H624),C624*E624*F624*G624*H624,IF(AND(F624,G624),C624*E624*F624*G624,IF(AND(F624,H624),C624*E624*F624*H624,IF(AND(G624,H624),C624*E624*G624*H624,IF(F624,C624*E624*F624,IF(G624,C624*E624*G624,IF(H624,C624*E624*H624,C624*E624))))))),2)</f>
        <v>35.07</v>
      </c>
      <c r="J624" s="195" t="s">
        <v>102</v>
      </c>
      <c r="K624" s="147"/>
      <c r="L624" s="210"/>
      <c r="M624" s="147"/>
    </row>
    <row r="625" spans="1:13" s="148" customFormat="1" ht="16.5" hidden="1" customHeight="1">
      <c r="A625" s="110"/>
      <c r="B625" s="147" t="s">
        <v>1804</v>
      </c>
      <c r="C625" s="183"/>
      <c r="D625" s="205"/>
      <c r="E625" s="156"/>
      <c r="F625" s="157"/>
      <c r="G625" s="157"/>
      <c r="H625" s="157"/>
      <c r="I625" s="207"/>
      <c r="J625" s="195"/>
      <c r="K625" s="147"/>
      <c r="L625" s="210"/>
      <c r="M625" s="147"/>
    </row>
    <row r="626" spans="1:13" s="148" customFormat="1" ht="16.5" hidden="1" customHeight="1">
      <c r="A626" s="110"/>
      <c r="B626" s="147" t="s">
        <v>1805</v>
      </c>
      <c r="C626" s="183">
        <v>-1</v>
      </c>
      <c r="D626" s="205" t="s">
        <v>268</v>
      </c>
      <c r="E626" s="156">
        <v>1</v>
      </c>
      <c r="F626" s="157">
        <v>1.05</v>
      </c>
      <c r="G626" s="157">
        <v>0</v>
      </c>
      <c r="H626" s="157">
        <v>2.13</v>
      </c>
      <c r="I626" s="207">
        <f>ROUND(IF(AND(F626:H626),C626*E626*F626*G626*H626,IF(AND(F626,G626),C626*E626*F626*G626,IF(AND(F626,H626),C626*E626*F626*H626,IF(AND(G626,H626),C626*E626*G626*H626,IF(F626,C626*E626*F626,IF(G626,C626*E626*G626,IF(H626,C626*E626*H626,C626*E626))))))),2)</f>
        <v>-2.2400000000000002</v>
      </c>
      <c r="J626" s="195" t="s">
        <v>102</v>
      </c>
      <c r="K626" s="147"/>
      <c r="L626" s="210"/>
      <c r="M626" s="147"/>
    </row>
    <row r="627" spans="1:13" s="148" customFormat="1" ht="16.5" hidden="1" customHeight="1">
      <c r="A627" s="110"/>
      <c r="B627" s="147" t="s">
        <v>1806</v>
      </c>
      <c r="C627" s="183">
        <v>-1</v>
      </c>
      <c r="D627" s="205" t="s">
        <v>268</v>
      </c>
      <c r="E627" s="156">
        <v>6</v>
      </c>
      <c r="F627" s="157">
        <v>1.22</v>
      </c>
      <c r="G627" s="157">
        <v>0</v>
      </c>
      <c r="H627" s="157">
        <v>1.22</v>
      </c>
      <c r="I627" s="207">
        <f>ROUND(IF(AND(F627:H627),C627*E627*F627*G627*H627,IF(AND(F627,G627),C627*E627*F627*G627,IF(AND(F627,H627),C627*E627*F627*H627,IF(AND(G627,H627),C627*E627*G627*H627,IF(F627,C627*E627*F627,IF(G627,C627*E627*G627,IF(H627,C627*E627*H627,C627*E627))))))),2)</f>
        <v>-8.93</v>
      </c>
      <c r="J627" s="195" t="s">
        <v>102</v>
      </c>
      <c r="K627" s="147"/>
      <c r="L627" s="210"/>
      <c r="M627" s="147"/>
    </row>
    <row r="628" spans="1:13" s="148" customFormat="1" ht="16.5" hidden="1" customHeight="1">
      <c r="A628" s="110"/>
      <c r="B628" s="147"/>
      <c r="C628" s="183">
        <v>-1</v>
      </c>
      <c r="D628" s="205" t="s">
        <v>268</v>
      </c>
      <c r="E628" s="156">
        <v>2</v>
      </c>
      <c r="F628" s="157">
        <v>0.9</v>
      </c>
      <c r="G628" s="157">
        <v>0</v>
      </c>
      <c r="H628" s="157">
        <v>0.9</v>
      </c>
      <c r="I628" s="207">
        <f>ROUND(IF(AND(F628:H628),C628*E628*F628*G628*H628,IF(AND(F628,G628),C628*E628*F628*G628,IF(AND(F628,H628),C628*E628*F628*H628,IF(AND(G628,H628),C628*E628*G628*H628,IF(F628,C628*E628*F628,IF(G628,C628*E628*G628,IF(H628,C628*E628*H628,C628*E628))))))),2)</f>
        <v>-1.62</v>
      </c>
      <c r="J628" s="195" t="s">
        <v>102</v>
      </c>
      <c r="K628" s="147"/>
      <c r="L628" s="210"/>
      <c r="M628" s="147"/>
    </row>
    <row r="629" spans="1:13" s="148" customFormat="1" ht="16.5" hidden="1" customHeight="1">
      <c r="A629" s="110"/>
      <c r="B629" s="147" t="s">
        <v>1813</v>
      </c>
      <c r="C629" s="183">
        <v>-1</v>
      </c>
      <c r="D629" s="205" t="s">
        <v>268</v>
      </c>
      <c r="E629" s="156">
        <v>8</v>
      </c>
      <c r="F629" s="157">
        <v>0.9</v>
      </c>
      <c r="G629" s="157">
        <v>0</v>
      </c>
      <c r="H629" s="157">
        <v>0.3</v>
      </c>
      <c r="I629" s="207">
        <f>ROUND(IF(AND(F629:H629),C629*E629*F629*G629*H629,IF(AND(F629,G629),C629*E629*F629*G629,IF(AND(F629,H629),C629*E629*F629*H629,IF(AND(G629,H629),C629*E629*G629*H629,IF(F629,C629*E629*F629,IF(G629,C629*E629*G629,IF(H629,C629*E629*H629,C629*E629))))))),2)</f>
        <v>-2.16</v>
      </c>
      <c r="J629" s="195" t="s">
        <v>102</v>
      </c>
      <c r="K629" s="147"/>
      <c r="L629" s="210"/>
      <c r="M629" s="147"/>
    </row>
    <row r="630" spans="1:13" s="148" customFormat="1" ht="16.5" hidden="1" customHeight="1">
      <c r="A630" s="110"/>
      <c r="B630" s="149"/>
      <c r="C630" s="150"/>
      <c r="D630" s="151"/>
      <c r="E630" s="152"/>
      <c r="F630" s="153"/>
      <c r="G630" s="153"/>
      <c r="H630" s="153"/>
      <c r="I630" s="185"/>
      <c r="J630" s="195"/>
      <c r="K630" s="147"/>
      <c r="L630" s="210"/>
      <c r="M630" s="147"/>
    </row>
    <row r="631" spans="1:13" hidden="1">
      <c r="A631" s="110"/>
      <c r="B631" s="147"/>
      <c r="C631" s="154"/>
      <c r="D631" s="155"/>
      <c r="E631" s="156"/>
      <c r="F631" s="157"/>
      <c r="G631" s="158"/>
      <c r="H631" s="110"/>
      <c r="I631" s="185"/>
      <c r="J631" s="195" t="s">
        <v>102</v>
      </c>
      <c r="K631" s="12">
        <f>'DATA 2025-26'!F499</f>
        <v>355.94</v>
      </c>
      <c r="L631" s="210" t="s">
        <v>270</v>
      </c>
      <c r="M631" s="11">
        <f>ROUND(I631*K631,0)</f>
        <v>0</v>
      </c>
    </row>
    <row r="632" spans="1:13" ht="52.5" hidden="1" customHeight="1">
      <c r="A632" s="110">
        <v>10</v>
      </c>
      <c r="B632" s="964" t="s">
        <v>586</v>
      </c>
      <c r="C632" s="964"/>
      <c r="D632" s="964"/>
      <c r="E632" s="964"/>
      <c r="F632" s="964"/>
      <c r="G632" s="964"/>
      <c r="H632" s="964"/>
      <c r="I632" s="183"/>
      <c r="J632" s="186"/>
      <c r="K632" s="110"/>
      <c r="L632" s="210"/>
      <c r="M632" s="139"/>
    </row>
    <row r="633" spans="1:13" s="148" customFormat="1" ht="16.5" hidden="1" customHeight="1">
      <c r="A633" s="110"/>
      <c r="B633" s="147" t="s">
        <v>1803</v>
      </c>
      <c r="C633" s="183">
        <v>1</v>
      </c>
      <c r="D633" s="205" t="s">
        <v>268</v>
      </c>
      <c r="E633" s="156">
        <v>2</v>
      </c>
      <c r="F633" s="157">
        <v>7.32</v>
      </c>
      <c r="G633" s="157">
        <v>0</v>
      </c>
      <c r="H633" s="157">
        <v>3.5</v>
      </c>
      <c r="I633" s="207">
        <f>ROUND(IF(AND(F633:H633),C633*E633*F633*G633*H633,IF(AND(F633,G633),C633*E633*F633*G633,IF(AND(F633,H633),C633*E633*F633*H633,IF(AND(G633,H633),C633*E633*G633*H633,IF(F633,C633*E633*F633,IF(G633,C633*E633*G633,IF(H633,C633*E633*H633,C633*E633))))))),2)</f>
        <v>51.24</v>
      </c>
      <c r="J633" s="195" t="s">
        <v>102</v>
      </c>
      <c r="K633" s="147"/>
      <c r="L633" s="110"/>
      <c r="M633" s="147"/>
    </row>
    <row r="634" spans="1:13" s="148" customFormat="1" ht="16.5" hidden="1" customHeight="1">
      <c r="A634" s="110"/>
      <c r="B634" s="147" t="s">
        <v>1812</v>
      </c>
      <c r="C634" s="183">
        <v>1</v>
      </c>
      <c r="D634" s="205" t="s">
        <v>268</v>
      </c>
      <c r="E634" s="156">
        <v>2</v>
      </c>
      <c r="F634" s="157">
        <v>5.9600000000000009</v>
      </c>
      <c r="G634" s="157">
        <v>0</v>
      </c>
      <c r="H634" s="157">
        <v>3.5</v>
      </c>
      <c r="I634" s="207">
        <f>ROUND(IF(AND(F634:H634),C634*E634*F634*G634*H634,IF(AND(F634,G634),C634*E634*F634*G634,IF(AND(F634,H634),C634*E634*F634*H634,IF(AND(G634,H634),C634*E634*G634*H634,IF(F634,C634*E634*F634,IF(G634,C634*E634*G634,IF(H634,C634*E634*H634,C634*E634))))))),2)</f>
        <v>41.72</v>
      </c>
      <c r="J634" s="195" t="s">
        <v>102</v>
      </c>
      <c r="K634" s="147"/>
      <c r="L634" s="110"/>
      <c r="M634" s="147"/>
    </row>
    <row r="635" spans="1:13" s="148" customFormat="1" ht="16.5" hidden="1" customHeight="1">
      <c r="A635" s="110"/>
      <c r="B635" s="147" t="s">
        <v>1814</v>
      </c>
      <c r="C635" s="183">
        <v>-1</v>
      </c>
      <c r="D635" s="205" t="s">
        <v>268</v>
      </c>
      <c r="E635" s="156">
        <v>1</v>
      </c>
      <c r="F635" s="157">
        <v>1.05</v>
      </c>
      <c r="G635" s="157">
        <v>0</v>
      </c>
      <c r="H635" s="157">
        <v>2.13</v>
      </c>
      <c r="I635" s="207">
        <f>ROUND(IF(AND(F635:H635),C635*E635*F635*G635*H635,IF(AND(F635,G635),C635*E635*F635*G635,IF(AND(F635,H635),C635*E635*F635*H635,IF(AND(G635,H635),C635*E635*G635*H635,IF(F635,C635*E635*F635,IF(G635,C635*E635*G635,IF(H635,C635*E635*H635,C635*E635))))))),2)</f>
        <v>-2.2400000000000002</v>
      </c>
      <c r="J635" s="195" t="s">
        <v>102</v>
      </c>
      <c r="K635" s="147"/>
      <c r="L635" s="110"/>
      <c r="M635" s="147"/>
    </row>
    <row r="636" spans="1:13" s="148" customFormat="1" ht="16.5" hidden="1" customHeight="1">
      <c r="A636" s="110"/>
      <c r="B636" s="147" t="s">
        <v>1815</v>
      </c>
      <c r="C636" s="183">
        <v>-1</v>
      </c>
      <c r="D636" s="205" t="s">
        <v>268</v>
      </c>
      <c r="E636" s="156">
        <v>8</v>
      </c>
      <c r="F636" s="157">
        <v>1.22</v>
      </c>
      <c r="G636" s="157">
        <v>0</v>
      </c>
      <c r="H636" s="157">
        <v>1.22</v>
      </c>
      <c r="I636" s="207">
        <f>ROUND(IF(AND(F636:H636),C636*E636*F636*G636*H636,IF(AND(F636,G636),C636*E636*F636*G636,IF(AND(F636,H636),C636*E636*F636*H636,IF(AND(G636,H636),C636*E636*G636*H636,IF(F636,C636*E636*F636,IF(G636,C636*E636*G636,IF(H636,C636*E636*H636,C636*E636))))))),2)</f>
        <v>-11.91</v>
      </c>
      <c r="J636" s="195" t="s">
        <v>102</v>
      </c>
      <c r="K636" s="147"/>
      <c r="L636" s="110"/>
      <c r="M636" s="147"/>
    </row>
    <row r="637" spans="1:13" s="148" customFormat="1" ht="16.5" hidden="1" customHeight="1">
      <c r="A637" s="110"/>
      <c r="B637" s="147" t="s">
        <v>1816</v>
      </c>
      <c r="C637" s="183">
        <v>-1</v>
      </c>
      <c r="D637" s="205" t="s">
        <v>268</v>
      </c>
      <c r="E637" s="156">
        <v>8</v>
      </c>
      <c r="F637" s="157">
        <v>0.9</v>
      </c>
      <c r="G637" s="157">
        <v>0</v>
      </c>
      <c r="H637" s="157">
        <v>0.3</v>
      </c>
      <c r="I637" s="207">
        <f>ROUND(IF(AND(F637:H637),C637*E637*F637*G637*H637,IF(AND(F637,G637),C637*E637*F637*G637,IF(AND(F637,H637),C637*E637*F637*H637,IF(AND(G637,H637),C637*E637*G637*H637,IF(F637,C637*E637*F637,IF(G637,C637*E637*G637,IF(H637,C637*E637*H637,C637*E637))))))),2)</f>
        <v>-2.16</v>
      </c>
      <c r="J637" s="195" t="s">
        <v>102</v>
      </c>
      <c r="K637" s="147"/>
      <c r="L637" s="110"/>
      <c r="M637" s="147"/>
    </row>
    <row r="638" spans="1:13" s="148" customFormat="1" ht="16.5" hidden="1" customHeight="1">
      <c r="A638" s="110"/>
      <c r="B638" s="149"/>
      <c r="C638" s="150"/>
      <c r="D638" s="151"/>
      <c r="E638" s="152"/>
      <c r="F638" s="153"/>
      <c r="G638" s="153"/>
      <c r="H638" s="153"/>
      <c r="I638" s="185"/>
      <c r="J638" s="195"/>
      <c r="K638" s="147"/>
      <c r="L638" s="210"/>
      <c r="M638" s="147"/>
    </row>
    <row r="639" spans="1:13" hidden="1">
      <c r="A639" s="110"/>
      <c r="B639" s="147"/>
      <c r="C639" s="154"/>
      <c r="D639" s="155"/>
      <c r="E639" s="156"/>
      <c r="F639" s="157"/>
      <c r="G639" s="158"/>
      <c r="H639" s="110"/>
      <c r="I639" s="185"/>
      <c r="J639" s="195" t="s">
        <v>102</v>
      </c>
      <c r="K639" s="12">
        <f>'DATA 2025-26'!F516</f>
        <v>371.5</v>
      </c>
      <c r="L639" s="210" t="s">
        <v>270</v>
      </c>
      <c r="M639" s="11">
        <f>ROUND(I639*K639,0)</f>
        <v>0</v>
      </c>
    </row>
    <row r="640" spans="1:13" ht="71.25" hidden="1" customHeight="1">
      <c r="A640" s="110">
        <v>2</v>
      </c>
      <c r="B640" s="964" t="s">
        <v>751</v>
      </c>
      <c r="C640" s="964"/>
      <c r="D640" s="964"/>
      <c r="E640" s="964"/>
      <c r="F640" s="964"/>
      <c r="G640" s="964"/>
      <c r="H640" s="964"/>
      <c r="I640" s="183"/>
      <c r="J640" s="186"/>
      <c r="K640" s="110"/>
      <c r="L640" s="210"/>
      <c r="M640" s="139"/>
    </row>
    <row r="641" spans="1:13" hidden="1">
      <c r="A641" s="110"/>
      <c r="B641" s="632" t="s">
        <v>1894</v>
      </c>
      <c r="C641" s="671"/>
      <c r="D641" s="672"/>
      <c r="E641" s="673"/>
      <c r="F641" s="632"/>
      <c r="G641" s="632"/>
      <c r="H641" s="632"/>
      <c r="I641" s="183"/>
      <c r="J641" s="186"/>
      <c r="K641" s="110"/>
      <c r="L641" s="210"/>
      <c r="M641" s="139"/>
    </row>
    <row r="642" spans="1:13" s="148" customFormat="1" ht="16.5" hidden="1" customHeight="1">
      <c r="A642" s="110"/>
      <c r="B642" s="147" t="s">
        <v>1847</v>
      </c>
      <c r="C642" s="183">
        <v>1</v>
      </c>
      <c r="D642" s="205" t="s">
        <v>268</v>
      </c>
      <c r="E642" s="156">
        <v>2</v>
      </c>
      <c r="F642" s="157">
        <v>3.37</v>
      </c>
      <c r="G642" s="157">
        <v>0</v>
      </c>
      <c r="H642" s="157">
        <v>3.15</v>
      </c>
      <c r="I642" s="207">
        <f>ROUND(IF(AND(F642:H642),C642*E642*F642*G642*H642,IF(AND(F642,G642),C642*E642*F642*G642,IF(AND(F642,H642),C642*E642*F642*H642,IF(AND(G642,H642),C642*E642*G642*H642,IF(F642,C642*E642*F642,IF(G642,C642*E642*G642,IF(H642,C642*E642*H642,C642*E642))))))),2)</f>
        <v>21.23</v>
      </c>
      <c r="J642" s="195" t="s">
        <v>102</v>
      </c>
      <c r="K642" s="147"/>
      <c r="L642" s="110"/>
      <c r="M642" s="147"/>
    </row>
    <row r="643" spans="1:13" s="148" customFormat="1" ht="16.5" hidden="1" customHeight="1">
      <c r="A643" s="110"/>
      <c r="B643" s="147"/>
      <c r="C643" s="183">
        <v>1</v>
      </c>
      <c r="D643" s="205" t="s">
        <v>268</v>
      </c>
      <c r="E643" s="156">
        <v>2</v>
      </c>
      <c r="F643" s="157">
        <v>3.37</v>
      </c>
      <c r="G643" s="157">
        <v>0</v>
      </c>
      <c r="H643" s="157">
        <v>3.15</v>
      </c>
      <c r="I643" s="207">
        <f t="shared" ref="I643:I648" si="64">ROUND(IF(AND(F643:H643),C643*E643*F643*G643*H643,IF(AND(F643,G643),C643*E643*F643*G643,IF(AND(F643,H643),C643*E643*F643*H643,IF(AND(G643,H643),C643*E643*G643*H643,IF(F643,C643*E643*F643,IF(G643,C643*E643*G643,IF(H643,C643*E643*H643,C643*E643))))))),2)</f>
        <v>21.23</v>
      </c>
      <c r="J643" s="195" t="s">
        <v>102</v>
      </c>
      <c r="K643" s="147"/>
      <c r="L643" s="110"/>
      <c r="M643" s="147"/>
    </row>
    <row r="644" spans="1:13" s="148" customFormat="1" ht="16.5" hidden="1" customHeight="1">
      <c r="A644" s="110"/>
      <c r="B644" s="147" t="s">
        <v>567</v>
      </c>
      <c r="C644" s="183">
        <v>1</v>
      </c>
      <c r="D644" s="205" t="s">
        <v>268</v>
      </c>
      <c r="E644" s="156">
        <v>1</v>
      </c>
      <c r="F644" s="157">
        <v>1.05</v>
      </c>
      <c r="G644" s="157">
        <v>0</v>
      </c>
      <c r="H644" s="157">
        <v>2.1</v>
      </c>
      <c r="I644" s="207">
        <f>-ROUND(IF(AND(F644:H644),C644*E644*F644*G644*H644,IF(AND(F644,G644),C644*E644*F644*G644,IF(AND(F644,H644),C644*E644*F644*H644,IF(AND(G644,H644),C644*E644*G644*H644,IF(F644,C644*E644*F644,IF(G644,C644*E644*G644,IF(H644,C644*E644*H644,C644*E644))))))),2)</f>
        <v>-2.21</v>
      </c>
      <c r="J644" s="195" t="s">
        <v>102</v>
      </c>
      <c r="K644" s="147"/>
      <c r="L644" s="110"/>
      <c r="M644" s="147"/>
    </row>
    <row r="645" spans="1:13" s="148" customFormat="1" ht="16.5" hidden="1" customHeight="1">
      <c r="A645" s="110"/>
      <c r="B645" s="147" t="s">
        <v>567</v>
      </c>
      <c r="C645" s="183">
        <v>1</v>
      </c>
      <c r="D645" s="205" t="s">
        <v>268</v>
      </c>
      <c r="E645" s="156">
        <v>1</v>
      </c>
      <c r="F645" s="157">
        <v>0.75</v>
      </c>
      <c r="G645" s="157">
        <v>0</v>
      </c>
      <c r="H645" s="157">
        <v>2.1</v>
      </c>
      <c r="I645" s="207">
        <f>-ROUND(IF(AND(F645:H645),C645*E645*F645*G645*H645,IF(AND(F645,G645),C645*E645*F645*G645,IF(AND(F645,H645),C645*E645*F645*H645,IF(AND(G645,H645),C645*E645*G645*H645,IF(F645,C645*E645*F645,IF(G645,C645*E645*G645,IF(H645,C645*E645*H645,C645*E645))))))),2)</f>
        <v>-1.58</v>
      </c>
      <c r="J645" s="195" t="s">
        <v>102</v>
      </c>
      <c r="K645" s="147"/>
      <c r="L645" s="110"/>
      <c r="M645" s="147"/>
    </row>
    <row r="646" spans="1:13" s="148" customFormat="1" ht="16.5" hidden="1" customHeight="1">
      <c r="A646" s="110"/>
      <c r="B646" s="147" t="s">
        <v>748</v>
      </c>
      <c r="C646" s="183">
        <v>1</v>
      </c>
      <c r="D646" s="205" t="s">
        <v>268</v>
      </c>
      <c r="E646" s="156">
        <v>1</v>
      </c>
      <c r="F646" s="157">
        <v>1.2</v>
      </c>
      <c r="G646" s="157">
        <v>0</v>
      </c>
      <c r="H646" s="157">
        <v>1.2</v>
      </c>
      <c r="I646" s="207">
        <f>-ROUND(IF(AND(F646:H646),C646*E646*F646*G646*H646,IF(AND(F646,G646),C646*E646*F646*G646,IF(AND(F646,H646),C646*E646*F646*H646,IF(AND(G646,H646),C646*E646*G646*H646,IF(F646,C646*E646*F646,IF(G646,C646*E646*G646,IF(H646,C646*E646*H646,C646*E646))))))),2)</f>
        <v>-1.44</v>
      </c>
      <c r="J646" s="195" t="s">
        <v>102</v>
      </c>
      <c r="K646" s="147"/>
      <c r="L646" s="110"/>
      <c r="M646" s="147"/>
    </row>
    <row r="647" spans="1:13" s="148" customFormat="1" ht="16.5" hidden="1" customHeight="1">
      <c r="A647" s="110"/>
      <c r="B647" s="147" t="s">
        <v>1848</v>
      </c>
      <c r="C647" s="183">
        <v>1</v>
      </c>
      <c r="D647" s="205" t="s">
        <v>268</v>
      </c>
      <c r="E647" s="156">
        <v>2</v>
      </c>
      <c r="F647" s="157">
        <v>1.8</v>
      </c>
      <c r="G647" s="157">
        <v>0</v>
      </c>
      <c r="H647" s="157">
        <v>3.15</v>
      </c>
      <c r="I647" s="207">
        <f t="shared" si="64"/>
        <v>11.34</v>
      </c>
      <c r="J647" s="195" t="s">
        <v>102</v>
      </c>
      <c r="K647" s="147"/>
      <c r="L647" s="110"/>
      <c r="M647" s="147"/>
    </row>
    <row r="648" spans="1:13" s="148" customFormat="1" ht="16.5" hidden="1" customHeight="1">
      <c r="A648" s="110"/>
      <c r="B648" s="147"/>
      <c r="C648" s="183">
        <v>1</v>
      </c>
      <c r="D648" s="205" t="s">
        <v>268</v>
      </c>
      <c r="E648" s="156">
        <v>2</v>
      </c>
      <c r="F648" s="157">
        <v>1.2</v>
      </c>
      <c r="G648" s="157">
        <v>0</v>
      </c>
      <c r="H648" s="157">
        <v>3.15</v>
      </c>
      <c r="I648" s="207">
        <f t="shared" si="64"/>
        <v>7.56</v>
      </c>
      <c r="J648" s="195" t="s">
        <v>102</v>
      </c>
      <c r="K648" s="147"/>
      <c r="L648" s="110"/>
      <c r="M648" s="147"/>
    </row>
    <row r="649" spans="1:13" s="148" customFormat="1" ht="16.5" hidden="1" customHeight="1">
      <c r="A649" s="110"/>
      <c r="B649" s="147" t="s">
        <v>567</v>
      </c>
      <c r="C649" s="183">
        <v>1</v>
      </c>
      <c r="D649" s="205" t="s">
        <v>268</v>
      </c>
      <c r="E649" s="156">
        <v>1</v>
      </c>
      <c r="F649" s="157">
        <v>0.75</v>
      </c>
      <c r="G649" s="157">
        <v>0</v>
      </c>
      <c r="H649" s="157">
        <v>2.1</v>
      </c>
      <c r="I649" s="207">
        <f>-ROUND(IF(AND(F649:H649),C649*E649*F649*G649*H649,IF(AND(F649,G649),C649*E649*F649*G649,IF(AND(F649,H649),C649*E649*F649*H649,IF(AND(G649,H649),C649*E649*G649*H649,IF(F649,C649*E649*F649,IF(G649,C649*E649*G649,IF(H649,C649*E649*H649,C649*E649))))))),2)</f>
        <v>-1.58</v>
      </c>
      <c r="J649" s="195" t="s">
        <v>102</v>
      </c>
      <c r="K649" s="147"/>
      <c r="L649" s="110"/>
      <c r="M649" s="147"/>
    </row>
    <row r="650" spans="1:13" s="148" customFormat="1" ht="16.5" hidden="1" customHeight="1">
      <c r="A650" s="110"/>
      <c r="B650" s="147" t="s">
        <v>569</v>
      </c>
      <c r="C650" s="183">
        <v>1</v>
      </c>
      <c r="D650" s="205" t="s">
        <v>268</v>
      </c>
      <c r="E650" s="156">
        <v>1</v>
      </c>
      <c r="F650" s="157">
        <v>0.6</v>
      </c>
      <c r="G650" s="157">
        <v>0</v>
      </c>
      <c r="H650" s="157">
        <v>0.3</v>
      </c>
      <c r="I650" s="207">
        <f>-ROUND(IF(AND(F650:H650),C650*E650*F650*G650*H650,IF(AND(F650,G650),C650*E650*F650*G650,IF(AND(F650,H650),C650*E650*F650*H650,IF(AND(G650,H650),C650*E650*G650*H650,IF(F650,C650*E650*F650,IF(G650,C650*E650*G650,IF(H650,C650*E650*H650,C650*E650))))))),2)</f>
        <v>-0.18</v>
      </c>
      <c r="J650" s="195" t="s">
        <v>102</v>
      </c>
      <c r="K650" s="147"/>
      <c r="L650" s="110"/>
      <c r="M650" s="147"/>
    </row>
    <row r="651" spans="1:13" s="148" customFormat="1" ht="16.5" hidden="1" customHeight="1">
      <c r="A651" s="110"/>
      <c r="B651" s="147" t="s">
        <v>1849</v>
      </c>
      <c r="C651" s="183">
        <v>1</v>
      </c>
      <c r="D651" s="205" t="s">
        <v>268</v>
      </c>
      <c r="E651" s="156">
        <v>1</v>
      </c>
      <c r="F651" s="157">
        <v>4.47</v>
      </c>
      <c r="G651" s="157">
        <v>0</v>
      </c>
      <c r="H651" s="157">
        <v>3.15</v>
      </c>
      <c r="I651" s="207">
        <f t="shared" ref="I651" si="65">ROUND(IF(AND(F651:H651),C651*E651*F651*G651*H651,IF(AND(F651,G651),C651*E651*F651*G651,IF(AND(F651,H651),C651*E651*F651*H651,IF(AND(G651,H651),C651*E651*G651*H651,IF(F651,C651*E651*F651,IF(G651,C651*E651*G651,IF(H651,C651*E651*H651,C651*E651))))))),2)</f>
        <v>14.08</v>
      </c>
      <c r="J651" s="195" t="s">
        <v>102</v>
      </c>
      <c r="K651" s="147"/>
      <c r="L651" s="110"/>
      <c r="M651" s="147"/>
    </row>
    <row r="652" spans="1:13" s="148" customFormat="1" ht="16.5" hidden="1" customHeight="1">
      <c r="A652" s="110"/>
      <c r="B652" s="147"/>
      <c r="C652" s="183">
        <v>1</v>
      </c>
      <c r="D652" s="205" t="s">
        <v>268</v>
      </c>
      <c r="E652" s="156">
        <v>1</v>
      </c>
      <c r="F652" s="157">
        <v>3.37</v>
      </c>
      <c r="G652" s="157">
        <v>0</v>
      </c>
      <c r="H652" s="157">
        <v>3.15</v>
      </c>
      <c r="I652" s="207">
        <f t="shared" ref="I652:I660" si="66">ROUND(IF(AND(F652:H652),C652*E652*F652*G652*H652,IF(AND(F652,G652),C652*E652*F652*G652,IF(AND(F652,H652),C652*E652*F652*H652,IF(AND(G652,H652),C652*E652*G652*H652,IF(F652,C652*E652*F652,IF(G652,C652*E652*G652,IF(H652,C652*E652*H652,C652*E652))))))),2)</f>
        <v>10.62</v>
      </c>
      <c r="J652" s="195" t="s">
        <v>102</v>
      </c>
      <c r="K652" s="147"/>
      <c r="L652" s="110"/>
      <c r="M652" s="147"/>
    </row>
    <row r="653" spans="1:13" s="148" customFormat="1" ht="16.5" hidden="1" customHeight="1">
      <c r="A653" s="110"/>
      <c r="B653" s="147"/>
      <c r="C653" s="183">
        <v>1</v>
      </c>
      <c r="D653" s="205" t="s">
        <v>268</v>
      </c>
      <c r="E653" s="156">
        <v>1</v>
      </c>
      <c r="F653" s="157">
        <v>2.0699999999999998</v>
      </c>
      <c r="G653" s="157">
        <v>0</v>
      </c>
      <c r="H653" s="157">
        <v>3.15</v>
      </c>
      <c r="I653" s="207">
        <f t="shared" si="66"/>
        <v>6.52</v>
      </c>
      <c r="J653" s="195" t="s">
        <v>102</v>
      </c>
      <c r="K653" s="147"/>
      <c r="L653" s="110"/>
      <c r="M653" s="147"/>
    </row>
    <row r="654" spans="1:13" s="148" customFormat="1" ht="16.5" hidden="1" customHeight="1">
      <c r="A654" s="110"/>
      <c r="B654" s="147"/>
      <c r="C654" s="183">
        <v>1</v>
      </c>
      <c r="D654" s="205" t="s">
        <v>268</v>
      </c>
      <c r="E654" s="156">
        <v>1</v>
      </c>
      <c r="F654" s="157">
        <v>0.9</v>
      </c>
      <c r="G654" s="157">
        <v>0</v>
      </c>
      <c r="H654" s="157">
        <v>3.15</v>
      </c>
      <c r="I654" s="207">
        <f t="shared" si="66"/>
        <v>2.84</v>
      </c>
      <c r="J654" s="195" t="s">
        <v>102</v>
      </c>
      <c r="K654" s="147"/>
      <c r="L654" s="110"/>
      <c r="M654" s="147"/>
    </row>
    <row r="655" spans="1:13" s="148" customFormat="1" ht="16.5" hidden="1" customHeight="1">
      <c r="A655" s="110"/>
      <c r="B655" s="147"/>
      <c r="C655" s="183">
        <v>1</v>
      </c>
      <c r="D655" s="205" t="s">
        <v>268</v>
      </c>
      <c r="E655" s="156">
        <v>1</v>
      </c>
      <c r="F655" s="157">
        <v>0.55000000000000004</v>
      </c>
      <c r="G655" s="157">
        <v>0</v>
      </c>
      <c r="H655" s="157">
        <v>3.15</v>
      </c>
      <c r="I655" s="207">
        <f t="shared" si="66"/>
        <v>1.73</v>
      </c>
      <c r="J655" s="195" t="s">
        <v>102</v>
      </c>
      <c r="K655" s="147"/>
      <c r="L655" s="110"/>
      <c r="M655" s="147"/>
    </row>
    <row r="656" spans="1:13" s="148" customFormat="1" ht="16.5" hidden="1" customHeight="1">
      <c r="A656" s="110"/>
      <c r="B656" s="147" t="s">
        <v>567</v>
      </c>
      <c r="C656" s="183">
        <v>1</v>
      </c>
      <c r="D656" s="205" t="s">
        <v>268</v>
      </c>
      <c r="E656" s="156">
        <v>1</v>
      </c>
      <c r="F656" s="157">
        <v>1.05</v>
      </c>
      <c r="G656" s="157">
        <v>0</v>
      </c>
      <c r="H656" s="157">
        <v>2.1</v>
      </c>
      <c r="I656" s="207">
        <f>-ROUND(IF(AND(F656:H656),C656*E656*F656*G656*H656,IF(AND(F656,G656),C656*E656*F656*G656,IF(AND(F656,H656),C656*E656*F656*H656,IF(AND(G656,H656),C656*E656*G656*H656,IF(F656,C656*E656*F656,IF(G656,C656*E656*G656,IF(H656,C656*E656*H656,C656*E656))))))),2)</f>
        <v>-2.21</v>
      </c>
      <c r="J656" s="195" t="s">
        <v>102</v>
      </c>
      <c r="K656" s="147"/>
      <c r="L656" s="110"/>
      <c r="M656" s="147"/>
    </row>
    <row r="657" spans="1:13" s="148" customFormat="1" ht="16.5" hidden="1" customHeight="1">
      <c r="A657" s="110"/>
      <c r="B657" s="147" t="s">
        <v>748</v>
      </c>
      <c r="C657" s="183">
        <v>1</v>
      </c>
      <c r="D657" s="205" t="s">
        <v>268</v>
      </c>
      <c r="E657" s="156">
        <v>1</v>
      </c>
      <c r="F657" s="157">
        <v>1.2</v>
      </c>
      <c r="G657" s="157">
        <v>0</v>
      </c>
      <c r="H657" s="157">
        <v>1.2</v>
      </c>
      <c r="I657" s="207">
        <f>-ROUND(IF(AND(F657:H657),C657*E657*F657*G657*H657,IF(AND(F657,G657),C657*E657*F657*G657,IF(AND(F657,H657),C657*E657*F657*H657,IF(AND(G657,H657),C657*E657*G657*H657,IF(F657,C657*E657*F657,IF(G657,C657*E657*G657,IF(H657,C657*E657*H657,C657*E657))))))),2)</f>
        <v>-1.44</v>
      </c>
      <c r="J657" s="195" t="s">
        <v>102</v>
      </c>
      <c r="K657" s="147"/>
      <c r="L657" s="110"/>
      <c r="M657" s="147"/>
    </row>
    <row r="658" spans="1:13" s="148" customFormat="1" ht="16.5" hidden="1" customHeight="1">
      <c r="A658" s="110"/>
      <c r="B658" s="147" t="s">
        <v>745</v>
      </c>
      <c r="C658" s="183">
        <v>1</v>
      </c>
      <c r="D658" s="205" t="s">
        <v>268</v>
      </c>
      <c r="E658" s="156">
        <v>2</v>
      </c>
      <c r="F658" s="157">
        <v>6.75</v>
      </c>
      <c r="G658" s="157">
        <v>0</v>
      </c>
      <c r="H658" s="157">
        <v>3.15</v>
      </c>
      <c r="I658" s="207">
        <f t="shared" si="66"/>
        <v>42.53</v>
      </c>
      <c r="J658" s="195" t="s">
        <v>102</v>
      </c>
      <c r="K658" s="147"/>
      <c r="L658" s="110"/>
      <c r="M658" s="147"/>
    </row>
    <row r="659" spans="1:13" s="148" customFormat="1" ht="16.5" hidden="1" customHeight="1">
      <c r="A659" s="110"/>
      <c r="B659" s="147"/>
      <c r="C659" s="183">
        <v>1</v>
      </c>
      <c r="D659" s="205" t="s">
        <v>268</v>
      </c>
      <c r="E659" s="156">
        <v>2</v>
      </c>
      <c r="F659" s="157">
        <v>3.3</v>
      </c>
      <c r="G659" s="157">
        <v>0</v>
      </c>
      <c r="H659" s="157">
        <v>3.15</v>
      </c>
      <c r="I659" s="207">
        <f t="shared" si="66"/>
        <v>20.79</v>
      </c>
      <c r="J659" s="195" t="s">
        <v>102</v>
      </c>
      <c r="K659" s="147"/>
      <c r="L659" s="110"/>
      <c r="M659" s="147"/>
    </row>
    <row r="660" spans="1:13" s="148" customFormat="1" ht="16.5" hidden="1" customHeight="1">
      <c r="A660" s="110"/>
      <c r="B660" s="147"/>
      <c r="C660" s="183">
        <v>1</v>
      </c>
      <c r="D660" s="205" t="s">
        <v>268</v>
      </c>
      <c r="E660" s="156">
        <v>1</v>
      </c>
      <c r="F660" s="157">
        <v>1.8</v>
      </c>
      <c r="G660" s="157">
        <v>0</v>
      </c>
      <c r="H660" s="157">
        <v>3.15</v>
      </c>
      <c r="I660" s="207">
        <f t="shared" si="66"/>
        <v>5.67</v>
      </c>
      <c r="J660" s="195" t="s">
        <v>102</v>
      </c>
      <c r="K660" s="147"/>
      <c r="L660" s="110"/>
      <c r="M660" s="147"/>
    </row>
    <row r="661" spans="1:13" s="148" customFormat="1" ht="16.5" hidden="1" customHeight="1">
      <c r="A661" s="110"/>
      <c r="B661" s="147" t="s">
        <v>567</v>
      </c>
      <c r="C661" s="183">
        <v>1</v>
      </c>
      <c r="D661" s="205" t="s">
        <v>268</v>
      </c>
      <c r="E661" s="156">
        <v>1</v>
      </c>
      <c r="F661" s="157">
        <v>1.05</v>
      </c>
      <c r="G661" s="157">
        <v>0</v>
      </c>
      <c r="H661" s="157">
        <v>2.1</v>
      </c>
      <c r="I661" s="207">
        <f>-ROUND(IF(AND(F661:H661),C661*E661*F661*G661*H661,IF(AND(F661,G661),C661*E661*F661*G661,IF(AND(F661,H661),C661*E661*F661*H661,IF(AND(G661,H661),C661*E661*G661*H661,IF(F661,C661*E661*F661,IF(G661,C661*E661*G661,IF(H661,C661*E661*H661,C661*E661))))))),2)</f>
        <v>-2.21</v>
      </c>
      <c r="J661" s="195" t="s">
        <v>102</v>
      </c>
      <c r="K661" s="147"/>
      <c r="L661" s="110"/>
      <c r="M661" s="147"/>
    </row>
    <row r="662" spans="1:13" s="148" customFormat="1" ht="16.5" hidden="1" customHeight="1">
      <c r="A662" s="110"/>
      <c r="B662" s="147" t="s">
        <v>748</v>
      </c>
      <c r="C662" s="183">
        <v>1</v>
      </c>
      <c r="D662" s="205" t="s">
        <v>268</v>
      </c>
      <c r="E662" s="156">
        <v>2</v>
      </c>
      <c r="F662" s="157">
        <v>1.2</v>
      </c>
      <c r="G662" s="157">
        <v>0</v>
      </c>
      <c r="H662" s="157">
        <v>1.2</v>
      </c>
      <c r="I662" s="207">
        <f>-ROUND(IF(AND(F662:H662),C662*E662*F662*G662*H662,IF(AND(F662,G662),C662*E662*F662*G662,IF(AND(F662,H662),C662*E662*F662*H662,IF(AND(G662,H662),C662*E662*G662*H662,IF(F662,C662*E662*F662,IF(G662,C662*E662*G662,IF(H662,C662*E662*H662,C662*E662))))))),2)</f>
        <v>-2.88</v>
      </c>
      <c r="J662" s="195" t="s">
        <v>102</v>
      </c>
      <c r="K662" s="147"/>
      <c r="L662" s="110"/>
      <c r="M662" s="147"/>
    </row>
    <row r="663" spans="1:13" s="148" customFormat="1" ht="16.5" hidden="1" customHeight="1">
      <c r="A663" s="110"/>
      <c r="B663" s="149"/>
      <c r="C663" s="150"/>
      <c r="D663" s="151"/>
      <c r="E663" s="152"/>
      <c r="F663" s="153"/>
      <c r="G663" s="153"/>
      <c r="H663" s="153"/>
      <c r="I663" s="185"/>
      <c r="J663" s="195"/>
      <c r="K663" s="147"/>
      <c r="L663" s="210"/>
      <c r="M663" s="147"/>
    </row>
    <row r="664" spans="1:13" hidden="1">
      <c r="A664" s="110"/>
      <c r="B664" s="147"/>
      <c r="C664" s="154"/>
      <c r="D664" s="155"/>
      <c r="E664" s="156"/>
      <c r="F664" s="157"/>
      <c r="G664" s="158"/>
      <c r="H664" s="110"/>
      <c r="I664" s="185"/>
      <c r="J664" s="195" t="s">
        <v>102</v>
      </c>
      <c r="K664" s="12">
        <f>'DATA 2025-26'!F553</f>
        <v>540.96</v>
      </c>
      <c r="L664" s="210" t="s">
        <v>270</v>
      </c>
      <c r="M664" s="11">
        <f>ROUND(I664*K664,0)</f>
        <v>0</v>
      </c>
    </row>
    <row r="665" spans="1:13" ht="71.25" hidden="1" customHeight="1">
      <c r="A665" s="110">
        <v>10</v>
      </c>
      <c r="B665" s="964" t="s">
        <v>310</v>
      </c>
      <c r="C665" s="964"/>
      <c r="D665" s="964"/>
      <c r="E665" s="964"/>
      <c r="F665" s="964"/>
      <c r="G665" s="964"/>
      <c r="H665" s="964"/>
      <c r="I665" s="183"/>
      <c r="J665" s="186"/>
      <c r="K665" s="110"/>
      <c r="L665" s="210"/>
      <c r="M665" s="139"/>
    </row>
    <row r="666" spans="1:13" s="148" customFormat="1" ht="16.5" hidden="1" customHeight="1">
      <c r="A666" s="110"/>
      <c r="B666" s="147" t="s">
        <v>1803</v>
      </c>
      <c r="C666" s="183">
        <v>1</v>
      </c>
      <c r="D666" s="205" t="s">
        <v>268</v>
      </c>
      <c r="E666" s="156">
        <v>2</v>
      </c>
      <c r="F666" s="157">
        <v>7.32</v>
      </c>
      <c r="G666" s="157">
        <v>0</v>
      </c>
      <c r="H666" s="157">
        <v>3.5</v>
      </c>
      <c r="I666" s="207">
        <f>ROUND(IF(AND(F666:H666),C666*E666*F666*G666*H666,IF(AND(F666,G666),C666*E666*F666*G666,IF(AND(F666,H666),C666*E666*F666*H666,IF(AND(G666,H666),C666*E666*G666*H666,IF(F666,C666*E666*F666,IF(G666,C666*E666*G666,IF(H666,C666*E666*H666,C666*E666))))))),2)</f>
        <v>51.24</v>
      </c>
      <c r="J666" s="195" t="s">
        <v>102</v>
      </c>
      <c r="K666" s="147"/>
      <c r="L666" s="110"/>
      <c r="M666" s="147"/>
    </row>
    <row r="667" spans="1:13" s="148" customFormat="1" ht="16.5" hidden="1" customHeight="1">
      <c r="A667" s="110"/>
      <c r="B667" s="147" t="s">
        <v>1812</v>
      </c>
      <c r="C667" s="183">
        <v>1</v>
      </c>
      <c r="D667" s="205" t="s">
        <v>268</v>
      </c>
      <c r="E667" s="156">
        <v>2</v>
      </c>
      <c r="F667" s="157">
        <v>5.9600000000000009</v>
      </c>
      <c r="G667" s="157">
        <v>0</v>
      </c>
      <c r="H667" s="157">
        <v>3.5</v>
      </c>
      <c r="I667" s="207">
        <f>ROUND(IF(AND(F667:H667),C667*E667*F667*G667*H667,IF(AND(F667,G667),C667*E667*F667*G667,IF(AND(F667,H667),C667*E667*F667*H667,IF(AND(G667,H667),C667*E667*G667*H667,IF(F667,C667*E667*F667,IF(G667,C667*E667*G667,IF(H667,C667*E667*H667,C667*E667))))))),2)</f>
        <v>41.72</v>
      </c>
      <c r="J667" s="195" t="s">
        <v>102</v>
      </c>
      <c r="K667" s="147"/>
      <c r="L667" s="110"/>
      <c r="M667" s="147"/>
    </row>
    <row r="668" spans="1:13" s="148" customFormat="1" ht="16.5" hidden="1" customHeight="1">
      <c r="A668" s="110"/>
      <c r="B668" s="147" t="s">
        <v>1814</v>
      </c>
      <c r="C668" s="183">
        <v>-1</v>
      </c>
      <c r="D668" s="205" t="s">
        <v>268</v>
      </c>
      <c r="E668" s="156">
        <v>1</v>
      </c>
      <c r="F668" s="157">
        <v>1.05</v>
      </c>
      <c r="G668" s="157">
        <v>0</v>
      </c>
      <c r="H668" s="157">
        <v>2.13</v>
      </c>
      <c r="I668" s="207">
        <f>ROUND(IF(AND(F668:H668),C668*E668*F668*G668*H668,IF(AND(F668,G668),C668*E668*F668*G668,IF(AND(F668,H668),C668*E668*F668*H668,IF(AND(G668,H668),C668*E668*G668*H668,IF(F668,C668*E668*F668,IF(G668,C668*E668*G668,IF(H668,C668*E668*H668,C668*E668))))))),2)</f>
        <v>-2.2400000000000002</v>
      </c>
      <c r="J668" s="195" t="s">
        <v>102</v>
      </c>
      <c r="K668" s="147"/>
      <c r="L668" s="110"/>
      <c r="M668" s="147"/>
    </row>
    <row r="669" spans="1:13" s="148" customFormat="1" ht="16.5" hidden="1" customHeight="1">
      <c r="A669" s="110"/>
      <c r="B669" s="147" t="s">
        <v>1815</v>
      </c>
      <c r="C669" s="183">
        <v>-1</v>
      </c>
      <c r="D669" s="205" t="s">
        <v>268</v>
      </c>
      <c r="E669" s="156">
        <v>8</v>
      </c>
      <c r="F669" s="157">
        <v>1.22</v>
      </c>
      <c r="G669" s="157">
        <v>0</v>
      </c>
      <c r="H669" s="157">
        <v>1.22</v>
      </c>
      <c r="I669" s="207">
        <f>ROUND(IF(AND(F669:H669),C669*E669*F669*G669*H669,IF(AND(F669,G669),C669*E669*F669*G669,IF(AND(F669,H669),C669*E669*F669*H669,IF(AND(G669,H669),C669*E669*G669*H669,IF(F669,C669*E669*F669,IF(G669,C669*E669*G669,IF(H669,C669*E669*H669,C669*E669))))))),2)</f>
        <v>-11.91</v>
      </c>
      <c r="J669" s="195" t="s">
        <v>102</v>
      </c>
      <c r="K669" s="147"/>
      <c r="L669" s="110"/>
      <c r="M669" s="147"/>
    </row>
    <row r="670" spans="1:13" s="148" customFormat="1" ht="16.5" hidden="1" customHeight="1">
      <c r="A670" s="110"/>
      <c r="B670" s="147" t="s">
        <v>1816</v>
      </c>
      <c r="C670" s="183">
        <v>-1</v>
      </c>
      <c r="D670" s="205" t="s">
        <v>268</v>
      </c>
      <c r="E670" s="156">
        <v>8</v>
      </c>
      <c r="F670" s="157">
        <v>0.9</v>
      </c>
      <c r="G670" s="157">
        <v>0</v>
      </c>
      <c r="H670" s="157">
        <v>0.3</v>
      </c>
      <c r="I670" s="207">
        <f>ROUND(IF(AND(F670:H670),C670*E670*F670*G670*H670,IF(AND(F670,G670),C670*E670*F670*G670,IF(AND(F670,H670),C670*E670*F670*H670,IF(AND(G670,H670),C670*E670*G670*H670,IF(F670,C670*E670*F670,IF(G670,C670*E670*G670,IF(H670,C670*E670*H670,C670*E670))))))),2)</f>
        <v>-2.16</v>
      </c>
      <c r="J670" s="195" t="s">
        <v>102</v>
      </c>
      <c r="K670" s="147"/>
      <c r="L670" s="110"/>
      <c r="M670" s="147"/>
    </row>
    <row r="671" spans="1:13" s="148" customFormat="1" ht="16.5" hidden="1" customHeight="1">
      <c r="A671" s="110"/>
      <c r="B671" s="149"/>
      <c r="C671" s="150"/>
      <c r="D671" s="151"/>
      <c r="E671" s="152"/>
      <c r="F671" s="153"/>
      <c r="G671" s="153"/>
      <c r="H671" s="153"/>
      <c r="I671" s="185"/>
      <c r="J671" s="195"/>
      <c r="K671" s="147"/>
      <c r="L671" s="210"/>
      <c r="M671" s="147"/>
    </row>
    <row r="672" spans="1:13" hidden="1">
      <c r="A672" s="110"/>
      <c r="B672" s="147"/>
      <c r="C672" s="154"/>
      <c r="D672" s="155"/>
      <c r="E672" s="156"/>
      <c r="F672" s="157"/>
      <c r="G672" s="158"/>
      <c r="H672" s="110"/>
      <c r="I672" s="185"/>
      <c r="J672" s="195" t="s">
        <v>102</v>
      </c>
      <c r="K672" s="12">
        <f>'DATA 2025-26'!F574</f>
        <v>553.64</v>
      </c>
      <c r="L672" s="210" t="s">
        <v>270</v>
      </c>
      <c r="M672" s="11">
        <f>ROUND(I672*K672,0)</f>
        <v>0</v>
      </c>
    </row>
    <row r="673" spans="1:13" ht="92.25" hidden="1" customHeight="1">
      <c r="A673" s="110">
        <v>13</v>
      </c>
      <c r="B673" s="964" t="s">
        <v>1232</v>
      </c>
      <c r="C673" s="964"/>
      <c r="D673" s="964"/>
      <c r="E673" s="964"/>
      <c r="F673" s="964"/>
      <c r="G673" s="964"/>
      <c r="H673" s="964"/>
      <c r="I673" s="183"/>
      <c r="J673" s="186"/>
      <c r="K673" s="110"/>
      <c r="L673" s="210"/>
      <c r="M673" s="139"/>
    </row>
    <row r="674" spans="1:13" s="148" customFormat="1" ht="16.5" hidden="1" customHeight="1">
      <c r="A674" s="110"/>
      <c r="B674" s="140" t="s">
        <v>584</v>
      </c>
      <c r="C674" s="141"/>
      <c r="D674" s="142"/>
      <c r="E674" s="143"/>
      <c r="F674" s="144"/>
      <c r="G674" s="144"/>
      <c r="H674" s="145"/>
      <c r="I674" s="184"/>
      <c r="J674" s="195"/>
      <c r="K674" s="147"/>
      <c r="L674" s="210"/>
      <c r="M674" s="147"/>
    </row>
    <row r="675" spans="1:13" s="148" customFormat="1" ht="16.5" hidden="1" customHeight="1">
      <c r="A675" s="110"/>
      <c r="B675" s="149"/>
      <c r="C675" s="150">
        <v>11</v>
      </c>
      <c r="D675" s="151" t="s">
        <v>268</v>
      </c>
      <c r="E675" s="159">
        <v>0.5</v>
      </c>
      <c r="F675" s="153">
        <v>1.8</v>
      </c>
      <c r="G675" s="153">
        <v>0.3</v>
      </c>
      <c r="H675" s="153">
        <v>0.15</v>
      </c>
      <c r="I675" s="185">
        <f>ROUND(IF(AND(F675:H675),C675*E675*F675*G675*H675,IF(AND(F675,G675),C675*E675*F675*G675,IF(AND(F675,H675),C675*E675*F675*H675,IF(AND(G675,H675),C675*E675*G675*H675,IF(F675,C675*E675*F675,IF(G675,C675*E675*G675,IF(H675,C675*E675*H675,C675*E675))))))),2)</f>
        <v>0.45</v>
      </c>
      <c r="J675" s="195" t="s">
        <v>5</v>
      </c>
      <c r="K675" s="147"/>
      <c r="L675" s="210"/>
      <c r="M675" s="147"/>
    </row>
    <row r="676" spans="1:13" s="148" customFormat="1" ht="16.5" hidden="1" customHeight="1">
      <c r="A676" s="110"/>
      <c r="B676" s="140" t="s">
        <v>585</v>
      </c>
      <c r="C676" s="141"/>
      <c r="D676" s="142"/>
      <c r="E676" s="143"/>
      <c r="F676" s="144"/>
      <c r="G676" s="144"/>
      <c r="H676" s="145"/>
      <c r="I676" s="184"/>
      <c r="J676" s="195"/>
      <c r="K676" s="147"/>
      <c r="L676" s="210"/>
      <c r="M676" s="147"/>
    </row>
    <row r="677" spans="1:13" s="148" customFormat="1" ht="16.5" hidden="1" customHeight="1">
      <c r="A677" s="110"/>
      <c r="B677" s="149"/>
      <c r="C677" s="150">
        <v>11</v>
      </c>
      <c r="D677" s="151" t="s">
        <v>268</v>
      </c>
      <c r="E677" s="159">
        <v>0.5</v>
      </c>
      <c r="F677" s="153">
        <v>1.8</v>
      </c>
      <c r="G677" s="153">
        <v>0.3</v>
      </c>
      <c r="H677" s="153">
        <v>0.15</v>
      </c>
      <c r="I677" s="185">
        <f>ROUND(IF(AND(F677:H677),C677*E677*F677*G677*H677,IF(AND(F677,G677),C677*E677*F677*G677,IF(AND(F677,H677),C677*E677*F677*H677,IF(AND(G677,H677),C677*E677*G677*H677,IF(F677,C677*E677*F677,IF(G677,C677*E677*G677,IF(H677,C677*E677*H677,C677*E677))))))),2)</f>
        <v>0.45</v>
      </c>
      <c r="J677" s="195" t="s">
        <v>5</v>
      </c>
      <c r="K677" s="147"/>
      <c r="L677" s="210"/>
      <c r="M677" s="147"/>
    </row>
    <row r="678" spans="1:13" hidden="1">
      <c r="A678" s="110"/>
      <c r="B678" s="147"/>
      <c r="C678" s="154"/>
      <c r="D678" s="155"/>
      <c r="E678" s="156"/>
      <c r="F678" s="157"/>
      <c r="G678" s="158"/>
      <c r="H678" s="110"/>
      <c r="I678" s="185"/>
      <c r="J678" s="195" t="s">
        <v>5</v>
      </c>
      <c r="K678" s="12">
        <f>'DATA 2025-26'!F295</f>
        <v>6912.8</v>
      </c>
      <c r="L678" s="210" t="s">
        <v>269</v>
      </c>
      <c r="M678" s="11">
        <f>ROUND(I678*K678,0)</f>
        <v>0</v>
      </c>
    </row>
    <row r="679" spans="1:13" ht="106.5" hidden="1" customHeight="1">
      <c r="A679" s="110">
        <v>3</v>
      </c>
      <c r="B679" s="964" t="s">
        <v>212</v>
      </c>
      <c r="C679" s="964"/>
      <c r="D679" s="964"/>
      <c r="E679" s="964"/>
      <c r="F679" s="964"/>
      <c r="G679" s="964"/>
      <c r="H679" s="964"/>
      <c r="I679" s="183"/>
      <c r="J679" s="186"/>
      <c r="K679" s="110"/>
      <c r="L679" s="210"/>
      <c r="M679" s="139"/>
    </row>
    <row r="680" spans="1:13" hidden="1">
      <c r="A680" s="110"/>
      <c r="B680" s="632" t="s">
        <v>1895</v>
      </c>
      <c r="C680" s="671"/>
      <c r="D680" s="672"/>
      <c r="E680" s="673"/>
      <c r="F680" s="632"/>
      <c r="G680" s="632"/>
      <c r="H680" s="632"/>
      <c r="I680" s="183"/>
      <c r="J680" s="186"/>
      <c r="K680" s="110"/>
      <c r="L680" s="210"/>
      <c r="M680" s="139"/>
    </row>
    <row r="681" spans="1:13" s="148" customFormat="1" ht="16.5" hidden="1" customHeight="1">
      <c r="A681" s="110"/>
      <c r="B681" s="149" t="s">
        <v>1847</v>
      </c>
      <c r="C681" s="150">
        <v>1</v>
      </c>
      <c r="D681" s="151" t="s">
        <v>268</v>
      </c>
      <c r="E681" s="152">
        <v>1</v>
      </c>
      <c r="F681" s="153">
        <v>3.37</v>
      </c>
      <c r="G681" s="153">
        <v>3.37</v>
      </c>
      <c r="H681" s="153">
        <v>0</v>
      </c>
      <c r="I681" s="185">
        <f>ROUND(IF(AND(F681:H681),C681*E681*F681*G681*H681,IF(AND(F681,G681),C681*E681*F681*G681,IF(AND(F681,H681),C681*E681*F681*H681,IF(AND(G681,H681),C681*E681*G681*H681,IF(F681,C681*E681*F681,IF(G681,C681*E681*G681,IF(H681,C681*E681*H681,C681*E681))))))),2)</f>
        <v>11.36</v>
      </c>
      <c r="J681" s="195" t="s">
        <v>102</v>
      </c>
      <c r="K681" s="147"/>
      <c r="L681" s="110"/>
      <c r="M681" s="147"/>
    </row>
    <row r="682" spans="1:13" s="148" customFormat="1" ht="16.5" hidden="1" customHeight="1">
      <c r="A682" s="110"/>
      <c r="B682" s="149" t="s">
        <v>1849</v>
      </c>
      <c r="C682" s="150">
        <v>1</v>
      </c>
      <c r="D682" s="151" t="s">
        <v>268</v>
      </c>
      <c r="E682" s="152">
        <v>1</v>
      </c>
      <c r="F682" s="153">
        <v>2.0699999999999998</v>
      </c>
      <c r="G682" s="153">
        <v>1.9</v>
      </c>
      <c r="H682" s="153">
        <v>0</v>
      </c>
      <c r="I682" s="185">
        <f t="shared" ref="I682:I684" si="67">ROUND(IF(AND(F682:H682),C682*E682*F682*G682*H682,IF(AND(F682,G682),C682*E682*F682*G682,IF(AND(F682,H682),C682*E682*F682*H682,IF(AND(G682,H682),C682*E682*G682*H682,IF(F682,C682*E682*F682,IF(G682,C682*E682*G682,IF(H682,C682*E682*H682,C682*E682))))))),2)</f>
        <v>3.93</v>
      </c>
      <c r="J682" s="195" t="s">
        <v>102</v>
      </c>
      <c r="K682" s="147"/>
      <c r="L682" s="110"/>
      <c r="M682" s="147"/>
    </row>
    <row r="683" spans="1:13" s="148" customFormat="1" ht="16.5" hidden="1" customHeight="1">
      <c r="A683" s="110"/>
      <c r="B683" s="149"/>
      <c r="C683" s="150">
        <v>1</v>
      </c>
      <c r="D683" s="151" t="s">
        <v>268</v>
      </c>
      <c r="E683" s="152">
        <v>1</v>
      </c>
      <c r="F683" s="153">
        <v>3.37</v>
      </c>
      <c r="G683" s="153">
        <v>1.37</v>
      </c>
      <c r="H683" s="153">
        <v>0</v>
      </c>
      <c r="I683" s="185">
        <f t="shared" si="67"/>
        <v>4.62</v>
      </c>
      <c r="J683" s="195" t="s">
        <v>102</v>
      </c>
      <c r="K683" s="147"/>
      <c r="L683" s="110"/>
      <c r="M683" s="147"/>
    </row>
    <row r="684" spans="1:13" s="148" customFormat="1" ht="16.5" hidden="1" customHeight="1">
      <c r="A684" s="110"/>
      <c r="B684" s="149" t="s">
        <v>745</v>
      </c>
      <c r="C684" s="150">
        <v>1</v>
      </c>
      <c r="D684" s="151" t="s">
        <v>268</v>
      </c>
      <c r="E684" s="152">
        <v>1</v>
      </c>
      <c r="F684" s="153">
        <v>6.75</v>
      </c>
      <c r="G684" s="153">
        <v>3.3</v>
      </c>
      <c r="H684" s="153">
        <v>0</v>
      </c>
      <c r="I684" s="185">
        <f t="shared" si="67"/>
        <v>22.28</v>
      </c>
      <c r="J684" s="195" t="s">
        <v>102</v>
      </c>
      <c r="K684" s="147"/>
      <c r="L684" s="110"/>
      <c r="M684" s="147"/>
    </row>
    <row r="685" spans="1:13" s="148" customFormat="1" ht="16.5" hidden="1" customHeight="1">
      <c r="A685" s="110"/>
      <c r="B685" s="149"/>
      <c r="C685" s="150"/>
      <c r="D685" s="151"/>
      <c r="E685" s="152"/>
      <c r="F685" s="153"/>
      <c r="G685" s="153"/>
      <c r="H685" s="153"/>
      <c r="I685" s="185"/>
      <c r="J685" s="195"/>
      <c r="K685" s="147"/>
      <c r="L685" s="210"/>
      <c r="M685" s="147"/>
    </row>
    <row r="686" spans="1:13" hidden="1">
      <c r="A686" s="110"/>
      <c r="B686" s="147"/>
      <c r="C686" s="154"/>
      <c r="D686" s="155"/>
      <c r="E686" s="156"/>
      <c r="F686" s="157"/>
      <c r="G686" s="158"/>
      <c r="H686" s="110"/>
      <c r="I686" s="185"/>
      <c r="J686" s="195" t="s">
        <v>102</v>
      </c>
      <c r="K686" s="12">
        <f>'DATA 2025-26'!F726</f>
        <v>1305.71</v>
      </c>
      <c r="L686" s="210" t="s">
        <v>270</v>
      </c>
      <c r="M686" s="11">
        <f>ROUND(I686*K686,0)</f>
        <v>0</v>
      </c>
    </row>
    <row r="687" spans="1:13" ht="79.5" hidden="1" customHeight="1">
      <c r="A687" s="110">
        <v>4</v>
      </c>
      <c r="B687" s="964" t="s">
        <v>213</v>
      </c>
      <c r="C687" s="964"/>
      <c r="D687" s="964"/>
      <c r="E687" s="964"/>
      <c r="F687" s="964"/>
      <c r="G687" s="964"/>
      <c r="H687" s="964"/>
      <c r="I687" s="183"/>
      <c r="J687" s="186"/>
      <c r="K687" s="110"/>
      <c r="L687" s="210"/>
      <c r="M687" s="139"/>
    </row>
    <row r="688" spans="1:13" hidden="1">
      <c r="A688" s="110"/>
      <c r="B688" s="632" t="s">
        <v>1896</v>
      </c>
      <c r="C688" s="671"/>
      <c r="D688" s="672"/>
      <c r="E688" s="673"/>
      <c r="F688" s="632"/>
      <c r="G688" s="632"/>
      <c r="H688" s="632"/>
      <c r="I688" s="183"/>
      <c r="J688" s="186"/>
      <c r="K688" s="110"/>
      <c r="L688" s="210"/>
      <c r="M688" s="139"/>
    </row>
    <row r="689" spans="1:13" s="148" customFormat="1" ht="16.5" hidden="1" customHeight="1">
      <c r="A689" s="110"/>
      <c r="B689" s="149" t="s">
        <v>1847</v>
      </c>
      <c r="C689" s="150">
        <v>1</v>
      </c>
      <c r="D689" s="151" t="s">
        <v>268</v>
      </c>
      <c r="E689" s="152">
        <v>2</v>
      </c>
      <c r="F689" s="153">
        <v>3.37</v>
      </c>
      <c r="G689" s="153">
        <v>0</v>
      </c>
      <c r="H689" s="153">
        <v>0.1</v>
      </c>
      <c r="I689" s="185">
        <f>ROUND(IF(AND(F689:H689),C689*E689*F689*G689*H689,IF(AND(F689,G689),C689*E689*F689*G689,IF(AND(F689,H689),C689*E689*F689*H689,IF(AND(G689,H689),C689*E689*G689*H689,IF(F689,C689*E689*F689,IF(G689,C689*E689*G689,IF(H689,C689*E689*H689,C689*E689))))))),2)</f>
        <v>0.67</v>
      </c>
      <c r="J689" s="195" t="s">
        <v>102</v>
      </c>
      <c r="K689" s="147"/>
      <c r="L689" s="110"/>
      <c r="M689" s="147"/>
    </row>
    <row r="690" spans="1:13" s="148" customFormat="1" ht="16.5" hidden="1" customHeight="1">
      <c r="A690" s="110"/>
      <c r="B690" s="149"/>
      <c r="C690" s="150">
        <v>1</v>
      </c>
      <c r="D690" s="151" t="s">
        <v>268</v>
      </c>
      <c r="E690" s="152">
        <v>2</v>
      </c>
      <c r="F690" s="153">
        <v>3.37</v>
      </c>
      <c r="G690" s="153">
        <v>0</v>
      </c>
      <c r="H690" s="153">
        <v>0.1</v>
      </c>
      <c r="I690" s="185">
        <f t="shared" ref="I690:I699" si="68">ROUND(IF(AND(F690:H690),C690*E690*F690*G690*H690,IF(AND(F690,G690),C690*E690*F690*G690,IF(AND(F690,H690),C690*E690*F690*H690,IF(AND(G690,H690),C690*E690*G690*H690,IF(F690,C690*E690*F690,IF(G690,C690*E690*G690,IF(H690,C690*E690*H690,C690*E690))))))),2)</f>
        <v>0.67</v>
      </c>
      <c r="J690" s="195" t="s">
        <v>102</v>
      </c>
      <c r="K690" s="147"/>
      <c r="L690" s="110"/>
      <c r="M690" s="147"/>
    </row>
    <row r="691" spans="1:13" s="148" customFormat="1" ht="16.5" hidden="1" customHeight="1">
      <c r="A691" s="110"/>
      <c r="B691" s="149" t="s">
        <v>1849</v>
      </c>
      <c r="C691" s="150">
        <v>1</v>
      </c>
      <c r="D691" s="151" t="s">
        <v>268</v>
      </c>
      <c r="E691" s="152">
        <v>1</v>
      </c>
      <c r="F691" s="153">
        <v>2.0699999999999998</v>
      </c>
      <c r="G691" s="153">
        <v>0</v>
      </c>
      <c r="H691" s="153">
        <v>0.1</v>
      </c>
      <c r="I691" s="185">
        <f t="shared" si="68"/>
        <v>0.21</v>
      </c>
      <c r="J691" s="195" t="s">
        <v>102</v>
      </c>
      <c r="K691" s="147"/>
      <c r="L691" s="110"/>
      <c r="M691" s="147"/>
    </row>
    <row r="692" spans="1:13" s="148" customFormat="1" ht="16.5" hidden="1" customHeight="1">
      <c r="A692" s="110"/>
      <c r="B692" s="149"/>
      <c r="C692" s="150">
        <v>1</v>
      </c>
      <c r="D692" s="151" t="s">
        <v>268</v>
      </c>
      <c r="E692" s="152">
        <v>1</v>
      </c>
      <c r="F692" s="153">
        <v>1.9</v>
      </c>
      <c r="G692" s="153">
        <v>0</v>
      </c>
      <c r="H692" s="153">
        <v>0.1</v>
      </c>
      <c r="I692" s="185">
        <f t="shared" si="68"/>
        <v>0.19</v>
      </c>
      <c r="J692" s="195" t="s">
        <v>102</v>
      </c>
      <c r="K692" s="147"/>
      <c r="L692" s="110"/>
      <c r="M692" s="147"/>
    </row>
    <row r="693" spans="1:13" s="148" customFormat="1" ht="16.5" hidden="1" customHeight="1">
      <c r="A693" s="110"/>
      <c r="B693" s="149"/>
      <c r="C693" s="150">
        <v>1</v>
      </c>
      <c r="D693" s="151" t="s">
        <v>268</v>
      </c>
      <c r="E693" s="152">
        <v>1</v>
      </c>
      <c r="F693" s="153">
        <v>1.3</v>
      </c>
      <c r="G693" s="153">
        <v>0</v>
      </c>
      <c r="H693" s="153">
        <v>0.1</v>
      </c>
      <c r="I693" s="185">
        <f t="shared" si="68"/>
        <v>0.13</v>
      </c>
      <c r="J693" s="195" t="s">
        <v>102</v>
      </c>
      <c r="K693" s="147"/>
      <c r="L693" s="110"/>
      <c r="M693" s="147"/>
    </row>
    <row r="694" spans="1:13" s="148" customFormat="1" ht="16.5" hidden="1" customHeight="1">
      <c r="A694" s="110"/>
      <c r="B694" s="149"/>
      <c r="C694" s="150">
        <v>1</v>
      </c>
      <c r="D694" s="151" t="s">
        <v>268</v>
      </c>
      <c r="E694" s="152">
        <v>1</v>
      </c>
      <c r="F694" s="153">
        <v>1.37</v>
      </c>
      <c r="G694" s="153">
        <v>0</v>
      </c>
      <c r="H694" s="153">
        <v>0.1</v>
      </c>
      <c r="I694" s="185">
        <f t="shared" si="68"/>
        <v>0.14000000000000001</v>
      </c>
      <c r="J694" s="195" t="s">
        <v>102</v>
      </c>
      <c r="K694" s="147"/>
      <c r="L694" s="110"/>
      <c r="M694" s="147"/>
    </row>
    <row r="695" spans="1:13" s="148" customFormat="1" ht="16.5" hidden="1" customHeight="1">
      <c r="A695" s="110"/>
      <c r="B695" s="149"/>
      <c r="C695" s="150">
        <v>1</v>
      </c>
      <c r="D695" s="151" t="s">
        <v>268</v>
      </c>
      <c r="E695" s="152">
        <v>1</v>
      </c>
      <c r="F695" s="153">
        <v>3.37</v>
      </c>
      <c r="G695" s="153">
        <v>0</v>
      </c>
      <c r="H695" s="153">
        <v>0.1</v>
      </c>
      <c r="I695" s="185">
        <f t="shared" si="68"/>
        <v>0.34</v>
      </c>
      <c r="J695" s="195" t="s">
        <v>102</v>
      </c>
      <c r="K695" s="147"/>
      <c r="L695" s="110"/>
      <c r="M695" s="147"/>
    </row>
    <row r="696" spans="1:13" s="148" customFormat="1" ht="16.5" hidden="1" customHeight="1">
      <c r="A696" s="110"/>
      <c r="B696" s="149"/>
      <c r="C696" s="150">
        <v>1</v>
      </c>
      <c r="D696" s="151" t="s">
        <v>268</v>
      </c>
      <c r="E696" s="152">
        <v>1</v>
      </c>
      <c r="F696" s="153">
        <v>0.55000000000000004</v>
      </c>
      <c r="G696" s="153">
        <v>0</v>
      </c>
      <c r="H696" s="153">
        <v>0.1</v>
      </c>
      <c r="I696" s="185">
        <f t="shared" si="68"/>
        <v>0.06</v>
      </c>
      <c r="J696" s="195" t="s">
        <v>102</v>
      </c>
      <c r="K696" s="147"/>
      <c r="L696" s="110"/>
      <c r="M696" s="147"/>
    </row>
    <row r="697" spans="1:13" s="148" customFormat="1" ht="16.5" hidden="1" customHeight="1">
      <c r="A697" s="110"/>
      <c r="B697" s="149"/>
      <c r="C697" s="150">
        <v>1</v>
      </c>
      <c r="D697" s="151" t="s">
        <v>268</v>
      </c>
      <c r="E697" s="152">
        <v>1</v>
      </c>
      <c r="F697" s="153">
        <v>0.9</v>
      </c>
      <c r="G697" s="153">
        <v>0</v>
      </c>
      <c r="H697" s="153">
        <v>0.1</v>
      </c>
      <c r="I697" s="185">
        <f t="shared" si="68"/>
        <v>0.09</v>
      </c>
      <c r="J697" s="195" t="s">
        <v>102</v>
      </c>
      <c r="K697" s="147"/>
      <c r="L697" s="110"/>
      <c r="M697" s="147"/>
    </row>
    <row r="698" spans="1:13" s="148" customFormat="1" ht="16.5" hidden="1" customHeight="1">
      <c r="A698" s="110"/>
      <c r="B698" s="149" t="s">
        <v>745</v>
      </c>
      <c r="C698" s="150">
        <v>1</v>
      </c>
      <c r="D698" s="151" t="s">
        <v>268</v>
      </c>
      <c r="E698" s="152">
        <v>2</v>
      </c>
      <c r="F698" s="153">
        <v>6.75</v>
      </c>
      <c r="G698" s="153">
        <v>0</v>
      </c>
      <c r="H698" s="153">
        <v>0.1</v>
      </c>
      <c r="I698" s="185">
        <f t="shared" si="68"/>
        <v>1.35</v>
      </c>
      <c r="J698" s="195" t="s">
        <v>102</v>
      </c>
      <c r="K698" s="147"/>
      <c r="L698" s="110"/>
      <c r="M698" s="147"/>
    </row>
    <row r="699" spans="1:13" s="148" customFormat="1" ht="16.5" hidden="1" customHeight="1">
      <c r="A699" s="110"/>
      <c r="B699" s="149"/>
      <c r="C699" s="150">
        <v>1</v>
      </c>
      <c r="D699" s="151" t="s">
        <v>268</v>
      </c>
      <c r="E699" s="152">
        <v>2</v>
      </c>
      <c r="F699" s="153">
        <v>3.3</v>
      </c>
      <c r="G699" s="153">
        <v>0</v>
      </c>
      <c r="H699" s="153">
        <v>0.1</v>
      </c>
      <c r="I699" s="185">
        <f t="shared" si="68"/>
        <v>0.66</v>
      </c>
      <c r="J699" s="195" t="s">
        <v>102</v>
      </c>
      <c r="K699" s="147"/>
      <c r="L699" s="110"/>
      <c r="M699" s="147"/>
    </row>
    <row r="700" spans="1:13" s="148" customFormat="1" ht="16.5" hidden="1" customHeight="1">
      <c r="A700" s="110"/>
      <c r="B700" s="149"/>
      <c r="C700" s="150"/>
      <c r="D700" s="151"/>
      <c r="E700" s="152"/>
      <c r="F700" s="153"/>
      <c r="G700" s="153"/>
      <c r="H700" s="153"/>
      <c r="I700" s="185"/>
      <c r="J700" s="195"/>
      <c r="K700" s="147"/>
      <c r="L700" s="210"/>
      <c r="M700" s="147"/>
    </row>
    <row r="701" spans="1:13" hidden="1">
      <c r="A701" s="110"/>
      <c r="B701" s="147"/>
      <c r="C701" s="154"/>
      <c r="D701" s="155"/>
      <c r="E701" s="156"/>
      <c r="F701" s="157"/>
      <c r="G701" s="158"/>
      <c r="H701" s="110"/>
      <c r="I701" s="185"/>
      <c r="J701" s="195" t="s">
        <v>102</v>
      </c>
      <c r="K701" s="12">
        <f>'DATA 2025-26'!F745</f>
        <v>1301.5999999999999</v>
      </c>
      <c r="L701" s="210" t="s">
        <v>270</v>
      </c>
      <c r="M701" s="11">
        <f>ROUND(I701*K701,0)</f>
        <v>0</v>
      </c>
    </row>
    <row r="702" spans="1:13" ht="108" hidden="1" customHeight="1">
      <c r="A702" s="110">
        <v>15</v>
      </c>
      <c r="B702" s="964" t="s">
        <v>654</v>
      </c>
      <c r="C702" s="964"/>
      <c r="D702" s="964"/>
      <c r="E702" s="964"/>
      <c r="F702" s="964"/>
      <c r="G702" s="964"/>
      <c r="H702" s="964"/>
      <c r="I702" s="183"/>
      <c r="J702" s="186"/>
      <c r="K702" s="110"/>
      <c r="L702" s="210"/>
      <c r="M702" s="139"/>
    </row>
    <row r="703" spans="1:13" s="148" customFormat="1" ht="16.5" hidden="1" customHeight="1">
      <c r="A703" s="110"/>
      <c r="B703" s="147" t="s">
        <v>1403</v>
      </c>
      <c r="C703" s="141"/>
      <c r="D703" s="142"/>
      <c r="E703" s="143"/>
      <c r="F703" s="144"/>
      <c r="G703" s="144"/>
      <c r="H703" s="145"/>
      <c r="I703" s="184"/>
      <c r="J703" s="195"/>
      <c r="K703" s="147"/>
      <c r="L703" s="110"/>
      <c r="M703" s="147"/>
    </row>
    <row r="704" spans="1:13" s="148" customFormat="1" ht="16.5" hidden="1" customHeight="1">
      <c r="A704" s="110"/>
      <c r="B704" s="149" t="s">
        <v>1353</v>
      </c>
      <c r="C704" s="150">
        <v>1</v>
      </c>
      <c r="D704" s="151" t="s">
        <v>268</v>
      </c>
      <c r="E704" s="152">
        <v>11</v>
      </c>
      <c r="F704" s="153">
        <v>1.35</v>
      </c>
      <c r="G704" s="153">
        <v>0.3</v>
      </c>
      <c r="H704" s="153">
        <v>0</v>
      </c>
      <c r="I704" s="185">
        <f>ROUND(IF(AND(F704:H704),C704*E704*F704*G704*H704,IF(AND(F704,G704),C704*E704*F704*G704,IF(AND(F704,H704),C704*E704*F704*H704,IF(AND(G704,H704),C704*E704*G704*H704,IF(F704,C704*E704*F704,IF(G704,C704*E704*G704,IF(H704,C704*E704*H704,C704*E704))))))),2)</f>
        <v>4.46</v>
      </c>
      <c r="J704" s="195" t="s">
        <v>102</v>
      </c>
      <c r="K704" s="147"/>
      <c r="L704" s="110"/>
      <c r="M704" s="147"/>
    </row>
    <row r="705" spans="1:13" s="148" customFormat="1" ht="16.5" hidden="1" customHeight="1">
      <c r="A705" s="110"/>
      <c r="B705" s="149"/>
      <c r="C705" s="150">
        <v>1</v>
      </c>
      <c r="D705" s="151" t="s">
        <v>268</v>
      </c>
      <c r="E705" s="152">
        <v>1</v>
      </c>
      <c r="F705" s="153">
        <v>2.75</v>
      </c>
      <c r="G705" s="153">
        <v>1.35</v>
      </c>
      <c r="H705" s="153">
        <v>0</v>
      </c>
      <c r="I705" s="185">
        <f>ROUND(IF(AND(F705:H705),C705*E705*F705*G705*H705,IF(AND(F705,G705),C705*E705*F705*G705,IF(AND(F705,H705),C705*E705*F705*H705,IF(AND(G705,H705),C705*E705*G705*H705,IF(F705,C705*E705*F705,IF(G705,C705*E705*G705,IF(H705,C705*E705*H705,C705*E705))))))),2)</f>
        <v>3.71</v>
      </c>
      <c r="J705" s="195" t="s">
        <v>102</v>
      </c>
      <c r="K705" s="147"/>
      <c r="L705" s="110"/>
      <c r="M705" s="147"/>
    </row>
    <row r="706" spans="1:13" s="148" customFormat="1" ht="16.5" hidden="1" customHeight="1">
      <c r="A706" s="110"/>
      <c r="B706" s="149" t="s">
        <v>746</v>
      </c>
      <c r="C706" s="150">
        <v>1</v>
      </c>
      <c r="D706" s="151" t="s">
        <v>268</v>
      </c>
      <c r="E706" s="152">
        <v>11</v>
      </c>
      <c r="F706" s="153">
        <v>1.35</v>
      </c>
      <c r="G706" s="153">
        <v>0.3</v>
      </c>
      <c r="H706" s="153">
        <v>0</v>
      </c>
      <c r="I706" s="185">
        <f>ROUND(IF(AND(F706:H706),C706*E706*F706*G706*H706,IF(AND(F706,G706),C706*E706*F706*G706,IF(AND(F706,H706),C706*E706*F706*H706,IF(AND(G706,H706),C706*E706*G706*H706,IF(F706,C706*E706*F706,IF(G706,C706*E706*G706,IF(H706,C706*E706*H706,C706*E706))))))),2)</f>
        <v>4.46</v>
      </c>
      <c r="J706" s="195" t="s">
        <v>102</v>
      </c>
      <c r="K706" s="147"/>
      <c r="L706" s="110"/>
      <c r="M706" s="147"/>
    </row>
    <row r="707" spans="1:13" s="148" customFormat="1" ht="16.5" hidden="1" customHeight="1">
      <c r="A707" s="110"/>
      <c r="B707" s="149"/>
      <c r="C707" s="150"/>
      <c r="D707" s="151"/>
      <c r="E707" s="152"/>
      <c r="F707" s="153"/>
      <c r="G707" s="153"/>
      <c r="H707" s="153"/>
      <c r="I707" s="185"/>
      <c r="J707" s="195"/>
      <c r="K707" s="147"/>
      <c r="L707" s="210"/>
      <c r="M707" s="147"/>
    </row>
    <row r="708" spans="1:13" hidden="1">
      <c r="A708" s="110"/>
      <c r="B708" s="147"/>
      <c r="C708" s="154"/>
      <c r="D708" s="155"/>
      <c r="E708" s="156"/>
      <c r="F708" s="157"/>
      <c r="G708" s="158"/>
      <c r="H708" s="110"/>
      <c r="I708" s="185"/>
      <c r="J708" s="195" t="s">
        <v>102</v>
      </c>
      <c r="K708" s="12">
        <f>'DATA 2025-26'!F646</f>
        <v>3122.89</v>
      </c>
      <c r="L708" s="210" t="s">
        <v>270</v>
      </c>
      <c r="M708" s="11">
        <f>ROUND(I708*K708,0)</f>
        <v>0</v>
      </c>
    </row>
    <row r="709" spans="1:13" ht="93.75" hidden="1" customHeight="1">
      <c r="A709" s="110">
        <v>16</v>
      </c>
      <c r="B709" s="964" t="s">
        <v>660</v>
      </c>
      <c r="C709" s="964"/>
      <c r="D709" s="964"/>
      <c r="E709" s="964"/>
      <c r="F709" s="964"/>
      <c r="G709" s="964"/>
      <c r="H709" s="964"/>
      <c r="I709" s="183"/>
      <c r="J709" s="186"/>
      <c r="K709" s="110"/>
      <c r="L709" s="210"/>
      <c r="M709" s="139"/>
    </row>
    <row r="710" spans="1:13" s="148" customFormat="1" ht="16.5" hidden="1" customHeight="1">
      <c r="A710" s="110"/>
      <c r="B710" s="147" t="s">
        <v>1403</v>
      </c>
      <c r="C710" s="141"/>
      <c r="D710" s="142"/>
      <c r="E710" s="143"/>
      <c r="F710" s="144"/>
      <c r="G710" s="144"/>
      <c r="H710" s="145"/>
      <c r="I710" s="184"/>
      <c r="J710" s="195"/>
      <c r="K710" s="147"/>
      <c r="L710" s="110"/>
      <c r="M710" s="147"/>
    </row>
    <row r="711" spans="1:13" s="148" customFormat="1" ht="16.5" hidden="1" customHeight="1">
      <c r="A711" s="110"/>
      <c r="B711" s="149" t="s">
        <v>1362</v>
      </c>
      <c r="C711" s="150">
        <v>1</v>
      </c>
      <c r="D711" s="151" t="s">
        <v>268</v>
      </c>
      <c r="E711" s="152">
        <v>11</v>
      </c>
      <c r="F711" s="153">
        <v>1.35</v>
      </c>
      <c r="G711" s="153">
        <v>0</v>
      </c>
      <c r="H711" s="153">
        <v>0.15</v>
      </c>
      <c r="I711" s="185">
        <f>ROUND(IF(AND(F711:H711),C711*E711*F711*G711*H711,IF(AND(F711,G711),C711*E711*F711*G711,IF(AND(F711,H711),C711*E711*F711*H711,IF(AND(G711,H711),C711*E711*G711*H711,IF(F711,C711*E711*F711,IF(G711,C711*E711*G711,IF(H711,C711*E711*H711,C711*E711))))))),2)</f>
        <v>2.23</v>
      </c>
      <c r="J711" s="195" t="s">
        <v>102</v>
      </c>
      <c r="K711" s="147"/>
      <c r="L711" s="110"/>
      <c r="M711" s="147"/>
    </row>
    <row r="712" spans="1:13" s="148" customFormat="1" ht="16.5" hidden="1" customHeight="1">
      <c r="A712" s="110"/>
      <c r="B712" s="149" t="s">
        <v>778</v>
      </c>
      <c r="C712" s="150">
        <v>1</v>
      </c>
      <c r="D712" s="151" t="s">
        <v>268</v>
      </c>
      <c r="E712" s="152">
        <v>11</v>
      </c>
      <c r="F712" s="153">
        <v>1.35</v>
      </c>
      <c r="G712" s="153">
        <v>0</v>
      </c>
      <c r="H712" s="153">
        <v>0.15</v>
      </c>
      <c r="I712" s="185">
        <f>ROUND(IF(AND(F712:H712),C712*E712*F712*G712*H712,IF(AND(F712,G712),C712*E712*F712*G712,IF(AND(F712,H712),C712*E712*F712*H712,IF(AND(G712,H712),C712*E712*G712*H712,IF(F712,C712*E712*F712,IF(G712,C712*E712*G712,IF(H712,C712*E712*H712,C712*E712))))))),2)</f>
        <v>2.23</v>
      </c>
      <c r="J712" s="195" t="s">
        <v>102</v>
      </c>
      <c r="K712" s="147"/>
      <c r="L712" s="110"/>
      <c r="M712" s="147"/>
    </row>
    <row r="713" spans="1:13" s="148" customFormat="1" ht="16.5" hidden="1" customHeight="1">
      <c r="A713" s="110"/>
      <c r="B713" s="149"/>
      <c r="C713" s="150"/>
      <c r="D713" s="151"/>
      <c r="E713" s="152"/>
      <c r="F713" s="153"/>
      <c r="G713" s="153"/>
      <c r="H713" s="153"/>
      <c r="I713" s="185"/>
      <c r="J713" s="195"/>
      <c r="K713" s="147"/>
      <c r="L713" s="210"/>
      <c r="M713" s="147"/>
    </row>
    <row r="714" spans="1:13" hidden="1">
      <c r="A714" s="110"/>
      <c r="B714" s="147"/>
      <c r="C714" s="154"/>
      <c r="D714" s="155"/>
      <c r="E714" s="156"/>
      <c r="F714" s="157"/>
      <c r="G714" s="158"/>
      <c r="H714" s="110"/>
      <c r="I714" s="185"/>
      <c r="J714" s="195" t="s">
        <v>102</v>
      </c>
      <c r="K714" s="12">
        <f>'DATA 2025-26'!F666</f>
        <v>2859.99</v>
      </c>
      <c r="L714" s="210" t="s">
        <v>270</v>
      </c>
      <c r="M714" s="11">
        <f>ROUND(I714*K714,0)</f>
        <v>0</v>
      </c>
    </row>
    <row r="715" spans="1:13" ht="90" hidden="1" customHeight="1">
      <c r="A715" s="110">
        <v>26</v>
      </c>
      <c r="B715" s="964" t="s">
        <v>661</v>
      </c>
      <c r="C715" s="964"/>
      <c r="D715" s="964"/>
      <c r="E715" s="964"/>
      <c r="F715" s="964"/>
      <c r="G715" s="964"/>
      <c r="H715" s="964"/>
      <c r="I715" s="183"/>
      <c r="J715" s="186"/>
      <c r="K715" s="110"/>
      <c r="L715" s="210"/>
      <c r="M715" s="139"/>
    </row>
    <row r="716" spans="1:13" s="148" customFormat="1" ht="16.5" hidden="1" customHeight="1">
      <c r="A716" s="110"/>
      <c r="B716" s="147" t="s">
        <v>1019</v>
      </c>
      <c r="C716" s="141"/>
      <c r="D716" s="142"/>
      <c r="E716" s="143"/>
      <c r="F716" s="144"/>
      <c r="G716" s="144"/>
      <c r="H716" s="145"/>
      <c r="I716" s="184"/>
      <c r="J716" s="195"/>
      <c r="K716" s="147"/>
      <c r="L716" s="210"/>
      <c r="M716" s="147"/>
    </row>
    <row r="717" spans="1:13" s="148" customFormat="1" ht="16.5" hidden="1" customHeight="1">
      <c r="A717" s="110"/>
      <c r="B717" s="149" t="s">
        <v>566</v>
      </c>
      <c r="C717" s="150">
        <v>1</v>
      </c>
      <c r="D717" s="151" t="s">
        <v>268</v>
      </c>
      <c r="E717" s="152">
        <v>1</v>
      </c>
      <c r="F717" s="153">
        <v>9.8699999999999992</v>
      </c>
      <c r="G717" s="153">
        <v>1.83</v>
      </c>
      <c r="H717" s="153">
        <v>0</v>
      </c>
      <c r="I717" s="185">
        <f t="shared" ref="I717:I727" si="69">ROUND(IF(AND(F717:H717),C717*E717*F717*G717*H717,IF(AND(F717,G717),C717*E717*F717*G717,IF(AND(F717,H717),C717*E717*F717*H717,IF(AND(G717,H717),C717*E717*G717*H717,IF(F717,C717*E717*F717,IF(G717,C717*E717*G717,IF(H717,C717*E717*H717,C717*E717))))))),2)</f>
        <v>18.059999999999999</v>
      </c>
      <c r="J717" s="195" t="s">
        <v>102</v>
      </c>
      <c r="K717" s="147"/>
      <c r="L717" s="210"/>
      <c r="M717" s="147"/>
    </row>
    <row r="718" spans="1:13" s="148" customFormat="1" ht="16.5" hidden="1" customHeight="1">
      <c r="A718" s="110"/>
      <c r="B718" s="149" t="s">
        <v>639</v>
      </c>
      <c r="C718" s="150">
        <v>1</v>
      </c>
      <c r="D718" s="151" t="s">
        <v>268</v>
      </c>
      <c r="E718" s="152">
        <v>1</v>
      </c>
      <c r="F718" s="153">
        <v>2.83</v>
      </c>
      <c r="G718" s="153">
        <v>1.55</v>
      </c>
      <c r="H718" s="153">
        <v>0</v>
      </c>
      <c r="I718" s="185">
        <f t="shared" si="69"/>
        <v>4.3899999999999997</v>
      </c>
      <c r="J718" s="195" t="s">
        <v>102</v>
      </c>
      <c r="K718" s="147"/>
      <c r="L718" s="210"/>
      <c r="M718" s="147"/>
    </row>
    <row r="719" spans="1:13" s="148" customFormat="1" ht="16.5" hidden="1" customHeight="1">
      <c r="A719" s="110"/>
      <c r="B719" s="149"/>
      <c r="C719" s="150">
        <v>1</v>
      </c>
      <c r="D719" s="151" t="s">
        <v>268</v>
      </c>
      <c r="E719" s="152">
        <v>1</v>
      </c>
      <c r="F719" s="153">
        <v>2.65</v>
      </c>
      <c r="G719" s="153">
        <v>0.53</v>
      </c>
      <c r="H719" s="153">
        <v>0</v>
      </c>
      <c r="I719" s="185">
        <f t="shared" si="69"/>
        <v>1.4</v>
      </c>
      <c r="J719" s="195" t="s">
        <v>102</v>
      </c>
      <c r="K719" s="147"/>
      <c r="L719" s="210"/>
      <c r="M719" s="147"/>
    </row>
    <row r="720" spans="1:13" s="148" customFormat="1" ht="16.5" hidden="1" customHeight="1">
      <c r="A720" s="110"/>
      <c r="B720" s="149"/>
      <c r="C720" s="150">
        <v>1</v>
      </c>
      <c r="D720" s="151" t="s">
        <v>268</v>
      </c>
      <c r="E720" s="152">
        <v>1</v>
      </c>
      <c r="F720" s="153">
        <v>2.65</v>
      </c>
      <c r="G720" s="153">
        <v>0.9</v>
      </c>
      <c r="H720" s="153">
        <v>0</v>
      </c>
      <c r="I720" s="185">
        <f t="shared" si="69"/>
        <v>2.39</v>
      </c>
      <c r="J720" s="195" t="s">
        <v>102</v>
      </c>
      <c r="K720" s="147"/>
      <c r="L720" s="210"/>
      <c r="M720" s="147"/>
    </row>
    <row r="721" spans="1:13" s="148" customFormat="1" ht="16.5" hidden="1" customHeight="1">
      <c r="A721" s="110"/>
      <c r="B721" s="149" t="s">
        <v>1038</v>
      </c>
      <c r="C721" s="150">
        <v>1</v>
      </c>
      <c r="D721" s="151" t="s">
        <v>268</v>
      </c>
      <c r="E721" s="152">
        <v>2</v>
      </c>
      <c r="F721" s="153">
        <v>2.65</v>
      </c>
      <c r="G721" s="153">
        <v>1.1000000000000001</v>
      </c>
      <c r="H721" s="153">
        <v>0</v>
      </c>
      <c r="I721" s="185">
        <f t="shared" si="69"/>
        <v>5.83</v>
      </c>
      <c r="J721" s="195" t="s">
        <v>102</v>
      </c>
      <c r="K721" s="147"/>
      <c r="L721" s="210"/>
      <c r="M721" s="147"/>
    </row>
    <row r="722" spans="1:13" s="148" customFormat="1" ht="16.5" hidden="1" customHeight="1">
      <c r="A722" s="110"/>
      <c r="B722" s="149"/>
      <c r="C722" s="150">
        <v>1</v>
      </c>
      <c r="D722" s="151" t="s">
        <v>268</v>
      </c>
      <c r="E722" s="152">
        <v>1</v>
      </c>
      <c r="F722" s="153">
        <v>1.3</v>
      </c>
      <c r="G722" s="153">
        <v>0.56000000000000005</v>
      </c>
      <c r="H722" s="153">
        <v>0</v>
      </c>
      <c r="I722" s="185">
        <f t="shared" si="69"/>
        <v>0.73</v>
      </c>
      <c r="J722" s="195" t="s">
        <v>102</v>
      </c>
      <c r="K722" s="147"/>
      <c r="L722" s="210"/>
      <c r="M722" s="147"/>
    </row>
    <row r="723" spans="1:13" s="148" customFormat="1" ht="16.5" hidden="1" customHeight="1">
      <c r="A723" s="110"/>
      <c r="B723" s="149"/>
      <c r="C723" s="150">
        <v>1</v>
      </c>
      <c r="D723" s="151" t="s">
        <v>268</v>
      </c>
      <c r="E723" s="152">
        <v>1</v>
      </c>
      <c r="F723" s="153">
        <v>2.8</v>
      </c>
      <c r="G723" s="153">
        <v>0.53</v>
      </c>
      <c r="H723" s="153">
        <v>0</v>
      </c>
      <c r="I723" s="185">
        <f t="shared" si="69"/>
        <v>1.48</v>
      </c>
      <c r="J723" s="195" t="s">
        <v>102</v>
      </c>
      <c r="K723" s="147"/>
      <c r="L723" s="210"/>
      <c r="M723" s="147"/>
    </row>
    <row r="724" spans="1:13" s="148" customFormat="1" ht="16.5" hidden="1" customHeight="1">
      <c r="A724" s="110"/>
      <c r="B724" s="149"/>
      <c r="C724" s="150">
        <v>1</v>
      </c>
      <c r="D724" s="151" t="s">
        <v>268</v>
      </c>
      <c r="E724" s="152">
        <v>1</v>
      </c>
      <c r="F724" s="153">
        <v>2.8</v>
      </c>
      <c r="G724" s="153">
        <v>0.9</v>
      </c>
      <c r="H724" s="153">
        <v>0</v>
      </c>
      <c r="I724" s="185">
        <f t="shared" si="69"/>
        <v>2.52</v>
      </c>
      <c r="J724" s="195" t="s">
        <v>102</v>
      </c>
      <c r="K724" s="147"/>
      <c r="L724" s="210"/>
      <c r="M724" s="147"/>
    </row>
    <row r="725" spans="1:13" s="148" customFormat="1" ht="16.5" hidden="1" customHeight="1">
      <c r="A725" s="110"/>
      <c r="B725" s="149" t="s">
        <v>1039</v>
      </c>
      <c r="C725" s="150">
        <v>1</v>
      </c>
      <c r="D725" s="151" t="s">
        <v>268</v>
      </c>
      <c r="E725" s="152">
        <v>4</v>
      </c>
      <c r="F725" s="153">
        <v>2.72</v>
      </c>
      <c r="G725" s="153">
        <v>0.38</v>
      </c>
      <c r="H725" s="153">
        <v>0</v>
      </c>
      <c r="I725" s="185">
        <f t="shared" si="69"/>
        <v>4.13</v>
      </c>
      <c r="J725" s="195" t="s">
        <v>102</v>
      </c>
      <c r="K725" s="147"/>
      <c r="L725" s="210"/>
      <c r="M725" s="147"/>
    </row>
    <row r="726" spans="1:13" s="148" customFormat="1" ht="16.5" hidden="1" customHeight="1">
      <c r="A726" s="110"/>
      <c r="B726" s="149" t="s">
        <v>1040</v>
      </c>
      <c r="C726" s="150">
        <v>1</v>
      </c>
      <c r="D726" s="151" t="s">
        <v>268</v>
      </c>
      <c r="E726" s="152">
        <v>4</v>
      </c>
      <c r="F726" s="153">
        <v>2.5</v>
      </c>
      <c r="G726" s="153">
        <v>0.38</v>
      </c>
      <c r="H726" s="153">
        <v>0</v>
      </c>
      <c r="I726" s="185">
        <f t="shared" si="69"/>
        <v>3.8</v>
      </c>
      <c r="J726" s="195" t="s">
        <v>102</v>
      </c>
      <c r="K726" s="147"/>
      <c r="L726" s="210"/>
      <c r="M726" s="147"/>
    </row>
    <row r="727" spans="1:13" s="148" customFormat="1" ht="16.5" hidden="1" customHeight="1">
      <c r="A727" s="110"/>
      <c r="B727" s="149" t="s">
        <v>1041</v>
      </c>
      <c r="C727" s="150">
        <v>1</v>
      </c>
      <c r="D727" s="151" t="s">
        <v>268</v>
      </c>
      <c r="E727" s="152">
        <v>21</v>
      </c>
      <c r="F727" s="153">
        <v>1.28</v>
      </c>
      <c r="G727" s="153">
        <v>0.3</v>
      </c>
      <c r="H727" s="153">
        <v>0</v>
      </c>
      <c r="I727" s="185">
        <f t="shared" si="69"/>
        <v>8.06</v>
      </c>
      <c r="J727" s="195" t="s">
        <v>102</v>
      </c>
      <c r="K727" s="147"/>
      <c r="L727" s="210"/>
      <c r="M727" s="147"/>
    </row>
    <row r="728" spans="1:13" s="148" customFormat="1" ht="16.5" hidden="1" customHeight="1">
      <c r="A728" s="110"/>
      <c r="B728" s="149"/>
      <c r="C728" s="150"/>
      <c r="D728" s="151"/>
      <c r="E728" s="152"/>
      <c r="F728" s="153"/>
      <c r="G728" s="153"/>
      <c r="H728" s="153"/>
      <c r="I728" s="185"/>
      <c r="J728" s="195"/>
      <c r="K728" s="147"/>
      <c r="L728" s="210"/>
      <c r="M728" s="147"/>
    </row>
    <row r="729" spans="1:13" hidden="1">
      <c r="A729" s="110"/>
      <c r="B729" s="147"/>
      <c r="C729" s="154"/>
      <c r="D729" s="155"/>
      <c r="E729" s="156"/>
      <c r="F729" s="157"/>
      <c r="G729" s="158"/>
      <c r="H729" s="110"/>
      <c r="I729" s="185"/>
      <c r="J729" s="195" t="s">
        <v>102</v>
      </c>
      <c r="K729" s="12">
        <f>'DATA 2025-26'!F687</f>
        <v>820.62</v>
      </c>
      <c r="L729" s="210" t="s">
        <v>270</v>
      </c>
      <c r="M729" s="11">
        <f>ROUND(I729*K729,0)</f>
        <v>0</v>
      </c>
    </row>
    <row r="730" spans="1:13" ht="96" hidden="1" customHeight="1">
      <c r="A730" s="110">
        <v>27</v>
      </c>
      <c r="B730" s="964" t="s">
        <v>667</v>
      </c>
      <c r="C730" s="964"/>
      <c r="D730" s="964"/>
      <c r="E730" s="964"/>
      <c r="F730" s="964"/>
      <c r="G730" s="964"/>
      <c r="H730" s="964"/>
      <c r="I730" s="183"/>
      <c r="J730" s="186"/>
      <c r="K730" s="110"/>
      <c r="L730" s="210"/>
      <c r="M730" s="139"/>
    </row>
    <row r="731" spans="1:13" s="148" customFormat="1" ht="16.5" hidden="1" customHeight="1">
      <c r="A731" s="110"/>
      <c r="B731" s="147" t="s">
        <v>1020</v>
      </c>
      <c r="C731" s="141"/>
      <c r="D731" s="142"/>
      <c r="E731" s="143"/>
      <c r="F731" s="144"/>
      <c r="G731" s="144"/>
      <c r="H731" s="145"/>
      <c r="I731" s="184"/>
      <c r="J731" s="195"/>
      <c r="K731" s="147"/>
      <c r="L731" s="210"/>
      <c r="M731" s="147"/>
    </row>
    <row r="732" spans="1:13" s="148" customFormat="1" ht="16.5" hidden="1" customHeight="1">
      <c r="A732" s="110"/>
      <c r="B732" s="149" t="s">
        <v>1038</v>
      </c>
      <c r="C732" s="150">
        <v>1</v>
      </c>
      <c r="D732" s="151" t="s">
        <v>268</v>
      </c>
      <c r="E732" s="152">
        <v>2</v>
      </c>
      <c r="F732" s="153">
        <v>5.25</v>
      </c>
      <c r="G732" s="153">
        <v>0</v>
      </c>
      <c r="H732" s="153">
        <v>0.1</v>
      </c>
      <c r="I732" s="185">
        <f t="shared" ref="I732:I737" si="70">ROUND(IF(AND(F732:H732),C732*E732*F732*G732*H732,IF(AND(F732,G732),C732*E732*F732*G732,IF(AND(F732,H732),C732*E732*F732*H732,IF(AND(G732,H732),C732*E732*G732*H732,IF(F732,C732*E732*F732,IF(G732,C732*E732*G732,IF(H732,C732*E732*H732,C732*E732))))))),2)</f>
        <v>1.05</v>
      </c>
      <c r="J732" s="195" t="s">
        <v>102</v>
      </c>
      <c r="K732" s="147"/>
      <c r="L732" s="210"/>
      <c r="M732" s="147"/>
    </row>
    <row r="733" spans="1:13" s="148" customFormat="1" ht="16.5" hidden="1" customHeight="1">
      <c r="A733" s="110"/>
      <c r="B733" s="149" t="s">
        <v>566</v>
      </c>
      <c r="C733" s="150">
        <v>1</v>
      </c>
      <c r="D733" s="151" t="s">
        <v>268</v>
      </c>
      <c r="E733" s="152">
        <v>1</v>
      </c>
      <c r="F733" s="153">
        <v>9.8699999999999992</v>
      </c>
      <c r="G733" s="153">
        <v>0</v>
      </c>
      <c r="H733" s="153">
        <v>0.1</v>
      </c>
      <c r="I733" s="185">
        <f t="shared" si="70"/>
        <v>0.99</v>
      </c>
      <c r="J733" s="195" t="s">
        <v>102</v>
      </c>
      <c r="K733" s="147"/>
      <c r="L733" s="210"/>
      <c r="M733" s="147"/>
    </row>
    <row r="734" spans="1:13" s="148" customFormat="1" ht="16.5" hidden="1" customHeight="1">
      <c r="A734" s="110"/>
      <c r="B734" s="149" t="s">
        <v>1042</v>
      </c>
      <c r="C734" s="150">
        <v>1</v>
      </c>
      <c r="D734" s="151" t="s">
        <v>268</v>
      </c>
      <c r="E734" s="152">
        <v>5</v>
      </c>
      <c r="F734" s="153">
        <v>2.72</v>
      </c>
      <c r="G734" s="153">
        <v>0</v>
      </c>
      <c r="H734" s="153">
        <v>0.17</v>
      </c>
      <c r="I734" s="185">
        <f t="shared" si="70"/>
        <v>2.31</v>
      </c>
      <c r="J734" s="195" t="s">
        <v>102</v>
      </c>
      <c r="K734" s="147"/>
      <c r="L734" s="210"/>
      <c r="M734" s="147"/>
    </row>
    <row r="735" spans="1:13" s="148" customFormat="1" ht="16.5" hidden="1" customHeight="1">
      <c r="A735" s="110"/>
      <c r="B735" s="149" t="s">
        <v>1043</v>
      </c>
      <c r="C735" s="150">
        <v>1</v>
      </c>
      <c r="D735" s="151" t="s">
        <v>268</v>
      </c>
      <c r="E735" s="152">
        <v>5</v>
      </c>
      <c r="F735" s="153">
        <v>2.5</v>
      </c>
      <c r="G735" s="153">
        <v>0</v>
      </c>
      <c r="H735" s="153">
        <v>0.17</v>
      </c>
      <c r="I735" s="185">
        <f t="shared" si="70"/>
        <v>2.13</v>
      </c>
      <c r="J735" s="195" t="s">
        <v>102</v>
      </c>
      <c r="K735" s="147"/>
      <c r="L735" s="210"/>
      <c r="M735" s="147"/>
    </row>
    <row r="736" spans="1:13" s="148" customFormat="1" ht="16.5" hidden="1" customHeight="1">
      <c r="A736" s="110"/>
      <c r="B736" s="149" t="s">
        <v>1041</v>
      </c>
      <c r="C736" s="150">
        <v>1</v>
      </c>
      <c r="D736" s="151" t="s">
        <v>268</v>
      </c>
      <c r="E736" s="152">
        <v>22</v>
      </c>
      <c r="F736" s="153">
        <v>1.28</v>
      </c>
      <c r="G736" s="153">
        <v>0</v>
      </c>
      <c r="H736" s="153">
        <v>0.15</v>
      </c>
      <c r="I736" s="185">
        <f t="shared" si="70"/>
        <v>4.22</v>
      </c>
      <c r="J736" s="195" t="s">
        <v>102</v>
      </c>
      <c r="K736" s="147"/>
      <c r="L736" s="210"/>
      <c r="M736" s="147"/>
    </row>
    <row r="737" spans="1:13" s="148" customFormat="1" ht="16.5" hidden="1" customHeight="1">
      <c r="A737" s="110"/>
      <c r="B737" s="149" t="s">
        <v>1033</v>
      </c>
      <c r="C737" s="150">
        <v>1</v>
      </c>
      <c r="D737" s="151" t="s">
        <v>268</v>
      </c>
      <c r="E737" s="152">
        <v>1</v>
      </c>
      <c r="F737" s="153">
        <v>10.53</v>
      </c>
      <c r="G737" s="153">
        <v>0</v>
      </c>
      <c r="H737" s="153">
        <v>0.1</v>
      </c>
      <c r="I737" s="185">
        <f t="shared" si="70"/>
        <v>1.05</v>
      </c>
      <c r="J737" s="195" t="s">
        <v>102</v>
      </c>
      <c r="K737" s="147"/>
      <c r="L737" s="210"/>
      <c r="M737" s="147"/>
    </row>
    <row r="738" spans="1:13" s="148" customFormat="1" ht="16.5" hidden="1" customHeight="1">
      <c r="A738" s="110"/>
      <c r="B738" s="149"/>
      <c r="C738" s="150"/>
      <c r="D738" s="151"/>
      <c r="E738" s="152"/>
      <c r="F738" s="153"/>
      <c r="G738" s="153"/>
      <c r="H738" s="153"/>
      <c r="I738" s="185"/>
      <c r="J738" s="195"/>
      <c r="K738" s="147"/>
      <c r="L738" s="210"/>
      <c r="M738" s="147"/>
    </row>
    <row r="739" spans="1:13" hidden="1">
      <c r="A739" s="110"/>
      <c r="B739" s="147"/>
      <c r="C739" s="154"/>
      <c r="D739" s="155"/>
      <c r="E739" s="156"/>
      <c r="F739" s="157"/>
      <c r="G739" s="158"/>
      <c r="H739" s="110"/>
      <c r="I739" s="185"/>
      <c r="J739" s="195" t="s">
        <v>102</v>
      </c>
      <c r="K739" s="12">
        <f>'DATA 2025-26'!F705</f>
        <v>848.69</v>
      </c>
      <c r="L739" s="210" t="s">
        <v>270</v>
      </c>
      <c r="M739" s="11">
        <f>ROUND(I739*K739,0)</f>
        <v>0</v>
      </c>
    </row>
    <row r="740" spans="1:13" ht="94.5" hidden="1" customHeight="1">
      <c r="A740" s="110">
        <v>5</v>
      </c>
      <c r="B740" s="964" t="s">
        <v>211</v>
      </c>
      <c r="C740" s="964"/>
      <c r="D740" s="964"/>
      <c r="E740" s="964"/>
      <c r="F740" s="964"/>
      <c r="G740" s="964"/>
      <c r="H740" s="964"/>
      <c r="I740" s="183"/>
      <c r="J740" s="186"/>
      <c r="K740" s="110"/>
      <c r="L740" s="210"/>
      <c r="M740" s="139"/>
    </row>
    <row r="741" spans="1:13" hidden="1">
      <c r="A741" s="110"/>
      <c r="B741" s="632" t="s">
        <v>1899</v>
      </c>
      <c r="C741" s="671"/>
      <c r="D741" s="672"/>
      <c r="E741" s="673"/>
      <c r="F741" s="632"/>
      <c r="G741" s="632"/>
      <c r="H741" s="632"/>
      <c r="I741" s="183"/>
      <c r="J741" s="186"/>
      <c r="K741" s="110"/>
      <c r="L741" s="210"/>
      <c r="M741" s="139"/>
    </row>
    <row r="742" spans="1:13" s="148" customFormat="1" ht="16.5" hidden="1" customHeight="1">
      <c r="A742" s="110"/>
      <c r="B742" s="149" t="s">
        <v>1848</v>
      </c>
      <c r="C742" s="150">
        <v>1</v>
      </c>
      <c r="D742" s="151" t="s">
        <v>268</v>
      </c>
      <c r="E742" s="152">
        <v>1</v>
      </c>
      <c r="F742" s="153">
        <v>1.8</v>
      </c>
      <c r="G742" s="153">
        <v>1.2</v>
      </c>
      <c r="H742" s="153">
        <v>0</v>
      </c>
      <c r="I742" s="185">
        <f>ROUND(IF(AND(F742:H742),C742*E742*F742*G742*H742,IF(AND(F742,G742),C742*E742*F742*G742,IF(AND(F742,H742),C742*E742*F742*H742,IF(AND(G742,H742),C742*E742*G742*H742,IF(F742,C742*E742*F742,IF(G742,C742*E742*G742,IF(H742,C742*E742*H742,C742*E742))))))),2)</f>
        <v>2.16</v>
      </c>
      <c r="J742" s="195" t="s">
        <v>102</v>
      </c>
      <c r="K742" s="147"/>
      <c r="L742" s="110"/>
      <c r="M742" s="147"/>
    </row>
    <row r="743" spans="1:13" s="148" customFormat="1" ht="16.5" hidden="1" customHeight="1">
      <c r="A743" s="110"/>
      <c r="B743" s="149"/>
      <c r="C743" s="150"/>
      <c r="D743" s="151"/>
      <c r="E743" s="152"/>
      <c r="F743" s="153"/>
      <c r="G743" s="153"/>
      <c r="H743" s="153"/>
      <c r="I743" s="185"/>
      <c r="J743" s="195"/>
      <c r="K743" s="147"/>
      <c r="L743" s="210"/>
      <c r="M743" s="147"/>
    </row>
    <row r="744" spans="1:13" hidden="1">
      <c r="A744" s="110"/>
      <c r="B744" s="147"/>
      <c r="C744" s="154"/>
      <c r="D744" s="155"/>
      <c r="E744" s="156"/>
      <c r="F744" s="157"/>
      <c r="G744" s="158"/>
      <c r="H744" s="110"/>
      <c r="I744" s="185"/>
      <c r="J744" s="195" t="s">
        <v>102</v>
      </c>
      <c r="K744" s="12">
        <f>'DATA 2025-26'!F764</f>
        <v>1033.07</v>
      </c>
      <c r="L744" s="210" t="s">
        <v>270</v>
      </c>
      <c r="M744" s="11">
        <f>ROUND(I744*K744,0)</f>
        <v>0</v>
      </c>
    </row>
    <row r="745" spans="1:13" ht="94.5" hidden="1" customHeight="1">
      <c r="A745" s="110">
        <v>6</v>
      </c>
      <c r="B745" s="964" t="s">
        <v>214</v>
      </c>
      <c r="C745" s="964"/>
      <c r="D745" s="964"/>
      <c r="E745" s="964"/>
      <c r="F745" s="964"/>
      <c r="G745" s="964"/>
      <c r="H745" s="964"/>
      <c r="I745" s="183"/>
      <c r="J745" s="186"/>
      <c r="K745" s="110"/>
      <c r="L745" s="210"/>
      <c r="M745" s="139"/>
    </row>
    <row r="746" spans="1:13" hidden="1">
      <c r="A746" s="110"/>
      <c r="B746" s="632" t="s">
        <v>1900</v>
      </c>
      <c r="C746" s="671"/>
      <c r="D746" s="672"/>
      <c r="E746" s="673"/>
      <c r="F746" s="632"/>
      <c r="G746" s="632"/>
      <c r="H746" s="632"/>
      <c r="I746" s="183"/>
      <c r="J746" s="186"/>
      <c r="K746" s="110"/>
      <c r="L746" s="210"/>
      <c r="M746" s="139"/>
    </row>
    <row r="747" spans="1:13" s="148" customFormat="1" ht="16.5" hidden="1" customHeight="1">
      <c r="A747" s="110"/>
      <c r="B747" s="149" t="s">
        <v>1851</v>
      </c>
      <c r="C747" s="150">
        <v>1</v>
      </c>
      <c r="D747" s="151" t="s">
        <v>268</v>
      </c>
      <c r="E747" s="152">
        <v>1</v>
      </c>
      <c r="F747" s="153">
        <v>6</v>
      </c>
      <c r="G747" s="153">
        <v>0</v>
      </c>
      <c r="H747" s="153">
        <v>2.1</v>
      </c>
      <c r="I747" s="185">
        <f>ROUND(IF(AND(F747:H747),C747*E747*F747*G747*H747,IF(AND(F747,G747),C747*E747*F747*G747,IF(AND(F747,H747),C747*E747*F747*H747,IF(AND(G747,H747),C747*E747*G747*H747,IF(F747,C747*E747*F747,IF(G747,C747*E747*G747,IF(H747,C747*E747*H747,C747*E747))))))),2)</f>
        <v>12.6</v>
      </c>
      <c r="J747" s="195" t="s">
        <v>102</v>
      </c>
      <c r="K747" s="147"/>
      <c r="L747" s="110"/>
      <c r="M747" s="147"/>
    </row>
    <row r="748" spans="1:13" s="148" customFormat="1" ht="16.5" hidden="1" customHeight="1">
      <c r="A748" s="110"/>
      <c r="B748" s="149" t="s">
        <v>567</v>
      </c>
      <c r="C748" s="150">
        <v>1</v>
      </c>
      <c r="D748" s="151" t="s">
        <v>268</v>
      </c>
      <c r="E748" s="152">
        <v>1</v>
      </c>
      <c r="F748" s="153">
        <v>0.75</v>
      </c>
      <c r="G748" s="153">
        <v>0</v>
      </c>
      <c r="H748" s="153">
        <v>2.1</v>
      </c>
      <c r="I748" s="185">
        <f>-ROUND(IF(AND(F748:H748),C748*E748*F748*G748*H748,IF(AND(F748,G748),C748*E748*F748*G748,IF(AND(F748,H748),C748*E748*F748*H748,IF(AND(G748,H748),C748*E748*G748*H748,IF(F748,C748*E748*F748,IF(G748,C748*E748*G748,IF(H748,C748*E748*H748,C748*E748))))))),2)</f>
        <v>-1.58</v>
      </c>
      <c r="J748" s="195" t="s">
        <v>102</v>
      </c>
      <c r="K748" s="147"/>
      <c r="L748" s="110"/>
      <c r="M748" s="147"/>
    </row>
    <row r="749" spans="1:13" s="148" customFormat="1" ht="16.5" hidden="1" customHeight="1">
      <c r="A749" s="110"/>
      <c r="B749" s="149"/>
      <c r="C749" s="150"/>
      <c r="D749" s="151"/>
      <c r="E749" s="152"/>
      <c r="F749" s="153"/>
      <c r="G749" s="153"/>
      <c r="H749" s="153"/>
      <c r="I749" s="185"/>
      <c r="J749" s="195"/>
      <c r="K749" s="147"/>
      <c r="L749" s="210"/>
      <c r="M749" s="147"/>
    </row>
    <row r="750" spans="1:13" hidden="1">
      <c r="A750" s="110"/>
      <c r="B750" s="147"/>
      <c r="C750" s="154"/>
      <c r="D750" s="155"/>
      <c r="E750" s="156"/>
      <c r="F750" s="157"/>
      <c r="G750" s="158"/>
      <c r="H750" s="110"/>
      <c r="I750" s="185"/>
      <c r="J750" s="195" t="s">
        <v>102</v>
      </c>
      <c r="K750" s="12">
        <f>'DATA 2025-26'!F781</f>
        <v>519.35</v>
      </c>
      <c r="L750" s="210" t="s">
        <v>270</v>
      </c>
      <c r="M750" s="11">
        <f>ROUND(I750*K750,0)</f>
        <v>0</v>
      </c>
    </row>
    <row r="751" spans="1:13" ht="81.75" hidden="1" customHeight="1">
      <c r="A751" s="110">
        <v>27</v>
      </c>
      <c r="B751" s="964" t="s">
        <v>977</v>
      </c>
      <c r="C751" s="964"/>
      <c r="D751" s="964"/>
      <c r="E751" s="964"/>
      <c r="F751" s="964"/>
      <c r="G751" s="964"/>
      <c r="H751" s="964"/>
      <c r="I751" s="183"/>
      <c r="J751" s="186"/>
      <c r="K751" s="110"/>
      <c r="L751" s="210"/>
      <c r="M751" s="139"/>
    </row>
    <row r="752" spans="1:13" s="148" customFormat="1" ht="16.5" hidden="1" customHeight="1">
      <c r="A752" s="110"/>
      <c r="B752" s="140" t="s">
        <v>1312</v>
      </c>
      <c r="C752" s="141"/>
      <c r="D752" s="142"/>
      <c r="E752" s="143"/>
      <c r="F752" s="144"/>
      <c r="G752" s="144"/>
      <c r="H752" s="145"/>
      <c r="I752" s="184"/>
      <c r="J752" s="146"/>
      <c r="K752" s="147"/>
      <c r="L752" s="210"/>
      <c r="M752" s="147"/>
    </row>
    <row r="753" spans="1:13" s="148" customFormat="1" ht="16.5" hidden="1" customHeight="1">
      <c r="A753" s="110"/>
      <c r="B753" s="243" t="s">
        <v>965</v>
      </c>
      <c r="C753" s="244">
        <v>2</v>
      </c>
      <c r="D753" s="245" t="s">
        <v>268</v>
      </c>
      <c r="E753" s="246">
        <v>0.5</v>
      </c>
      <c r="F753" s="247">
        <v>0.96</v>
      </c>
      <c r="G753" s="247">
        <v>1</v>
      </c>
      <c r="H753" s="247">
        <v>0</v>
      </c>
      <c r="I753" s="338">
        <f>ROUND(IF(AND(F753:H753),C753*E753*F753*G753*H753,IF(AND(F753,G753),C753*E753*F753*G753,IF(AND(F753,H753),C753*E753*F753*H753,IF(AND(G753,H753),C753*E753*G753*H753,IF(F753,C753*E753*F753,IF(G753,C753*E753*G753,IF(H753,C753*E753*H753,C753*E753))))))),2)</f>
        <v>0.96</v>
      </c>
      <c r="J753" s="146" t="s">
        <v>102</v>
      </c>
      <c r="K753" s="147"/>
      <c r="L753" s="210"/>
      <c r="M753" s="147"/>
    </row>
    <row r="754" spans="1:13" s="148" customFormat="1" ht="16.5" hidden="1" customHeight="1">
      <c r="A754" s="110"/>
      <c r="B754" s="243"/>
      <c r="C754" s="244">
        <v>1</v>
      </c>
      <c r="D754" s="245" t="s">
        <v>268</v>
      </c>
      <c r="E754" s="246">
        <v>2</v>
      </c>
      <c r="F754" s="247">
        <v>3.6</v>
      </c>
      <c r="G754" s="247">
        <v>1.1299999999999999</v>
      </c>
      <c r="H754" s="247">
        <v>0</v>
      </c>
      <c r="I754" s="338">
        <f>ROUND(IF(AND(F754:H754),C754*E754*F754*G754*H754,IF(AND(F754,G754),C754*E754*F754*G754,IF(AND(F754,H754),C754*E754*F754*H754,IF(AND(G754,H754),C754*E754*G754*H754,IF(F754,C754*E754*F754,IF(G754,C754*E754*G754,IF(H754,C754*E754*H754,C754*E754))))))),2)</f>
        <v>8.14</v>
      </c>
      <c r="J754" s="146" t="s">
        <v>102</v>
      </c>
      <c r="K754" s="147"/>
      <c r="L754" s="210"/>
      <c r="M754" s="147"/>
    </row>
    <row r="755" spans="1:13" s="148" customFormat="1" ht="16.5" hidden="1" customHeight="1">
      <c r="A755" s="110"/>
      <c r="B755" s="243"/>
      <c r="C755" s="244">
        <v>1</v>
      </c>
      <c r="D755" s="245" t="s">
        <v>268</v>
      </c>
      <c r="E755" s="246">
        <v>2</v>
      </c>
      <c r="F755" s="247">
        <v>1.96</v>
      </c>
      <c r="G755" s="247">
        <v>1</v>
      </c>
      <c r="H755" s="247">
        <v>0</v>
      </c>
      <c r="I755" s="338">
        <f>ROUND(IF(AND(F755:H755),C755*E755*F755*G755*H755,IF(AND(F755,G755),C755*E755*F755*G755,IF(AND(F755,H755),C755*E755*F755*H755,IF(AND(G755,H755),C755*E755*G755*H755,IF(F755,C755*E755*F755,IF(G755,C755*E755*G755,IF(H755,C755*E755*H755,C755*E755))))))),2)</f>
        <v>3.92</v>
      </c>
      <c r="J755" s="146" t="s">
        <v>102</v>
      </c>
      <c r="K755" s="147"/>
      <c r="L755" s="210"/>
      <c r="M755" s="147"/>
    </row>
    <row r="756" spans="1:13" s="148" customFormat="1" ht="16.5" hidden="1" customHeight="1">
      <c r="A756" s="110"/>
      <c r="B756" s="243"/>
      <c r="C756" s="244">
        <v>1</v>
      </c>
      <c r="D756" s="245" t="s">
        <v>268</v>
      </c>
      <c r="E756" s="246">
        <v>2</v>
      </c>
      <c r="F756" s="247">
        <v>1.33</v>
      </c>
      <c r="G756" s="247">
        <v>1.1000000000000001</v>
      </c>
      <c r="H756" s="247">
        <v>0</v>
      </c>
      <c r="I756" s="338">
        <f>ROUND(IF(AND(F756:H756),C756*E756*F756*G756*H756,IF(AND(F756,G756),C756*E756*F756*G756,IF(AND(F756,H756),C756*E756*F756*H756,IF(AND(G756,H756),C756*E756*G756*H756,IF(F756,C756*E756*F756,IF(G756,C756*E756*G756,IF(H756,C756*E756*H756,C756*E756))))))),2)</f>
        <v>2.93</v>
      </c>
      <c r="J756" s="146" t="s">
        <v>102</v>
      </c>
      <c r="K756" s="147"/>
      <c r="L756" s="210"/>
      <c r="M756" s="147"/>
    </row>
    <row r="757" spans="1:13" s="148" customFormat="1" ht="16.5" hidden="1" customHeight="1">
      <c r="A757" s="110"/>
      <c r="B757" s="149"/>
      <c r="C757" s="150"/>
      <c r="D757" s="151"/>
      <c r="E757" s="152"/>
      <c r="F757" s="153"/>
      <c r="G757" s="153"/>
      <c r="H757" s="153"/>
      <c r="I757" s="185"/>
      <c r="J757" s="146"/>
      <c r="K757" s="147"/>
      <c r="L757" s="210"/>
      <c r="M757" s="147"/>
    </row>
    <row r="758" spans="1:13" hidden="1">
      <c r="A758" s="110"/>
      <c r="B758" s="147"/>
      <c r="C758" s="154"/>
      <c r="D758" s="155"/>
      <c r="E758" s="156"/>
      <c r="F758" s="157"/>
      <c r="G758" s="158"/>
      <c r="H758" s="110"/>
      <c r="I758" s="185"/>
      <c r="J758" s="146" t="s">
        <v>102</v>
      </c>
      <c r="K758" s="12">
        <f>'DATA 2025-26'!F809</f>
        <v>1471.43</v>
      </c>
      <c r="L758" s="210" t="s">
        <v>270</v>
      </c>
      <c r="M758" s="11">
        <f>ROUND(I758*K758,0)</f>
        <v>0</v>
      </c>
    </row>
    <row r="759" spans="1:13" ht="66" hidden="1" customHeight="1">
      <c r="A759" s="110">
        <v>26</v>
      </c>
      <c r="B759" s="964" t="s">
        <v>967</v>
      </c>
      <c r="C759" s="964"/>
      <c r="D759" s="964"/>
      <c r="E759" s="964"/>
      <c r="F759" s="964"/>
      <c r="G759" s="964"/>
      <c r="H759" s="964"/>
      <c r="I759" s="183"/>
      <c r="J759" s="186"/>
      <c r="K759" s="110"/>
      <c r="L759" s="210"/>
      <c r="M759" s="139"/>
    </row>
    <row r="760" spans="1:13" s="148" customFormat="1" ht="16.5" hidden="1" customHeight="1">
      <c r="A760" s="110"/>
      <c r="B760" s="147" t="s">
        <v>1291</v>
      </c>
      <c r="C760" s="141"/>
      <c r="D760" s="142"/>
      <c r="E760" s="143"/>
      <c r="F760" s="144"/>
      <c r="G760" s="144"/>
      <c r="H760" s="145"/>
      <c r="I760" s="184"/>
      <c r="J760" s="195"/>
      <c r="K760" s="147"/>
      <c r="L760" s="210"/>
      <c r="M760" s="147"/>
    </row>
    <row r="761" spans="1:13" s="148" customFormat="1" ht="16.5" hidden="1" customHeight="1">
      <c r="A761" s="110"/>
      <c r="B761" s="147" t="s">
        <v>745</v>
      </c>
      <c r="C761" s="183">
        <v>1</v>
      </c>
      <c r="D761" s="205" t="s">
        <v>268</v>
      </c>
      <c r="E761" s="156">
        <v>1</v>
      </c>
      <c r="F761" s="157">
        <v>8.5</v>
      </c>
      <c r="G761" s="157">
        <v>4.95</v>
      </c>
      <c r="H761" s="157">
        <v>0</v>
      </c>
      <c r="I761" s="207">
        <f t="shared" ref="I761:I773" si="71">ROUND(IF(AND(F761:H761),C761*E761*F761*G761*H761,IF(AND(F761,G761),C761*E761*F761*G761,IF(AND(F761,H761),C761*E761*F761*H761,IF(AND(G761,H761),C761*E761*G761*H761,IF(F761,C761*E761*F761,IF(G761,C761*E761*G761,IF(H761,C761*E761*H761,C761*E761))))))),2)</f>
        <v>42.08</v>
      </c>
      <c r="J761" s="195" t="s">
        <v>102</v>
      </c>
      <c r="K761" s="147"/>
      <c r="L761" s="210"/>
      <c r="M761" s="147"/>
    </row>
    <row r="762" spans="1:13" s="148" customFormat="1" ht="16.5" hidden="1" customHeight="1">
      <c r="A762" s="110"/>
      <c r="B762" s="147" t="s">
        <v>760</v>
      </c>
      <c r="C762" s="183">
        <v>1</v>
      </c>
      <c r="D762" s="205" t="s">
        <v>268</v>
      </c>
      <c r="E762" s="156">
        <v>1</v>
      </c>
      <c r="F762" s="157">
        <v>5.5</v>
      </c>
      <c r="G762" s="157">
        <v>2.4</v>
      </c>
      <c r="H762" s="157">
        <v>0</v>
      </c>
      <c r="I762" s="207">
        <f t="shared" si="71"/>
        <v>13.2</v>
      </c>
      <c r="J762" s="195" t="s">
        <v>102</v>
      </c>
      <c r="K762" s="147"/>
      <c r="L762" s="210"/>
      <c r="M762" s="147"/>
    </row>
    <row r="763" spans="1:13" s="148" customFormat="1" ht="16.5" hidden="1" customHeight="1">
      <c r="A763" s="110"/>
      <c r="B763" s="147" t="s">
        <v>763</v>
      </c>
      <c r="C763" s="183">
        <v>1</v>
      </c>
      <c r="D763" s="205" t="s">
        <v>268</v>
      </c>
      <c r="E763" s="156">
        <v>1</v>
      </c>
      <c r="F763" s="157">
        <v>3.15</v>
      </c>
      <c r="G763" s="157">
        <v>2.85</v>
      </c>
      <c r="H763" s="157">
        <v>0</v>
      </c>
      <c r="I763" s="207">
        <f t="shared" si="71"/>
        <v>8.98</v>
      </c>
      <c r="J763" s="195" t="s">
        <v>102</v>
      </c>
      <c r="K763" s="147"/>
      <c r="L763" s="210"/>
      <c r="M763" s="147"/>
    </row>
    <row r="764" spans="1:13" s="148" customFormat="1" ht="16.5" hidden="1" customHeight="1">
      <c r="A764" s="110"/>
      <c r="B764" s="147" t="s">
        <v>766</v>
      </c>
      <c r="C764" s="183">
        <v>1</v>
      </c>
      <c r="D764" s="205" t="s">
        <v>268</v>
      </c>
      <c r="E764" s="156">
        <v>1</v>
      </c>
      <c r="F764" s="157">
        <v>3.15</v>
      </c>
      <c r="G764" s="157">
        <v>2.75</v>
      </c>
      <c r="H764" s="157">
        <v>0</v>
      </c>
      <c r="I764" s="207">
        <f t="shared" si="71"/>
        <v>8.66</v>
      </c>
      <c r="J764" s="195" t="s">
        <v>102</v>
      </c>
      <c r="K764" s="147"/>
      <c r="L764" s="210"/>
      <c r="M764" s="147"/>
    </row>
    <row r="765" spans="1:13" s="148" customFormat="1" ht="16.5" hidden="1" customHeight="1">
      <c r="A765" s="110"/>
      <c r="B765" s="147" t="s">
        <v>649</v>
      </c>
      <c r="C765" s="183">
        <v>1</v>
      </c>
      <c r="D765" s="205" t="s">
        <v>268</v>
      </c>
      <c r="E765" s="156">
        <v>1</v>
      </c>
      <c r="F765" s="157">
        <v>8.35</v>
      </c>
      <c r="G765" s="157">
        <v>3.35</v>
      </c>
      <c r="H765" s="157">
        <v>0</v>
      </c>
      <c r="I765" s="207">
        <f t="shared" si="71"/>
        <v>27.97</v>
      </c>
      <c r="J765" s="195" t="s">
        <v>102</v>
      </c>
      <c r="K765" s="147"/>
      <c r="L765" s="210"/>
      <c r="M765" s="147"/>
    </row>
    <row r="766" spans="1:13" s="148" customFormat="1" ht="16.5" hidden="1" customHeight="1">
      <c r="A766" s="110"/>
      <c r="B766" s="147" t="s">
        <v>767</v>
      </c>
      <c r="C766" s="183">
        <v>1</v>
      </c>
      <c r="D766" s="205" t="s">
        <v>268</v>
      </c>
      <c r="E766" s="156">
        <v>1</v>
      </c>
      <c r="F766" s="157">
        <v>2.5</v>
      </c>
      <c r="G766" s="157">
        <v>0.5</v>
      </c>
      <c r="H766" s="157">
        <v>0</v>
      </c>
      <c r="I766" s="207">
        <f t="shared" si="71"/>
        <v>1.25</v>
      </c>
      <c r="J766" s="195" t="s">
        <v>102</v>
      </c>
      <c r="K766" s="147"/>
      <c r="L766" s="210"/>
      <c r="M766" s="147"/>
    </row>
    <row r="767" spans="1:13" s="148" customFormat="1" ht="16.5" hidden="1" customHeight="1">
      <c r="A767" s="110"/>
      <c r="B767" s="147"/>
      <c r="C767" s="183">
        <v>1</v>
      </c>
      <c r="D767" s="205" t="s">
        <v>268</v>
      </c>
      <c r="E767" s="156">
        <v>1</v>
      </c>
      <c r="F767" s="157">
        <v>2.5</v>
      </c>
      <c r="G767" s="157">
        <v>0.5</v>
      </c>
      <c r="H767" s="157">
        <v>0</v>
      </c>
      <c r="I767" s="207">
        <f t="shared" si="71"/>
        <v>1.25</v>
      </c>
      <c r="J767" s="195" t="s">
        <v>102</v>
      </c>
      <c r="K767" s="147"/>
      <c r="L767" s="210"/>
      <c r="M767" s="147"/>
    </row>
    <row r="768" spans="1:13" s="148" customFormat="1" ht="16.5" hidden="1" customHeight="1">
      <c r="A768" s="110"/>
      <c r="B768" s="147"/>
      <c r="C768" s="183">
        <v>1</v>
      </c>
      <c r="D768" s="205" t="s">
        <v>268</v>
      </c>
      <c r="E768" s="156">
        <v>1</v>
      </c>
      <c r="F768" s="157">
        <v>2.5</v>
      </c>
      <c r="G768" s="157">
        <v>0.5</v>
      </c>
      <c r="H768" s="157">
        <v>0</v>
      </c>
      <c r="I768" s="207">
        <f t="shared" si="71"/>
        <v>1.25</v>
      </c>
      <c r="J768" s="195" t="s">
        <v>102</v>
      </c>
      <c r="K768" s="147"/>
      <c r="L768" s="210"/>
      <c r="M768" s="147"/>
    </row>
    <row r="769" spans="1:13" s="148" customFormat="1" ht="16.5" hidden="1" customHeight="1">
      <c r="A769" s="110"/>
      <c r="B769" s="147" t="s">
        <v>763</v>
      </c>
      <c r="C769" s="183">
        <v>1</v>
      </c>
      <c r="D769" s="205" t="s">
        <v>268</v>
      </c>
      <c r="E769" s="156">
        <v>1</v>
      </c>
      <c r="F769" s="157">
        <v>2.5</v>
      </c>
      <c r="G769" s="157">
        <v>0.5</v>
      </c>
      <c r="H769" s="157">
        <v>0</v>
      </c>
      <c r="I769" s="207">
        <f t="shared" si="71"/>
        <v>1.25</v>
      </c>
      <c r="J769" s="195" t="s">
        <v>102</v>
      </c>
      <c r="K769" s="147"/>
      <c r="L769" s="210"/>
      <c r="M769" s="147"/>
    </row>
    <row r="770" spans="1:13" s="148" customFormat="1" ht="16.5" hidden="1" customHeight="1">
      <c r="A770" s="110"/>
      <c r="B770" s="147" t="s">
        <v>766</v>
      </c>
      <c r="C770" s="183">
        <v>1</v>
      </c>
      <c r="D770" s="205" t="s">
        <v>268</v>
      </c>
      <c r="E770" s="156">
        <v>1</v>
      </c>
      <c r="F770" s="157">
        <v>2.5</v>
      </c>
      <c r="G770" s="157">
        <v>0.5</v>
      </c>
      <c r="H770" s="157">
        <v>0</v>
      </c>
      <c r="I770" s="207">
        <f t="shared" si="71"/>
        <v>1.25</v>
      </c>
      <c r="J770" s="195" t="s">
        <v>102</v>
      </c>
      <c r="K770" s="147"/>
      <c r="L770" s="210"/>
      <c r="M770" s="147"/>
    </row>
    <row r="771" spans="1:13" s="148" customFormat="1" ht="16.5" hidden="1" customHeight="1">
      <c r="A771" s="110"/>
      <c r="B771" s="147" t="s">
        <v>768</v>
      </c>
      <c r="C771" s="183">
        <v>1</v>
      </c>
      <c r="D771" s="205" t="s">
        <v>268</v>
      </c>
      <c r="E771" s="156">
        <v>1</v>
      </c>
      <c r="F771" s="157">
        <v>8.9</v>
      </c>
      <c r="G771" s="157">
        <v>0.9</v>
      </c>
      <c r="H771" s="157">
        <v>0</v>
      </c>
      <c r="I771" s="207">
        <f t="shared" si="71"/>
        <v>8.01</v>
      </c>
      <c r="J771" s="195" t="s">
        <v>102</v>
      </c>
      <c r="K771" s="147"/>
      <c r="L771" s="210"/>
      <c r="M771" s="147"/>
    </row>
    <row r="772" spans="1:13" s="148" customFormat="1" ht="16.5" hidden="1" customHeight="1">
      <c r="A772" s="110"/>
      <c r="B772" s="147" t="s">
        <v>769</v>
      </c>
      <c r="C772" s="183">
        <v>1</v>
      </c>
      <c r="D772" s="205" t="s">
        <v>268</v>
      </c>
      <c r="E772" s="156">
        <v>1</v>
      </c>
      <c r="F772" s="157">
        <v>2.9</v>
      </c>
      <c r="G772" s="157">
        <v>1.3</v>
      </c>
      <c r="H772" s="157">
        <v>0</v>
      </c>
      <c r="I772" s="207">
        <f t="shared" si="71"/>
        <v>3.77</v>
      </c>
      <c r="J772" s="195" t="s">
        <v>102</v>
      </c>
      <c r="K772" s="147"/>
      <c r="L772" s="210"/>
      <c r="M772" s="147"/>
    </row>
    <row r="773" spans="1:13" s="148" customFormat="1" ht="16.5" hidden="1" customHeight="1">
      <c r="A773" s="110"/>
      <c r="B773" s="147" t="s">
        <v>746</v>
      </c>
      <c r="C773" s="183">
        <v>1</v>
      </c>
      <c r="D773" s="205" t="s">
        <v>268</v>
      </c>
      <c r="E773" s="156">
        <v>1</v>
      </c>
      <c r="F773" s="157">
        <v>2.9</v>
      </c>
      <c r="G773" s="157">
        <v>1.3</v>
      </c>
      <c r="H773" s="157">
        <v>0</v>
      </c>
      <c r="I773" s="207">
        <f t="shared" si="71"/>
        <v>3.77</v>
      </c>
      <c r="J773" s="195" t="s">
        <v>102</v>
      </c>
      <c r="K773" s="147"/>
      <c r="L773" s="210"/>
      <c r="M773" s="147"/>
    </row>
    <row r="774" spans="1:13" s="148" customFormat="1" ht="16.5" hidden="1" customHeight="1">
      <c r="A774" s="110"/>
      <c r="B774" s="147" t="s">
        <v>1302</v>
      </c>
      <c r="C774" s="141"/>
      <c r="D774" s="142"/>
      <c r="E774" s="143"/>
      <c r="F774" s="144"/>
      <c r="G774" s="144"/>
      <c r="H774" s="145"/>
      <c r="I774" s="184"/>
      <c r="J774" s="195"/>
      <c r="K774" s="147"/>
      <c r="L774" s="210"/>
      <c r="M774" s="147"/>
    </row>
    <row r="775" spans="1:13" s="148" customFormat="1" ht="16.5" hidden="1" customHeight="1">
      <c r="A775" s="110"/>
      <c r="B775" s="147" t="s">
        <v>770</v>
      </c>
      <c r="C775" s="183">
        <v>1</v>
      </c>
      <c r="D775" s="205" t="s">
        <v>268</v>
      </c>
      <c r="E775" s="156">
        <v>1</v>
      </c>
      <c r="F775" s="157">
        <v>27.04</v>
      </c>
      <c r="G775" s="157">
        <v>0</v>
      </c>
      <c r="H775" s="157">
        <v>3.2</v>
      </c>
      <c r="I775" s="207">
        <f t="shared" ref="I775:I782" si="72">ROUND(IF(AND(F775:H775),C775*E775*F775*G775*H775,IF(AND(F775,G775),C775*E775*F775*G775,IF(AND(F775,H775),C775*E775*F775*H775,IF(AND(G775,H775),C775*E775*G775*H775,IF(F775,C775*E775*F775,IF(G775,C775*E775*G775,IF(H775,C775*E775*H775,C775*E775))))))),2)</f>
        <v>86.53</v>
      </c>
      <c r="J775" s="195" t="s">
        <v>102</v>
      </c>
      <c r="K775" s="147"/>
      <c r="L775" s="210"/>
      <c r="M775" s="147"/>
    </row>
    <row r="776" spans="1:13" s="148" customFormat="1" ht="16.5" hidden="1" customHeight="1">
      <c r="A776" s="110"/>
      <c r="B776" s="147" t="s">
        <v>763</v>
      </c>
      <c r="C776" s="183">
        <v>1</v>
      </c>
      <c r="D776" s="205" t="s">
        <v>268</v>
      </c>
      <c r="E776" s="156">
        <v>1</v>
      </c>
      <c r="F776" s="157">
        <v>12.18</v>
      </c>
      <c r="G776" s="157">
        <v>0</v>
      </c>
      <c r="H776" s="157">
        <v>3.2</v>
      </c>
      <c r="I776" s="207">
        <f t="shared" si="72"/>
        <v>38.979999999999997</v>
      </c>
      <c r="J776" s="195" t="s">
        <v>102</v>
      </c>
      <c r="K776" s="147"/>
      <c r="L776" s="210"/>
      <c r="M776" s="147"/>
    </row>
    <row r="777" spans="1:13" s="148" customFormat="1" ht="16.5" hidden="1" customHeight="1">
      <c r="A777" s="110"/>
      <c r="B777" s="147" t="s">
        <v>766</v>
      </c>
      <c r="C777" s="183">
        <v>1</v>
      </c>
      <c r="D777" s="205" t="s">
        <v>268</v>
      </c>
      <c r="E777" s="156">
        <v>1</v>
      </c>
      <c r="F777" s="157">
        <v>12.1</v>
      </c>
      <c r="G777" s="157">
        <v>0</v>
      </c>
      <c r="H777" s="157">
        <v>3.2</v>
      </c>
      <c r="I777" s="207">
        <f t="shared" si="72"/>
        <v>38.72</v>
      </c>
      <c r="J777" s="195" t="s">
        <v>102</v>
      </c>
      <c r="K777" s="147"/>
      <c r="L777" s="210"/>
      <c r="M777" s="147"/>
    </row>
    <row r="778" spans="1:13" s="148" customFormat="1" ht="16.5" hidden="1" customHeight="1">
      <c r="A778" s="110"/>
      <c r="B778" s="147" t="s">
        <v>771</v>
      </c>
      <c r="C778" s="183">
        <v>1</v>
      </c>
      <c r="D778" s="205" t="s">
        <v>268</v>
      </c>
      <c r="E778" s="156">
        <v>1</v>
      </c>
      <c r="F778" s="157">
        <v>20.079999999999998</v>
      </c>
      <c r="G778" s="157">
        <v>0</v>
      </c>
      <c r="H778" s="157">
        <v>3.2</v>
      </c>
      <c r="I778" s="207">
        <f t="shared" si="72"/>
        <v>64.260000000000005</v>
      </c>
      <c r="J778" s="195" t="s">
        <v>102</v>
      </c>
      <c r="K778" s="147"/>
      <c r="L778" s="210"/>
      <c r="M778" s="147"/>
    </row>
    <row r="779" spans="1:13" s="148" customFormat="1" ht="16.5" hidden="1" customHeight="1">
      <c r="A779" s="110"/>
      <c r="B779" s="147" t="s">
        <v>772</v>
      </c>
      <c r="C779" s="183">
        <v>1</v>
      </c>
      <c r="D779" s="205" t="s">
        <v>268</v>
      </c>
      <c r="E779" s="156">
        <v>1</v>
      </c>
      <c r="F779" s="157">
        <v>12.6</v>
      </c>
      <c r="G779" s="157">
        <v>0</v>
      </c>
      <c r="H779" s="157">
        <v>0.75</v>
      </c>
      <c r="I779" s="207">
        <f t="shared" si="72"/>
        <v>9.4499999999999993</v>
      </c>
      <c r="J779" s="195" t="s">
        <v>102</v>
      </c>
      <c r="K779" s="147"/>
      <c r="L779" s="210"/>
      <c r="M779" s="147"/>
    </row>
    <row r="780" spans="1:13" s="148" customFormat="1" ht="16.5" hidden="1" customHeight="1">
      <c r="A780" s="110"/>
      <c r="B780" s="147" t="s">
        <v>773</v>
      </c>
      <c r="C780" s="183">
        <v>1</v>
      </c>
      <c r="D780" s="205" t="s">
        <v>268</v>
      </c>
      <c r="E780" s="156">
        <v>1</v>
      </c>
      <c r="F780" s="157">
        <v>3.27</v>
      </c>
      <c r="G780" s="157">
        <v>0</v>
      </c>
      <c r="H780" s="157">
        <v>3.2</v>
      </c>
      <c r="I780" s="207">
        <f t="shared" si="72"/>
        <v>10.46</v>
      </c>
      <c r="J780" s="195" t="s">
        <v>102</v>
      </c>
      <c r="K780" s="147"/>
      <c r="L780" s="210"/>
      <c r="M780" s="147"/>
    </row>
    <row r="781" spans="1:13" s="148" customFormat="1" ht="16.5" hidden="1" customHeight="1">
      <c r="A781" s="110"/>
      <c r="B781" s="147"/>
      <c r="C781" s="183">
        <v>1</v>
      </c>
      <c r="D781" s="205" t="s">
        <v>268</v>
      </c>
      <c r="E781" s="156">
        <v>1</v>
      </c>
      <c r="F781" s="157">
        <v>3.27</v>
      </c>
      <c r="G781" s="157">
        <v>0</v>
      </c>
      <c r="H781" s="157">
        <v>3.2</v>
      </c>
      <c r="I781" s="207">
        <f t="shared" si="72"/>
        <v>10.46</v>
      </c>
      <c r="J781" s="195" t="s">
        <v>102</v>
      </c>
      <c r="K781" s="147"/>
      <c r="L781" s="210"/>
      <c r="M781" s="147"/>
    </row>
    <row r="782" spans="1:13" s="148" customFormat="1" ht="16.5" hidden="1" customHeight="1">
      <c r="A782" s="110"/>
      <c r="B782" s="147" t="s">
        <v>774</v>
      </c>
      <c r="C782" s="183">
        <v>1</v>
      </c>
      <c r="D782" s="205" t="s">
        <v>268</v>
      </c>
      <c r="E782" s="156">
        <v>1</v>
      </c>
      <c r="F782" s="157">
        <v>2.68</v>
      </c>
      <c r="G782" s="157">
        <v>0</v>
      </c>
      <c r="H782" s="157">
        <v>1.2</v>
      </c>
      <c r="I782" s="207">
        <f t="shared" si="72"/>
        <v>3.22</v>
      </c>
      <c r="J782" s="195" t="s">
        <v>102</v>
      </c>
      <c r="K782" s="147"/>
      <c r="L782" s="210"/>
      <c r="M782" s="147"/>
    </row>
    <row r="783" spans="1:13" s="148" customFormat="1" ht="16.5" hidden="1" customHeight="1">
      <c r="A783" s="110"/>
      <c r="B783" s="147" t="s">
        <v>567</v>
      </c>
      <c r="C783" s="183">
        <v>1</v>
      </c>
      <c r="D783" s="205" t="s">
        <v>268</v>
      </c>
      <c r="E783" s="156">
        <v>2</v>
      </c>
      <c r="F783" s="157">
        <v>1.2</v>
      </c>
      <c r="G783" s="157">
        <v>0</v>
      </c>
      <c r="H783" s="157">
        <v>2.1</v>
      </c>
      <c r="I783" s="207">
        <f>-ROUND(IF(AND(F783:H783),C783*E783*F783*G783*H783,IF(AND(F783,G783),C783*E783*F783*G783,IF(AND(F783,H783),C783*E783*F783*H783,IF(AND(G783,H783),C783*E783*G783*H783,IF(F783,C783*E783*F783,IF(G783,C783*E783*G783,IF(H783,C783*E783*H783,C783*E783))))))),2)</f>
        <v>-5.04</v>
      </c>
      <c r="J783" s="195" t="s">
        <v>102</v>
      </c>
      <c r="K783" s="147"/>
      <c r="L783" s="210"/>
      <c r="M783" s="147"/>
    </row>
    <row r="784" spans="1:13" s="148" customFormat="1" ht="16.5" hidden="1" customHeight="1">
      <c r="A784" s="110"/>
      <c r="B784" s="147" t="s">
        <v>748</v>
      </c>
      <c r="C784" s="183">
        <v>1</v>
      </c>
      <c r="D784" s="205" t="s">
        <v>268</v>
      </c>
      <c r="E784" s="156">
        <v>5</v>
      </c>
      <c r="F784" s="157">
        <v>1.5</v>
      </c>
      <c r="G784" s="157">
        <v>0</v>
      </c>
      <c r="H784" s="157">
        <v>1.35</v>
      </c>
      <c r="I784" s="207">
        <f>-ROUND(IF(AND(F784:H784),C784*E784*F784*G784*H784,IF(AND(F784,G784),C784*E784*F784*G784,IF(AND(F784,H784),C784*E784*F784*H784,IF(AND(G784,H784),C784*E784*G784*H784,IF(F784,C784*E784*F784,IF(G784,C784*E784*G784,IF(H784,C784*E784*H784,C784*E784))))))),2)</f>
        <v>-10.130000000000001</v>
      </c>
      <c r="J784" s="195" t="s">
        <v>102</v>
      </c>
      <c r="K784" s="147"/>
      <c r="L784" s="210"/>
      <c r="M784" s="147"/>
    </row>
    <row r="785" spans="1:13" s="148" customFormat="1" ht="16.5" hidden="1" customHeight="1">
      <c r="A785" s="110"/>
      <c r="B785" s="147" t="s">
        <v>744</v>
      </c>
      <c r="C785" s="183">
        <v>1</v>
      </c>
      <c r="D785" s="205" t="s">
        <v>268</v>
      </c>
      <c r="E785" s="156">
        <v>10</v>
      </c>
      <c r="F785" s="157">
        <v>0.6</v>
      </c>
      <c r="G785" s="157">
        <v>0</v>
      </c>
      <c r="H785" s="157">
        <v>0.3</v>
      </c>
      <c r="I785" s="207">
        <f>-ROUND(IF(AND(F785:H785),C785*E785*F785*G785*H785,IF(AND(F785,G785),C785*E785*F785*G785,IF(AND(F785,H785),C785*E785*F785*H785,IF(AND(G785,H785),C785*E785*G785*H785,IF(F785,C785*E785*F785,IF(G785,C785*E785*G785,IF(H785,C785*E785*H785,C785*E785))))))),2)</f>
        <v>-1.8</v>
      </c>
      <c r="J785" s="195" t="s">
        <v>102</v>
      </c>
      <c r="K785" s="147"/>
      <c r="L785" s="210"/>
      <c r="M785" s="147"/>
    </row>
    <row r="786" spans="1:13" s="148" customFormat="1" ht="16.5" hidden="1" customHeight="1">
      <c r="A786" s="110"/>
      <c r="B786" s="147" t="s">
        <v>775</v>
      </c>
      <c r="C786" s="183">
        <v>1</v>
      </c>
      <c r="D786" s="205" t="s">
        <v>268</v>
      </c>
      <c r="E786" s="156">
        <v>1</v>
      </c>
      <c r="F786" s="157">
        <v>1.2</v>
      </c>
      <c r="G786" s="157">
        <v>0</v>
      </c>
      <c r="H786" s="157">
        <v>2.1</v>
      </c>
      <c r="I786" s="207">
        <f>-ROUND(IF(AND(F786:H786),C786*E786*F786*G786*H786,IF(AND(F786,G786),C786*E786*F786*G786,IF(AND(F786,H786),C786*E786*F786*H786,IF(AND(G786,H786),C786*E786*G786*H786,IF(F786,C786*E786*F786,IF(G786,C786*E786*G786,IF(H786,C786*E786*H786,C786*E786))))))),2)</f>
        <v>-2.52</v>
      </c>
      <c r="J786" s="195" t="s">
        <v>102</v>
      </c>
      <c r="K786" s="147"/>
      <c r="L786" s="210"/>
      <c r="M786" s="147"/>
    </row>
    <row r="787" spans="1:13" s="148" customFormat="1" ht="16.5" hidden="1" customHeight="1">
      <c r="A787" s="110"/>
      <c r="B787" s="147" t="s">
        <v>1292</v>
      </c>
      <c r="C787" s="141"/>
      <c r="D787" s="142"/>
      <c r="E787" s="143"/>
      <c r="F787" s="144"/>
      <c r="G787" s="144"/>
      <c r="H787" s="145"/>
      <c r="I787" s="184"/>
      <c r="J787" s="195"/>
      <c r="K787" s="147"/>
      <c r="L787" s="210"/>
      <c r="M787" s="147"/>
    </row>
    <row r="788" spans="1:13" s="148" customFormat="1" ht="16.5" hidden="1" customHeight="1">
      <c r="A788" s="110"/>
      <c r="B788" s="147" t="s">
        <v>761</v>
      </c>
      <c r="C788" s="183">
        <v>1</v>
      </c>
      <c r="D788" s="205" t="s">
        <v>268</v>
      </c>
      <c r="E788" s="156">
        <v>1</v>
      </c>
      <c r="F788" s="157">
        <v>12.53</v>
      </c>
      <c r="G788" s="157">
        <v>0</v>
      </c>
      <c r="H788" s="157">
        <v>3.6</v>
      </c>
      <c r="I788" s="207">
        <f>ROUND(IF(AND(F788:H788),C788*E788*F788*G788*H788,IF(AND(F788,G788),C788*E788*F788*G788,IF(AND(F788,H788),C788*E788*F788*H788,IF(AND(G788,H788),C788*E788*G788*H788,IF(F788,C788*E788*F788,IF(G788,C788*E788*G788,IF(H788,C788*E788*H788,C788*E788))))))),2)</f>
        <v>45.11</v>
      </c>
      <c r="J788" s="195" t="s">
        <v>102</v>
      </c>
      <c r="K788" s="147"/>
      <c r="L788" s="210"/>
      <c r="M788" s="147"/>
    </row>
    <row r="789" spans="1:13" s="148" customFormat="1" ht="16.5" hidden="1" customHeight="1">
      <c r="A789" s="110"/>
      <c r="B789" s="147" t="s">
        <v>762</v>
      </c>
      <c r="C789" s="183">
        <v>1</v>
      </c>
      <c r="D789" s="205" t="s">
        <v>268</v>
      </c>
      <c r="E789" s="156">
        <v>1</v>
      </c>
      <c r="F789" s="157">
        <v>8.85</v>
      </c>
      <c r="G789" s="157">
        <v>0</v>
      </c>
      <c r="H789" s="157">
        <v>3.6</v>
      </c>
      <c r="I789" s="207">
        <f>ROUND(IF(AND(F789:H789),C789*E789*F789*G789*H789,IF(AND(F789,G789),C789*E789*F789*G789,IF(AND(F789,H789),C789*E789*F789*H789,IF(AND(G789,H789),C789*E789*G789*H789,IF(F789,C789*E789*F789,IF(G789,C789*E789*G789,IF(H789,C789*E789*H789,C789*E789))))))),2)</f>
        <v>31.86</v>
      </c>
      <c r="J789" s="195" t="s">
        <v>102</v>
      </c>
      <c r="K789" s="147"/>
      <c r="L789" s="210"/>
      <c r="M789" s="147"/>
    </row>
    <row r="790" spans="1:13" s="148" customFormat="1" ht="16.5" hidden="1" customHeight="1">
      <c r="A790" s="110"/>
      <c r="B790" s="147" t="s">
        <v>765</v>
      </c>
      <c r="C790" s="183">
        <v>1</v>
      </c>
      <c r="D790" s="205" t="s">
        <v>268</v>
      </c>
      <c r="E790" s="156">
        <v>1</v>
      </c>
      <c r="F790" s="157">
        <v>6.25</v>
      </c>
      <c r="G790" s="157">
        <v>0</v>
      </c>
      <c r="H790" s="157">
        <v>3.6</v>
      </c>
      <c r="I790" s="207">
        <f>ROUND(IF(AND(F790:H790),C790*E790*F790*G790*H790,IF(AND(F790,G790),C790*E790*F790*G790,IF(AND(F790,H790),C790*E790*F790*H790,IF(AND(G790,H790),C790*E790*G790*H790,IF(F790,C790*E790*F790,IF(G790,C790*E790*G790,IF(H790,C790*E790*H790,C790*E790))))))),2)</f>
        <v>22.5</v>
      </c>
      <c r="J790" s="195" t="s">
        <v>102</v>
      </c>
      <c r="K790" s="147"/>
      <c r="L790" s="210"/>
      <c r="M790" s="147"/>
    </row>
    <row r="791" spans="1:13" s="148" customFormat="1" ht="16.5" hidden="1" customHeight="1">
      <c r="A791" s="110"/>
      <c r="B791" s="147" t="s">
        <v>764</v>
      </c>
      <c r="C791" s="183">
        <v>1</v>
      </c>
      <c r="D791" s="205" t="s">
        <v>268</v>
      </c>
      <c r="E791" s="156">
        <v>1</v>
      </c>
      <c r="F791" s="157">
        <v>5.45</v>
      </c>
      <c r="G791" s="157">
        <v>0</v>
      </c>
      <c r="H791" s="157">
        <v>3.2</v>
      </c>
      <c r="I791" s="207">
        <f>ROUND(IF(AND(F791:H791),C791*E791*F791*G791*H791,IF(AND(F791,G791),C791*E791*F791*G791,IF(AND(F791,H791),C791*E791*F791*H791,IF(AND(G791,H791),C791*E791*G791*H791,IF(F791,C791*E791*F791,IF(G791,C791*E791*G791,IF(H791,C791*E791*H791,C791*E791))))))),2)</f>
        <v>17.440000000000001</v>
      </c>
      <c r="J791" s="195" t="s">
        <v>102</v>
      </c>
      <c r="K791" s="147"/>
      <c r="L791" s="210"/>
      <c r="M791" s="147"/>
    </row>
    <row r="792" spans="1:13" s="148" customFormat="1" ht="16.5" hidden="1" customHeight="1">
      <c r="A792" s="110"/>
      <c r="B792" s="149"/>
      <c r="C792" s="150"/>
      <c r="D792" s="151"/>
      <c r="E792" s="194"/>
      <c r="F792" s="153"/>
      <c r="G792" s="153"/>
      <c r="H792" s="153"/>
      <c r="I792" s="185"/>
      <c r="J792" s="195"/>
      <c r="K792" s="147"/>
      <c r="L792" s="210"/>
      <c r="M792" s="147"/>
    </row>
    <row r="793" spans="1:13" hidden="1">
      <c r="A793" s="110"/>
      <c r="B793" s="147"/>
      <c r="C793" s="154"/>
      <c r="D793" s="155"/>
      <c r="E793" s="156"/>
      <c r="F793" s="157"/>
      <c r="G793" s="158"/>
      <c r="H793" s="110"/>
      <c r="I793" s="185"/>
      <c r="J793" s="195" t="s">
        <v>102</v>
      </c>
      <c r="K793" s="12">
        <f>'DATA 2025-26'!F823</f>
        <v>28.58</v>
      </c>
      <c r="L793" s="210" t="s">
        <v>270</v>
      </c>
      <c r="M793" s="11">
        <f>ROUND(I793*K793,0)</f>
        <v>0</v>
      </c>
    </row>
    <row r="794" spans="1:13" ht="117.75" hidden="1" customHeight="1">
      <c r="A794" s="110">
        <v>7</v>
      </c>
      <c r="B794" s="964" t="s">
        <v>845</v>
      </c>
      <c r="C794" s="964"/>
      <c r="D794" s="964"/>
      <c r="E794" s="964"/>
      <c r="F794" s="964"/>
      <c r="G794" s="964"/>
      <c r="H794" s="964"/>
      <c r="I794" s="183"/>
      <c r="J794" s="186"/>
      <c r="K794" s="110"/>
      <c r="L794" s="210"/>
      <c r="M794" s="139"/>
    </row>
    <row r="795" spans="1:13" hidden="1">
      <c r="A795" s="110"/>
      <c r="B795" s="632" t="s">
        <v>1901</v>
      </c>
      <c r="C795" s="671"/>
      <c r="D795" s="672"/>
      <c r="E795" s="673"/>
      <c r="F795" s="632"/>
      <c r="G795" s="632"/>
      <c r="H795" s="632"/>
      <c r="I795" s="183"/>
      <c r="J795" s="186"/>
      <c r="K795" s="110"/>
      <c r="L795" s="210"/>
      <c r="M795" s="139"/>
    </row>
    <row r="796" spans="1:13" hidden="1">
      <c r="A796" s="110"/>
      <c r="B796" s="632" t="s">
        <v>1846</v>
      </c>
      <c r="C796" s="671"/>
      <c r="D796" s="672"/>
      <c r="E796" s="673"/>
      <c r="F796" s="632"/>
      <c r="G796" s="632"/>
      <c r="H796" s="632"/>
      <c r="I796" s="183"/>
      <c r="J796" s="186"/>
      <c r="K796" s="110"/>
      <c r="L796" s="210"/>
      <c r="M796" s="139"/>
    </row>
    <row r="797" spans="1:13" s="148" customFormat="1" ht="16.5" hidden="1" customHeight="1">
      <c r="A797" s="110"/>
      <c r="B797" s="147" t="s">
        <v>1847</v>
      </c>
      <c r="C797" s="183">
        <v>1</v>
      </c>
      <c r="D797" s="205" t="s">
        <v>268</v>
      </c>
      <c r="E797" s="156">
        <v>2</v>
      </c>
      <c r="F797" s="157">
        <v>3.37</v>
      </c>
      <c r="G797" s="157">
        <v>0</v>
      </c>
      <c r="H797" s="157">
        <v>3.15</v>
      </c>
      <c r="I797" s="207">
        <f>ROUND(IF(AND(F797:H797),C797*E797*F797*G797*H797,IF(AND(F797,G797),C797*E797*F797*G797,IF(AND(F797,H797),C797*E797*F797*H797,IF(AND(G797,H797),C797*E797*G797*H797,IF(F797,C797*E797*F797,IF(G797,C797*E797*G797,IF(H797,C797*E797*H797,C797*E797))))))),2)</f>
        <v>21.23</v>
      </c>
      <c r="J797" s="195" t="s">
        <v>102</v>
      </c>
      <c r="K797" s="147"/>
      <c r="L797" s="110"/>
      <c r="M797" s="147"/>
    </row>
    <row r="798" spans="1:13" s="148" customFormat="1" ht="16.5" hidden="1" customHeight="1">
      <c r="A798" s="110"/>
      <c r="B798" s="147"/>
      <c r="C798" s="183">
        <v>1</v>
      </c>
      <c r="D798" s="205" t="s">
        <v>268</v>
      </c>
      <c r="E798" s="156">
        <v>2</v>
      </c>
      <c r="F798" s="157">
        <v>3.37</v>
      </c>
      <c r="G798" s="157">
        <v>0</v>
      </c>
      <c r="H798" s="157">
        <v>3.15</v>
      </c>
      <c r="I798" s="207">
        <f t="shared" ref="I798" si="73">ROUND(IF(AND(F798:H798),C798*E798*F798*G798*H798,IF(AND(F798,G798),C798*E798*F798*G798,IF(AND(F798,H798),C798*E798*F798*H798,IF(AND(G798,H798),C798*E798*G798*H798,IF(F798,C798*E798*F798,IF(G798,C798*E798*G798,IF(H798,C798*E798*H798,C798*E798))))))),2)</f>
        <v>21.23</v>
      </c>
      <c r="J798" s="195" t="s">
        <v>102</v>
      </c>
      <c r="K798" s="147"/>
      <c r="L798" s="110"/>
      <c r="M798" s="147"/>
    </row>
    <row r="799" spans="1:13" s="148" customFormat="1" ht="16.5" hidden="1" customHeight="1">
      <c r="A799" s="110"/>
      <c r="B799" s="147" t="s">
        <v>567</v>
      </c>
      <c r="C799" s="183">
        <v>1</v>
      </c>
      <c r="D799" s="205" t="s">
        <v>268</v>
      </c>
      <c r="E799" s="156">
        <v>1</v>
      </c>
      <c r="F799" s="157">
        <v>1.05</v>
      </c>
      <c r="G799" s="157">
        <v>0</v>
      </c>
      <c r="H799" s="157">
        <v>2.1</v>
      </c>
      <c r="I799" s="207">
        <f>-ROUND(IF(AND(F799:H799),C799*E799*F799*G799*H799,IF(AND(F799,G799),C799*E799*F799*G799,IF(AND(F799,H799),C799*E799*F799*H799,IF(AND(G799,H799),C799*E799*G799*H799,IF(F799,C799*E799*F799,IF(G799,C799*E799*G799,IF(H799,C799*E799*H799,C799*E799))))))),2)</f>
        <v>-2.21</v>
      </c>
      <c r="J799" s="195" t="s">
        <v>102</v>
      </c>
      <c r="K799" s="147"/>
      <c r="L799" s="110"/>
      <c r="M799" s="147"/>
    </row>
    <row r="800" spans="1:13" s="148" customFormat="1" ht="16.5" hidden="1" customHeight="1">
      <c r="A800" s="110"/>
      <c r="B800" s="147" t="s">
        <v>567</v>
      </c>
      <c r="C800" s="183">
        <v>1</v>
      </c>
      <c r="D800" s="205" t="s">
        <v>268</v>
      </c>
      <c r="E800" s="156">
        <v>1</v>
      </c>
      <c r="F800" s="157">
        <v>0.75</v>
      </c>
      <c r="G800" s="157">
        <v>0</v>
      </c>
      <c r="H800" s="157">
        <v>2.1</v>
      </c>
      <c r="I800" s="207">
        <f>-ROUND(IF(AND(F800:H800),C800*E800*F800*G800*H800,IF(AND(F800,G800),C800*E800*F800*G800,IF(AND(F800,H800),C800*E800*F800*H800,IF(AND(G800,H800),C800*E800*G800*H800,IF(F800,C800*E800*F800,IF(G800,C800*E800*G800,IF(H800,C800*E800*H800,C800*E800))))))),2)</f>
        <v>-1.58</v>
      </c>
      <c r="J800" s="195" t="s">
        <v>102</v>
      </c>
      <c r="K800" s="147"/>
      <c r="L800" s="110"/>
      <c r="M800" s="147"/>
    </row>
    <row r="801" spans="1:13" s="148" customFormat="1" ht="16.5" hidden="1" customHeight="1">
      <c r="A801" s="110"/>
      <c r="B801" s="147" t="s">
        <v>748</v>
      </c>
      <c r="C801" s="183">
        <v>1</v>
      </c>
      <c r="D801" s="205" t="s">
        <v>268</v>
      </c>
      <c r="E801" s="156">
        <v>1</v>
      </c>
      <c r="F801" s="157">
        <v>1.2</v>
      </c>
      <c r="G801" s="157">
        <v>0</v>
      </c>
      <c r="H801" s="157">
        <v>1.2</v>
      </c>
      <c r="I801" s="207">
        <f>-ROUND(IF(AND(F801:H801),C801*E801*F801*G801*H801,IF(AND(F801,G801),C801*E801*F801*G801,IF(AND(F801,H801),C801*E801*F801*H801,IF(AND(G801,H801),C801*E801*G801*H801,IF(F801,C801*E801*F801,IF(G801,C801*E801*G801,IF(H801,C801*E801*H801,C801*E801))))))),2)</f>
        <v>-1.44</v>
      </c>
      <c r="J801" s="195" t="s">
        <v>102</v>
      </c>
      <c r="K801" s="147"/>
      <c r="L801" s="110"/>
      <c r="M801" s="147"/>
    </row>
    <row r="802" spans="1:13" s="148" customFormat="1" ht="16.5" hidden="1" customHeight="1">
      <c r="A802" s="110"/>
      <c r="B802" s="147" t="s">
        <v>1849</v>
      </c>
      <c r="C802" s="183">
        <v>1</v>
      </c>
      <c r="D802" s="205" t="s">
        <v>268</v>
      </c>
      <c r="E802" s="156">
        <v>1</v>
      </c>
      <c r="F802" s="157">
        <v>4.47</v>
      </c>
      <c r="G802" s="157">
        <v>0</v>
      </c>
      <c r="H802" s="157">
        <v>3.15</v>
      </c>
      <c r="I802" s="207">
        <f t="shared" ref="I802:I806" si="74">ROUND(IF(AND(F802:H802),C802*E802*F802*G802*H802,IF(AND(F802,G802),C802*E802*F802*G802,IF(AND(F802,H802),C802*E802*F802*H802,IF(AND(G802,H802),C802*E802*G802*H802,IF(F802,C802*E802*F802,IF(G802,C802*E802*G802,IF(H802,C802*E802*H802,C802*E802))))))),2)</f>
        <v>14.08</v>
      </c>
      <c r="J802" s="195" t="s">
        <v>102</v>
      </c>
      <c r="K802" s="147"/>
      <c r="L802" s="110"/>
      <c r="M802" s="147"/>
    </row>
    <row r="803" spans="1:13" s="148" customFormat="1" ht="16.5" hidden="1" customHeight="1">
      <c r="A803" s="110"/>
      <c r="B803" s="147"/>
      <c r="C803" s="183">
        <v>1</v>
      </c>
      <c r="D803" s="205" t="s">
        <v>268</v>
      </c>
      <c r="E803" s="156">
        <v>1</v>
      </c>
      <c r="F803" s="157">
        <v>3.37</v>
      </c>
      <c r="G803" s="157">
        <v>0</v>
      </c>
      <c r="H803" s="157">
        <v>3.15</v>
      </c>
      <c r="I803" s="207">
        <f t="shared" si="74"/>
        <v>10.62</v>
      </c>
      <c r="J803" s="195" t="s">
        <v>102</v>
      </c>
      <c r="K803" s="147"/>
      <c r="L803" s="110"/>
      <c r="M803" s="147"/>
    </row>
    <row r="804" spans="1:13" s="148" customFormat="1" ht="16.5" hidden="1" customHeight="1">
      <c r="A804" s="110"/>
      <c r="B804" s="147"/>
      <c r="C804" s="183">
        <v>1</v>
      </c>
      <c r="D804" s="205" t="s">
        <v>268</v>
      </c>
      <c r="E804" s="156">
        <v>1</v>
      </c>
      <c r="F804" s="157">
        <v>2.0699999999999998</v>
      </c>
      <c r="G804" s="157">
        <v>0</v>
      </c>
      <c r="H804" s="157">
        <v>3.15</v>
      </c>
      <c r="I804" s="207">
        <f t="shared" si="74"/>
        <v>6.52</v>
      </c>
      <c r="J804" s="195" t="s">
        <v>102</v>
      </c>
      <c r="K804" s="147"/>
      <c r="L804" s="110"/>
      <c r="M804" s="147"/>
    </row>
    <row r="805" spans="1:13" s="148" customFormat="1" ht="16.5" hidden="1" customHeight="1">
      <c r="A805" s="110"/>
      <c r="B805" s="147"/>
      <c r="C805" s="183">
        <v>1</v>
      </c>
      <c r="D805" s="205" t="s">
        <v>268</v>
      </c>
      <c r="E805" s="156">
        <v>1</v>
      </c>
      <c r="F805" s="157">
        <v>0.9</v>
      </c>
      <c r="G805" s="157">
        <v>0</v>
      </c>
      <c r="H805" s="157">
        <v>3.15</v>
      </c>
      <c r="I805" s="207">
        <f t="shared" si="74"/>
        <v>2.84</v>
      </c>
      <c r="J805" s="195" t="s">
        <v>102</v>
      </c>
      <c r="K805" s="147"/>
      <c r="L805" s="110"/>
      <c r="M805" s="147"/>
    </row>
    <row r="806" spans="1:13" s="148" customFormat="1" ht="16.5" hidden="1" customHeight="1">
      <c r="A806" s="110"/>
      <c r="B806" s="147"/>
      <c r="C806" s="183">
        <v>1</v>
      </c>
      <c r="D806" s="205" t="s">
        <v>268</v>
      </c>
      <c r="E806" s="156">
        <v>1</v>
      </c>
      <c r="F806" s="157">
        <v>0.55000000000000004</v>
      </c>
      <c r="G806" s="157">
        <v>0</v>
      </c>
      <c r="H806" s="157">
        <v>3.15</v>
      </c>
      <c r="I806" s="207">
        <f t="shared" si="74"/>
        <v>1.73</v>
      </c>
      <c r="J806" s="195" t="s">
        <v>102</v>
      </c>
      <c r="K806" s="147"/>
      <c r="L806" s="110"/>
      <c r="M806" s="147"/>
    </row>
    <row r="807" spans="1:13" s="148" customFormat="1" ht="16.5" hidden="1" customHeight="1">
      <c r="A807" s="110"/>
      <c r="B807" s="147" t="s">
        <v>567</v>
      </c>
      <c r="C807" s="183">
        <v>1</v>
      </c>
      <c r="D807" s="205" t="s">
        <v>268</v>
      </c>
      <c r="E807" s="156">
        <v>1</v>
      </c>
      <c r="F807" s="157">
        <v>1.05</v>
      </c>
      <c r="G807" s="157">
        <v>0</v>
      </c>
      <c r="H807" s="157">
        <v>2.1</v>
      </c>
      <c r="I807" s="207">
        <f>-ROUND(IF(AND(F807:H807),C807*E807*F807*G807*H807,IF(AND(F807,G807),C807*E807*F807*G807,IF(AND(F807,H807),C807*E807*F807*H807,IF(AND(G807,H807),C807*E807*G807*H807,IF(F807,C807*E807*F807,IF(G807,C807*E807*G807,IF(H807,C807*E807*H807,C807*E807))))))),2)</f>
        <v>-2.21</v>
      </c>
      <c r="J807" s="195" t="s">
        <v>102</v>
      </c>
      <c r="K807" s="147"/>
      <c r="L807" s="110"/>
      <c r="M807" s="147"/>
    </row>
    <row r="808" spans="1:13" s="148" customFormat="1" ht="16.5" hidden="1" customHeight="1">
      <c r="A808" s="110"/>
      <c r="B808" s="147" t="s">
        <v>748</v>
      </c>
      <c r="C808" s="183">
        <v>1</v>
      </c>
      <c r="D808" s="205" t="s">
        <v>268</v>
      </c>
      <c r="E808" s="156">
        <v>1</v>
      </c>
      <c r="F808" s="157">
        <v>1.2</v>
      </c>
      <c r="G808" s="157">
        <v>0</v>
      </c>
      <c r="H808" s="157">
        <v>1.2</v>
      </c>
      <c r="I808" s="207">
        <f>-ROUND(IF(AND(F808:H808),C808*E808*F808*G808*H808,IF(AND(F808,G808),C808*E808*F808*G808,IF(AND(F808,H808),C808*E808*F808*H808,IF(AND(G808,H808),C808*E808*G808*H808,IF(F808,C808*E808*F808,IF(G808,C808*E808*G808,IF(H808,C808*E808*H808,C808*E808))))))),2)</f>
        <v>-1.44</v>
      </c>
      <c r="J808" s="195" t="s">
        <v>102</v>
      </c>
      <c r="K808" s="147"/>
      <c r="L808" s="110"/>
      <c r="M808" s="147"/>
    </row>
    <row r="809" spans="1:13" s="148" customFormat="1" ht="16.5" hidden="1" customHeight="1">
      <c r="A809" s="110"/>
      <c r="B809" s="147" t="s">
        <v>745</v>
      </c>
      <c r="C809" s="183">
        <v>1</v>
      </c>
      <c r="D809" s="205" t="s">
        <v>268</v>
      </c>
      <c r="E809" s="156">
        <v>2</v>
      </c>
      <c r="F809" s="157">
        <v>6.75</v>
      </c>
      <c r="G809" s="157">
        <v>0</v>
      </c>
      <c r="H809" s="157">
        <v>3.15</v>
      </c>
      <c r="I809" s="207">
        <f t="shared" ref="I809:I811" si="75">ROUND(IF(AND(F809:H809),C809*E809*F809*G809*H809,IF(AND(F809,G809),C809*E809*F809*G809,IF(AND(F809,H809),C809*E809*F809*H809,IF(AND(G809,H809),C809*E809*G809*H809,IF(F809,C809*E809*F809,IF(G809,C809*E809*G809,IF(H809,C809*E809*H809,C809*E809))))))),2)</f>
        <v>42.53</v>
      </c>
      <c r="J809" s="195" t="s">
        <v>102</v>
      </c>
      <c r="K809" s="147"/>
      <c r="L809" s="110"/>
      <c r="M809" s="147"/>
    </row>
    <row r="810" spans="1:13" s="148" customFormat="1" ht="16.5" hidden="1" customHeight="1">
      <c r="A810" s="110"/>
      <c r="B810" s="147"/>
      <c r="C810" s="183">
        <v>1</v>
      </c>
      <c r="D810" s="205" t="s">
        <v>268</v>
      </c>
      <c r="E810" s="156">
        <v>2</v>
      </c>
      <c r="F810" s="157">
        <v>3.3</v>
      </c>
      <c r="G810" s="157">
        <v>0</v>
      </c>
      <c r="H810" s="157">
        <v>3.15</v>
      </c>
      <c r="I810" s="207">
        <f t="shared" si="75"/>
        <v>20.79</v>
      </c>
      <c r="J810" s="195" t="s">
        <v>102</v>
      </c>
      <c r="K810" s="147"/>
      <c r="L810" s="110"/>
      <c r="M810" s="147"/>
    </row>
    <row r="811" spans="1:13" s="148" customFormat="1" ht="16.5" hidden="1" customHeight="1">
      <c r="A811" s="110"/>
      <c r="B811" s="147"/>
      <c r="C811" s="183">
        <v>1</v>
      </c>
      <c r="D811" s="205" t="s">
        <v>268</v>
      </c>
      <c r="E811" s="156">
        <v>1</v>
      </c>
      <c r="F811" s="157">
        <v>1.8</v>
      </c>
      <c r="G811" s="157">
        <v>0</v>
      </c>
      <c r="H811" s="157">
        <v>3.15</v>
      </c>
      <c r="I811" s="207">
        <f t="shared" si="75"/>
        <v>5.67</v>
      </c>
      <c r="J811" s="195" t="s">
        <v>102</v>
      </c>
      <c r="K811" s="147"/>
      <c r="L811" s="110"/>
      <c r="M811" s="147"/>
    </row>
    <row r="812" spans="1:13" s="148" customFormat="1" ht="16.5" hidden="1" customHeight="1">
      <c r="A812" s="110"/>
      <c r="B812" s="147" t="s">
        <v>567</v>
      </c>
      <c r="C812" s="183">
        <v>1</v>
      </c>
      <c r="D812" s="205" t="s">
        <v>268</v>
      </c>
      <c r="E812" s="156">
        <v>1</v>
      </c>
      <c r="F812" s="157">
        <v>1.05</v>
      </c>
      <c r="G812" s="157">
        <v>0</v>
      </c>
      <c r="H812" s="157">
        <v>2.1</v>
      </c>
      <c r="I812" s="207">
        <f>-ROUND(IF(AND(F812:H812),C812*E812*F812*G812*H812,IF(AND(F812,G812),C812*E812*F812*G812,IF(AND(F812,H812),C812*E812*F812*H812,IF(AND(G812,H812),C812*E812*G812*H812,IF(F812,C812*E812*F812,IF(G812,C812*E812*G812,IF(H812,C812*E812*H812,C812*E812))))))),2)</f>
        <v>-2.21</v>
      </c>
      <c r="J812" s="195" t="s">
        <v>102</v>
      </c>
      <c r="K812" s="147"/>
      <c r="L812" s="110"/>
      <c r="M812" s="147"/>
    </row>
    <row r="813" spans="1:13" s="148" customFormat="1" ht="16.5" hidden="1" customHeight="1">
      <c r="A813" s="110"/>
      <c r="B813" s="147" t="s">
        <v>748</v>
      </c>
      <c r="C813" s="183">
        <v>1</v>
      </c>
      <c r="D813" s="205" t="s">
        <v>268</v>
      </c>
      <c r="E813" s="156">
        <v>2</v>
      </c>
      <c r="F813" s="157">
        <v>1.2</v>
      </c>
      <c r="G813" s="157">
        <v>0</v>
      </c>
      <c r="H813" s="157">
        <v>1.2</v>
      </c>
      <c r="I813" s="207">
        <f>-ROUND(IF(AND(F813:H813),C813*E813*F813*G813*H813,IF(AND(F813,G813),C813*E813*F813*G813,IF(AND(F813,H813),C813*E813*F813*H813,IF(AND(G813,H813),C813*E813*G813*H813,IF(F813,C813*E813*F813,IF(G813,C813*E813*G813,IF(H813,C813*E813*H813,C813*E813))))))),2)</f>
        <v>-2.88</v>
      </c>
      <c r="J813" s="195" t="s">
        <v>102</v>
      </c>
      <c r="K813" s="147"/>
      <c r="L813" s="110"/>
      <c r="M813" s="147"/>
    </row>
    <row r="814" spans="1:13" s="148" customFormat="1" ht="16.5" hidden="1" customHeight="1">
      <c r="A814" s="110"/>
      <c r="B814" s="149"/>
      <c r="C814" s="150"/>
      <c r="D814" s="151"/>
      <c r="E814" s="194"/>
      <c r="F814" s="153"/>
      <c r="G814" s="153"/>
      <c r="H814" s="153"/>
      <c r="I814" s="185"/>
      <c r="J814" s="195"/>
      <c r="K814" s="147"/>
      <c r="L814" s="210"/>
      <c r="M814" s="147"/>
    </row>
    <row r="815" spans="1:13" hidden="1">
      <c r="A815" s="110"/>
      <c r="B815" s="147"/>
      <c r="C815" s="154"/>
      <c r="D815" s="155"/>
      <c r="E815" s="156"/>
      <c r="F815" s="157"/>
      <c r="G815" s="158"/>
      <c r="H815" s="110"/>
      <c r="I815" s="185"/>
      <c r="J815" s="195" t="s">
        <v>102</v>
      </c>
      <c r="K815" s="12">
        <f>'DATA 2025-26'!F838</f>
        <v>182.77</v>
      </c>
      <c r="L815" s="210" t="s">
        <v>270</v>
      </c>
      <c r="M815" s="11">
        <f>ROUND(I815*K815,0)</f>
        <v>0</v>
      </c>
    </row>
    <row r="816" spans="1:13" ht="94.5" hidden="1" customHeight="1">
      <c r="A816" s="110">
        <v>8</v>
      </c>
      <c r="B816" s="964" t="s">
        <v>947</v>
      </c>
      <c r="C816" s="964"/>
      <c r="D816" s="964"/>
      <c r="E816" s="964"/>
      <c r="F816" s="964"/>
      <c r="G816" s="964"/>
      <c r="H816" s="964"/>
      <c r="I816" s="183"/>
      <c r="J816" s="186"/>
      <c r="K816" s="110"/>
      <c r="L816" s="210"/>
      <c r="M816" s="139"/>
    </row>
    <row r="817" spans="1:13" hidden="1">
      <c r="A817" s="110"/>
      <c r="B817" s="632" t="s">
        <v>1902</v>
      </c>
      <c r="C817" s="671"/>
      <c r="D817" s="672"/>
      <c r="E817" s="673"/>
      <c r="F817" s="632"/>
      <c r="G817" s="632"/>
      <c r="H817" s="632"/>
      <c r="I817" s="183"/>
      <c r="J817" s="186"/>
      <c r="K817" s="110"/>
      <c r="L817" s="210"/>
      <c r="M817" s="139"/>
    </row>
    <row r="818" spans="1:13" ht="16.5" hidden="1" customHeight="1">
      <c r="A818" s="110"/>
      <c r="B818" s="561" t="s">
        <v>1885</v>
      </c>
      <c r="C818" s="562">
        <v>1</v>
      </c>
      <c r="D818" s="563" t="s">
        <v>268</v>
      </c>
      <c r="E818" s="564">
        <v>1</v>
      </c>
      <c r="F818" s="565">
        <v>3.37</v>
      </c>
      <c r="G818" s="565">
        <v>3.37</v>
      </c>
      <c r="H818" s="157">
        <v>0</v>
      </c>
      <c r="I818" s="185">
        <f t="shared" ref="I818:I823" si="76">ROUND(IF(AND(F818:H818),C818*E818*F818*G818*H818,IF(AND(F818,G818),C818*E818*F818*G818,IF(AND(F818,H818),C818*E818*F818*H818,IF(AND(G818,H818),C818*E818*G818*H818,IF(F818,C818*E818*F818,IF(G818,C818*E818*G818,IF(H818,C818*E818*H818,C818*E818))))))),2)</f>
        <v>11.36</v>
      </c>
      <c r="J818" s="339" t="s">
        <v>102</v>
      </c>
      <c r="K818" s="147"/>
      <c r="L818" s="110"/>
      <c r="M818" s="147"/>
    </row>
    <row r="819" spans="1:13" ht="16.5" hidden="1" customHeight="1">
      <c r="A819" s="110"/>
      <c r="B819" s="561" t="s">
        <v>1848</v>
      </c>
      <c r="C819" s="562">
        <v>1</v>
      </c>
      <c r="D819" s="563" t="s">
        <v>268</v>
      </c>
      <c r="E819" s="564">
        <v>1</v>
      </c>
      <c r="F819" s="565">
        <v>1.8</v>
      </c>
      <c r="G819" s="565">
        <v>1.2</v>
      </c>
      <c r="H819" s="157">
        <v>0</v>
      </c>
      <c r="I819" s="185">
        <f t="shared" si="76"/>
        <v>2.16</v>
      </c>
      <c r="J819" s="339" t="s">
        <v>102</v>
      </c>
      <c r="K819" s="147"/>
      <c r="L819" s="110"/>
      <c r="M819" s="147"/>
    </row>
    <row r="820" spans="1:13" ht="16.5" hidden="1" customHeight="1">
      <c r="A820" s="110"/>
      <c r="B820" s="561" t="s">
        <v>1889</v>
      </c>
      <c r="C820" s="562">
        <v>1</v>
      </c>
      <c r="D820" s="563" t="s">
        <v>268</v>
      </c>
      <c r="E820" s="564">
        <v>1</v>
      </c>
      <c r="F820" s="565">
        <v>6</v>
      </c>
      <c r="G820" s="565">
        <v>0</v>
      </c>
      <c r="H820" s="157">
        <v>1.05</v>
      </c>
      <c r="I820" s="185">
        <f t="shared" ref="I820" si="77">ROUND(IF(AND(F820:H820),C820*E820*F820*G820*H820,IF(AND(F820,G820),C820*E820*F820*G820,IF(AND(F820,H820),C820*E820*F820*H820,IF(AND(G820,H820),C820*E820*G820*H820,IF(F820,C820*E820*F820,IF(G820,C820*E820*G820,IF(H820,C820*E820*H820,C820*E820))))))),2)</f>
        <v>6.3</v>
      </c>
      <c r="J820" s="339" t="s">
        <v>102</v>
      </c>
      <c r="K820" s="147"/>
      <c r="L820" s="110"/>
      <c r="M820" s="147"/>
    </row>
    <row r="821" spans="1:13" ht="16.5" hidden="1" customHeight="1">
      <c r="A821" s="110"/>
      <c r="B821" s="561" t="s">
        <v>1886</v>
      </c>
      <c r="C821" s="562">
        <v>1</v>
      </c>
      <c r="D821" s="563" t="s">
        <v>268</v>
      </c>
      <c r="E821" s="564">
        <v>1</v>
      </c>
      <c r="F821" s="565">
        <v>1.47</v>
      </c>
      <c r="G821" s="565">
        <v>2.0499999999999998</v>
      </c>
      <c r="H821" s="157">
        <v>0</v>
      </c>
      <c r="I821" s="185">
        <f t="shared" si="76"/>
        <v>3.01</v>
      </c>
      <c r="J821" s="339" t="s">
        <v>102</v>
      </c>
      <c r="K821" s="147"/>
      <c r="L821" s="110"/>
      <c r="M821" s="147"/>
    </row>
    <row r="822" spans="1:13" ht="16.5" hidden="1" customHeight="1">
      <c r="A822" s="110"/>
      <c r="B822" s="561"/>
      <c r="C822" s="562">
        <v>1</v>
      </c>
      <c r="D822" s="563" t="s">
        <v>268</v>
      </c>
      <c r="E822" s="564">
        <v>1</v>
      </c>
      <c r="F822" s="565">
        <v>3.37</v>
      </c>
      <c r="G822" s="565">
        <v>1.35</v>
      </c>
      <c r="H822" s="157">
        <v>0</v>
      </c>
      <c r="I822" s="185">
        <f t="shared" si="76"/>
        <v>4.55</v>
      </c>
      <c r="J822" s="339" t="s">
        <v>102</v>
      </c>
      <c r="K822" s="147"/>
      <c r="L822" s="110"/>
      <c r="M822" s="147"/>
    </row>
    <row r="823" spans="1:13" ht="16.5" hidden="1" customHeight="1">
      <c r="A823" s="110"/>
      <c r="B823" s="561" t="s">
        <v>745</v>
      </c>
      <c r="C823" s="562">
        <v>1</v>
      </c>
      <c r="D823" s="563" t="s">
        <v>268</v>
      </c>
      <c r="E823" s="564">
        <v>1</v>
      </c>
      <c r="F823" s="565">
        <v>6.75</v>
      </c>
      <c r="G823" s="565">
        <v>3.3</v>
      </c>
      <c r="H823" s="157">
        <v>0</v>
      </c>
      <c r="I823" s="185">
        <f t="shared" si="76"/>
        <v>22.28</v>
      </c>
      <c r="J823" s="339" t="s">
        <v>102</v>
      </c>
      <c r="K823" s="147"/>
      <c r="L823" s="110"/>
      <c r="M823" s="147"/>
    </row>
    <row r="824" spans="1:13" s="148" customFormat="1" ht="16.5" hidden="1" customHeight="1">
      <c r="A824" s="110"/>
      <c r="B824" s="147" t="s">
        <v>1847</v>
      </c>
      <c r="C824" s="183">
        <v>1</v>
      </c>
      <c r="D824" s="205" t="s">
        <v>268</v>
      </c>
      <c r="E824" s="156">
        <v>2</v>
      </c>
      <c r="F824" s="157">
        <v>3.37</v>
      </c>
      <c r="G824" s="157">
        <v>0</v>
      </c>
      <c r="H824" s="157">
        <v>3.15</v>
      </c>
      <c r="I824" s="207">
        <f>ROUND(IF(AND(F824:H824),C824*E824*F824*G824*H824,IF(AND(F824,G824),C824*E824*F824*G824,IF(AND(F824,H824),C824*E824*F824*H824,IF(AND(G824,H824),C824*E824*G824*H824,IF(F824,C824*E824*F824,IF(G824,C824*E824*G824,IF(H824,C824*E824*H824,C824*E824))))))),2)</f>
        <v>21.23</v>
      </c>
      <c r="J824" s="195" t="s">
        <v>102</v>
      </c>
      <c r="K824" s="147"/>
      <c r="L824" s="110"/>
      <c r="M824" s="147"/>
    </row>
    <row r="825" spans="1:13" s="148" customFormat="1" ht="16.5" hidden="1" customHeight="1">
      <c r="A825" s="110"/>
      <c r="B825" s="147"/>
      <c r="C825" s="183">
        <v>1</v>
      </c>
      <c r="D825" s="205" t="s">
        <v>268</v>
      </c>
      <c r="E825" s="156">
        <v>2</v>
      </c>
      <c r="F825" s="157">
        <v>3.37</v>
      </c>
      <c r="G825" s="157">
        <v>0</v>
      </c>
      <c r="H825" s="157">
        <v>3.15</v>
      </c>
      <c r="I825" s="207">
        <f t="shared" ref="I825" si="78">ROUND(IF(AND(F825:H825),C825*E825*F825*G825*H825,IF(AND(F825,G825),C825*E825*F825*G825,IF(AND(F825,H825),C825*E825*F825*H825,IF(AND(G825,H825),C825*E825*G825*H825,IF(F825,C825*E825*F825,IF(G825,C825*E825*G825,IF(H825,C825*E825*H825,C825*E825))))))),2)</f>
        <v>21.23</v>
      </c>
      <c r="J825" s="195" t="s">
        <v>102</v>
      </c>
      <c r="K825" s="147"/>
      <c r="L825" s="110"/>
      <c r="M825" s="147"/>
    </row>
    <row r="826" spans="1:13" s="148" customFormat="1" ht="16.5" hidden="1" customHeight="1">
      <c r="A826" s="110"/>
      <c r="B826" s="147" t="s">
        <v>567</v>
      </c>
      <c r="C826" s="183">
        <v>1</v>
      </c>
      <c r="D826" s="205" t="s">
        <v>268</v>
      </c>
      <c r="E826" s="156">
        <v>1</v>
      </c>
      <c r="F826" s="157">
        <v>1.05</v>
      </c>
      <c r="G826" s="157">
        <v>0</v>
      </c>
      <c r="H826" s="157">
        <v>2.1</v>
      </c>
      <c r="I826" s="207">
        <f>-ROUND(IF(AND(F826:H826),C826*E826*F826*G826*H826,IF(AND(F826,G826),C826*E826*F826*G826,IF(AND(F826,H826),C826*E826*F826*H826,IF(AND(G826,H826),C826*E826*G826*H826,IF(F826,C826*E826*F826,IF(G826,C826*E826*G826,IF(H826,C826*E826*H826,C826*E826))))))),2)</f>
        <v>-2.21</v>
      </c>
      <c r="J826" s="195" t="s">
        <v>102</v>
      </c>
      <c r="K826" s="147"/>
      <c r="L826" s="110"/>
      <c r="M826" s="147"/>
    </row>
    <row r="827" spans="1:13" s="148" customFormat="1" ht="16.5" hidden="1" customHeight="1">
      <c r="A827" s="110"/>
      <c r="B827" s="147" t="s">
        <v>567</v>
      </c>
      <c r="C827" s="183">
        <v>1</v>
      </c>
      <c r="D827" s="205" t="s">
        <v>268</v>
      </c>
      <c r="E827" s="156">
        <v>1</v>
      </c>
      <c r="F827" s="157">
        <v>0.75</v>
      </c>
      <c r="G827" s="157">
        <v>0</v>
      </c>
      <c r="H827" s="157">
        <v>2.1</v>
      </c>
      <c r="I827" s="207">
        <f>-ROUND(IF(AND(F827:H827),C827*E827*F827*G827*H827,IF(AND(F827,G827),C827*E827*F827*G827,IF(AND(F827,H827),C827*E827*F827*H827,IF(AND(G827,H827),C827*E827*G827*H827,IF(F827,C827*E827*F827,IF(G827,C827*E827*G827,IF(H827,C827*E827*H827,C827*E827))))))),2)</f>
        <v>-1.58</v>
      </c>
      <c r="J827" s="195" t="s">
        <v>102</v>
      </c>
      <c r="K827" s="147"/>
      <c r="L827" s="110"/>
      <c r="M827" s="147"/>
    </row>
    <row r="828" spans="1:13" s="148" customFormat="1" ht="16.5" hidden="1" customHeight="1">
      <c r="A828" s="110"/>
      <c r="B828" s="147" t="s">
        <v>748</v>
      </c>
      <c r="C828" s="183">
        <v>1</v>
      </c>
      <c r="D828" s="205" t="s">
        <v>268</v>
      </c>
      <c r="E828" s="156">
        <v>1</v>
      </c>
      <c r="F828" s="157">
        <v>1.2</v>
      </c>
      <c r="G828" s="157">
        <v>0</v>
      </c>
      <c r="H828" s="157">
        <v>1.2</v>
      </c>
      <c r="I828" s="207">
        <f>-ROUND(IF(AND(F828:H828),C828*E828*F828*G828*H828,IF(AND(F828,G828),C828*E828*F828*G828,IF(AND(F828,H828),C828*E828*F828*H828,IF(AND(G828,H828),C828*E828*G828*H828,IF(F828,C828*E828*F828,IF(G828,C828*E828*G828,IF(H828,C828*E828*H828,C828*E828))))))),2)</f>
        <v>-1.44</v>
      </c>
      <c r="J828" s="195" t="s">
        <v>102</v>
      </c>
      <c r="K828" s="147"/>
      <c r="L828" s="110"/>
      <c r="M828" s="147"/>
    </row>
    <row r="829" spans="1:13" s="148" customFormat="1" ht="16.5" hidden="1" customHeight="1">
      <c r="A829" s="110"/>
      <c r="B829" s="147" t="s">
        <v>1848</v>
      </c>
      <c r="C829" s="183">
        <v>1</v>
      </c>
      <c r="D829" s="205" t="s">
        <v>268</v>
      </c>
      <c r="E829" s="156">
        <v>1</v>
      </c>
      <c r="F829" s="157">
        <v>1.8</v>
      </c>
      <c r="G829" s="157">
        <v>0</v>
      </c>
      <c r="H829" s="157">
        <v>0.75</v>
      </c>
      <c r="I829" s="207">
        <f t="shared" ref="I829:I830" si="79">ROUND(IF(AND(F829:H829),C829*E829*F829*G829*H829,IF(AND(F829,G829),C829*E829*F829*G829,IF(AND(F829,H829),C829*E829*F829*H829,IF(AND(G829,H829),C829*E829*G829*H829,IF(F829,C829*E829*F829,IF(G829,C829*E829*G829,IF(H829,C829*E829*H829,C829*E829))))))),2)</f>
        <v>1.35</v>
      </c>
      <c r="J829" s="195" t="s">
        <v>102</v>
      </c>
      <c r="K829" s="147"/>
      <c r="L829" s="110"/>
      <c r="M829" s="147"/>
    </row>
    <row r="830" spans="1:13" s="148" customFormat="1" ht="16.5" hidden="1" customHeight="1">
      <c r="A830" s="110"/>
      <c r="B830" s="147"/>
      <c r="C830" s="183">
        <v>1</v>
      </c>
      <c r="D830" s="205" t="s">
        <v>268</v>
      </c>
      <c r="E830" s="156">
        <v>2</v>
      </c>
      <c r="F830" s="157">
        <v>1.2</v>
      </c>
      <c r="G830" s="157">
        <v>0</v>
      </c>
      <c r="H830" s="157">
        <v>3.15</v>
      </c>
      <c r="I830" s="207">
        <f t="shared" si="79"/>
        <v>7.56</v>
      </c>
      <c r="J830" s="195" t="s">
        <v>102</v>
      </c>
      <c r="K830" s="147"/>
      <c r="L830" s="110"/>
      <c r="M830" s="147"/>
    </row>
    <row r="831" spans="1:13" s="148" customFormat="1" ht="16.5" hidden="1" customHeight="1">
      <c r="A831" s="110"/>
      <c r="B831" s="147" t="s">
        <v>567</v>
      </c>
      <c r="C831" s="183">
        <v>1</v>
      </c>
      <c r="D831" s="205" t="s">
        <v>268</v>
      </c>
      <c r="E831" s="156">
        <v>1</v>
      </c>
      <c r="F831" s="157">
        <v>0.75</v>
      </c>
      <c r="G831" s="157">
        <v>0</v>
      </c>
      <c r="H831" s="157">
        <v>2.1</v>
      </c>
      <c r="I831" s="207">
        <f>-ROUND(IF(AND(F831:H831),C831*E831*F831*G831*H831,IF(AND(F831,G831),C831*E831*F831*G831,IF(AND(F831,H831),C831*E831*F831*H831,IF(AND(G831,H831),C831*E831*G831*H831,IF(F831,C831*E831*F831,IF(G831,C831*E831*G831,IF(H831,C831*E831*H831,C831*E831))))))),2)</f>
        <v>-1.58</v>
      </c>
      <c r="J831" s="195" t="s">
        <v>102</v>
      </c>
      <c r="K831" s="147"/>
      <c r="L831" s="110"/>
      <c r="M831" s="147"/>
    </row>
    <row r="832" spans="1:13" s="148" customFormat="1" ht="16.5" hidden="1" customHeight="1">
      <c r="A832" s="110"/>
      <c r="B832" s="147" t="s">
        <v>569</v>
      </c>
      <c r="C832" s="183">
        <v>1</v>
      </c>
      <c r="D832" s="205" t="s">
        <v>268</v>
      </c>
      <c r="E832" s="156">
        <v>1</v>
      </c>
      <c r="F832" s="157">
        <v>0.6</v>
      </c>
      <c r="G832" s="157">
        <v>0</v>
      </c>
      <c r="H832" s="157">
        <v>0.3</v>
      </c>
      <c r="I832" s="207">
        <f>-ROUND(IF(AND(F832:H832),C832*E832*F832*G832*H832,IF(AND(F832,G832),C832*E832*F832*G832,IF(AND(F832,H832),C832*E832*F832*H832,IF(AND(G832,H832),C832*E832*G832*H832,IF(F832,C832*E832*F832,IF(G832,C832*E832*G832,IF(H832,C832*E832*H832,C832*E832))))))),2)</f>
        <v>-0.18</v>
      </c>
      <c r="J832" s="195" t="s">
        <v>102</v>
      </c>
      <c r="K832" s="147"/>
      <c r="L832" s="110"/>
      <c r="M832" s="147"/>
    </row>
    <row r="833" spans="1:13" s="148" customFormat="1" ht="16.5" hidden="1" customHeight="1">
      <c r="A833" s="110"/>
      <c r="B833" s="147" t="s">
        <v>1849</v>
      </c>
      <c r="C833" s="183">
        <v>1</v>
      </c>
      <c r="D833" s="205" t="s">
        <v>268</v>
      </c>
      <c r="E833" s="156">
        <v>1</v>
      </c>
      <c r="F833" s="157">
        <v>4.47</v>
      </c>
      <c r="G833" s="157">
        <v>0</v>
      </c>
      <c r="H833" s="157">
        <v>3.15</v>
      </c>
      <c r="I833" s="207">
        <f t="shared" ref="I833:I837" si="80">ROUND(IF(AND(F833:H833),C833*E833*F833*G833*H833,IF(AND(F833,G833),C833*E833*F833*G833,IF(AND(F833,H833),C833*E833*F833*H833,IF(AND(G833,H833),C833*E833*G833*H833,IF(F833,C833*E833*F833,IF(G833,C833*E833*G833,IF(H833,C833*E833*H833,C833*E833))))))),2)</f>
        <v>14.08</v>
      </c>
      <c r="J833" s="195" t="s">
        <v>102</v>
      </c>
      <c r="K833" s="147"/>
      <c r="L833" s="110"/>
      <c r="M833" s="147"/>
    </row>
    <row r="834" spans="1:13" s="148" customFormat="1" ht="16.5" hidden="1" customHeight="1">
      <c r="A834" s="110"/>
      <c r="B834" s="147"/>
      <c r="C834" s="183">
        <v>1</v>
      </c>
      <c r="D834" s="205" t="s">
        <v>268</v>
      </c>
      <c r="E834" s="156">
        <v>1</v>
      </c>
      <c r="F834" s="157">
        <v>3.37</v>
      </c>
      <c r="G834" s="157">
        <v>0</v>
      </c>
      <c r="H834" s="157">
        <v>3.15</v>
      </c>
      <c r="I834" s="207">
        <f t="shared" si="80"/>
        <v>10.62</v>
      </c>
      <c r="J834" s="195" t="s">
        <v>102</v>
      </c>
      <c r="K834" s="147"/>
      <c r="L834" s="110"/>
      <c r="M834" s="147"/>
    </row>
    <row r="835" spans="1:13" s="148" customFormat="1" ht="16.5" hidden="1" customHeight="1">
      <c r="A835" s="110"/>
      <c r="B835" s="147"/>
      <c r="C835" s="183">
        <v>1</v>
      </c>
      <c r="D835" s="205" t="s">
        <v>268</v>
      </c>
      <c r="E835" s="156">
        <v>1</v>
      </c>
      <c r="F835" s="157">
        <v>2.0699999999999998</v>
      </c>
      <c r="G835" s="157">
        <v>0</v>
      </c>
      <c r="H835" s="157">
        <v>3.15</v>
      </c>
      <c r="I835" s="207">
        <f t="shared" si="80"/>
        <v>6.52</v>
      </c>
      <c r="J835" s="195" t="s">
        <v>102</v>
      </c>
      <c r="K835" s="147"/>
      <c r="L835" s="110"/>
      <c r="M835" s="147"/>
    </row>
    <row r="836" spans="1:13" s="148" customFormat="1" ht="16.5" hidden="1" customHeight="1">
      <c r="A836" s="110"/>
      <c r="B836" s="147"/>
      <c r="C836" s="183">
        <v>1</v>
      </c>
      <c r="D836" s="205" t="s">
        <v>268</v>
      </c>
      <c r="E836" s="156">
        <v>1</v>
      </c>
      <c r="F836" s="157">
        <v>0.9</v>
      </c>
      <c r="G836" s="157">
        <v>0</v>
      </c>
      <c r="H836" s="157">
        <v>3.15</v>
      </c>
      <c r="I836" s="207">
        <f t="shared" si="80"/>
        <v>2.84</v>
      </c>
      <c r="J836" s="195" t="s">
        <v>102</v>
      </c>
      <c r="K836" s="147"/>
      <c r="L836" s="110"/>
      <c r="M836" s="147"/>
    </row>
    <row r="837" spans="1:13" s="148" customFormat="1" ht="16.5" hidden="1" customHeight="1">
      <c r="A837" s="110"/>
      <c r="B837" s="147"/>
      <c r="C837" s="183">
        <v>1</v>
      </c>
      <c r="D837" s="205" t="s">
        <v>268</v>
      </c>
      <c r="E837" s="156">
        <v>1</v>
      </c>
      <c r="F837" s="157">
        <v>0.55000000000000004</v>
      </c>
      <c r="G837" s="157">
        <v>0</v>
      </c>
      <c r="H837" s="157">
        <v>3.15</v>
      </c>
      <c r="I837" s="207">
        <f t="shared" si="80"/>
        <v>1.73</v>
      </c>
      <c r="J837" s="195" t="s">
        <v>102</v>
      </c>
      <c r="K837" s="147"/>
      <c r="L837" s="110"/>
      <c r="M837" s="147"/>
    </row>
    <row r="838" spans="1:13" s="148" customFormat="1" ht="16.5" hidden="1" customHeight="1">
      <c r="A838" s="110"/>
      <c r="B838" s="147" t="s">
        <v>567</v>
      </c>
      <c r="C838" s="183">
        <v>1</v>
      </c>
      <c r="D838" s="205" t="s">
        <v>268</v>
      </c>
      <c r="E838" s="156">
        <v>1</v>
      </c>
      <c r="F838" s="157">
        <v>1.05</v>
      </c>
      <c r="G838" s="157">
        <v>0</v>
      </c>
      <c r="H838" s="157">
        <v>2.1</v>
      </c>
      <c r="I838" s="207">
        <f>-ROUND(IF(AND(F838:H838),C838*E838*F838*G838*H838,IF(AND(F838,G838),C838*E838*F838*G838,IF(AND(F838,H838),C838*E838*F838*H838,IF(AND(G838,H838),C838*E838*G838*H838,IF(F838,C838*E838*F838,IF(G838,C838*E838*G838,IF(H838,C838*E838*H838,C838*E838))))))),2)</f>
        <v>-2.21</v>
      </c>
      <c r="J838" s="195" t="s">
        <v>102</v>
      </c>
      <c r="K838" s="147"/>
      <c r="L838" s="110"/>
      <c r="M838" s="147"/>
    </row>
    <row r="839" spans="1:13" s="148" customFormat="1" ht="16.5" hidden="1" customHeight="1">
      <c r="A839" s="110"/>
      <c r="B839" s="147" t="s">
        <v>748</v>
      </c>
      <c r="C839" s="183">
        <v>1</v>
      </c>
      <c r="D839" s="205" t="s">
        <v>268</v>
      </c>
      <c r="E839" s="156">
        <v>1</v>
      </c>
      <c r="F839" s="157">
        <v>1.2</v>
      </c>
      <c r="G839" s="157">
        <v>0</v>
      </c>
      <c r="H839" s="157">
        <v>1.2</v>
      </c>
      <c r="I839" s="207">
        <f>-ROUND(IF(AND(F839:H839),C839*E839*F839*G839*H839,IF(AND(F839,G839),C839*E839*F839*G839,IF(AND(F839,H839),C839*E839*F839*H839,IF(AND(G839,H839),C839*E839*G839*H839,IF(F839,C839*E839*F839,IF(G839,C839*E839*G839,IF(H839,C839*E839*H839,C839*E839))))))),2)</f>
        <v>-1.44</v>
      </c>
      <c r="J839" s="195" t="s">
        <v>102</v>
      </c>
      <c r="K839" s="147"/>
      <c r="L839" s="110"/>
      <c r="M839" s="147"/>
    </row>
    <row r="840" spans="1:13" s="148" customFormat="1" ht="16.5" hidden="1" customHeight="1">
      <c r="A840" s="110"/>
      <c r="B840" s="147" t="s">
        <v>745</v>
      </c>
      <c r="C840" s="183">
        <v>1</v>
      </c>
      <c r="D840" s="205" t="s">
        <v>268</v>
      </c>
      <c r="E840" s="156">
        <v>2</v>
      </c>
      <c r="F840" s="157">
        <v>6.75</v>
      </c>
      <c r="G840" s="157">
        <v>0</v>
      </c>
      <c r="H840" s="157">
        <v>3.15</v>
      </c>
      <c r="I840" s="207">
        <f t="shared" ref="I840:I841" si="81">ROUND(IF(AND(F840:H840),C840*E840*F840*G840*H840,IF(AND(F840,G840),C840*E840*F840*G840,IF(AND(F840,H840),C840*E840*F840*H840,IF(AND(G840,H840),C840*E840*G840*H840,IF(F840,C840*E840*F840,IF(G840,C840*E840*G840,IF(H840,C840*E840*H840,C840*E840))))))),2)</f>
        <v>42.53</v>
      </c>
      <c r="J840" s="195" t="s">
        <v>102</v>
      </c>
      <c r="K840" s="147"/>
      <c r="L840" s="110"/>
      <c r="M840" s="147"/>
    </row>
    <row r="841" spans="1:13" s="148" customFormat="1" ht="16.5" hidden="1" customHeight="1">
      <c r="A841" s="110"/>
      <c r="B841" s="147"/>
      <c r="C841" s="183">
        <v>1</v>
      </c>
      <c r="D841" s="205" t="s">
        <v>268</v>
      </c>
      <c r="E841" s="156">
        <v>2</v>
      </c>
      <c r="F841" s="157">
        <v>3.3</v>
      </c>
      <c r="G841" s="157">
        <v>0</v>
      </c>
      <c r="H841" s="157">
        <v>3.15</v>
      </c>
      <c r="I841" s="207">
        <f t="shared" si="81"/>
        <v>20.79</v>
      </c>
      <c r="J841" s="195" t="s">
        <v>102</v>
      </c>
      <c r="K841" s="147"/>
      <c r="L841" s="110"/>
      <c r="M841" s="147"/>
    </row>
    <row r="842" spans="1:13" s="148" customFormat="1" ht="16.5" hidden="1" customHeight="1">
      <c r="A842" s="110"/>
      <c r="B842" s="147" t="s">
        <v>1904</v>
      </c>
      <c r="C842" s="183">
        <v>1</v>
      </c>
      <c r="D842" s="205" t="s">
        <v>268</v>
      </c>
      <c r="E842" s="156">
        <v>1</v>
      </c>
      <c r="F842" s="157">
        <v>1.8</v>
      </c>
      <c r="G842" s="157">
        <v>0</v>
      </c>
      <c r="H842" s="157">
        <v>2.1</v>
      </c>
      <c r="I842" s="207">
        <f>-ROUND(IF(AND(F842:H842),C842*E842*F842*G842*H842,IF(AND(F842,G842),C842*E842*F842*G842,IF(AND(F842,H842),C842*E842*F842*H842,IF(AND(G842,H842),C842*E842*G842*H842,IF(F842,C842*E842*F842,IF(G842,C842*E842*G842,IF(H842,C842*E842*H842,C842*E842))))))),2)</f>
        <v>-3.78</v>
      </c>
      <c r="J842" s="195" t="s">
        <v>102</v>
      </c>
      <c r="K842" s="147"/>
      <c r="L842" s="110"/>
      <c r="M842" s="147"/>
    </row>
    <row r="843" spans="1:13" s="148" customFormat="1" ht="16.5" hidden="1" customHeight="1">
      <c r="A843" s="110"/>
      <c r="B843" s="147" t="s">
        <v>567</v>
      </c>
      <c r="C843" s="183">
        <v>1</v>
      </c>
      <c r="D843" s="205" t="s">
        <v>268</v>
      </c>
      <c r="E843" s="156">
        <v>1</v>
      </c>
      <c r="F843" s="157">
        <v>1.05</v>
      </c>
      <c r="G843" s="157">
        <v>0</v>
      </c>
      <c r="H843" s="157">
        <v>2.1</v>
      </c>
      <c r="I843" s="207">
        <f>-ROUND(IF(AND(F843:H843),C843*E843*F843*G843*H843,IF(AND(F843,G843),C843*E843*F843*G843,IF(AND(F843,H843),C843*E843*F843*H843,IF(AND(G843,H843),C843*E843*G843*H843,IF(F843,C843*E843*F843,IF(G843,C843*E843*G843,IF(H843,C843*E843*H843,C843*E843))))))),2)</f>
        <v>-2.21</v>
      </c>
      <c r="J843" s="195" t="s">
        <v>102</v>
      </c>
      <c r="K843" s="147"/>
      <c r="L843" s="110"/>
      <c r="M843" s="147"/>
    </row>
    <row r="844" spans="1:13" s="148" customFormat="1" ht="16.5" hidden="1" customHeight="1">
      <c r="A844" s="110"/>
      <c r="B844" s="147" t="s">
        <v>748</v>
      </c>
      <c r="C844" s="183">
        <v>1</v>
      </c>
      <c r="D844" s="205" t="s">
        <v>268</v>
      </c>
      <c r="E844" s="156">
        <v>2</v>
      </c>
      <c r="F844" s="157">
        <v>1.2</v>
      </c>
      <c r="G844" s="157">
        <v>0</v>
      </c>
      <c r="H844" s="157">
        <v>1.2</v>
      </c>
      <c r="I844" s="207">
        <f>-ROUND(IF(AND(F844:H844),C844*E844*F844*G844*H844,IF(AND(F844,G844),C844*E844*F844*G844,IF(AND(F844,H844),C844*E844*F844*H844,IF(AND(G844,H844),C844*E844*G844*H844,IF(F844,C844*E844*F844,IF(G844,C844*E844*G844,IF(H844,C844*E844*H844,C844*E844))))))),2)</f>
        <v>-2.88</v>
      </c>
      <c r="J844" s="195" t="s">
        <v>102</v>
      </c>
      <c r="K844" s="147"/>
      <c r="L844" s="110"/>
      <c r="M844" s="147"/>
    </row>
    <row r="845" spans="1:13" s="148" customFormat="1" ht="16.5" hidden="1" customHeight="1">
      <c r="A845" s="110"/>
      <c r="B845" s="149"/>
      <c r="C845" s="150"/>
      <c r="D845" s="151"/>
      <c r="E845" s="152"/>
      <c r="F845" s="153"/>
      <c r="G845" s="153"/>
      <c r="H845" s="153"/>
      <c r="I845" s="185">
        <f>SUBTOTAL(9,I818:I844)</f>
        <v>0</v>
      </c>
      <c r="J845" s="195" t="s">
        <v>102</v>
      </c>
      <c r="K845" s="147"/>
      <c r="L845" s="210"/>
      <c r="M845" s="147"/>
    </row>
    <row r="846" spans="1:13" hidden="1">
      <c r="A846" s="110"/>
      <c r="B846" s="147"/>
      <c r="C846" s="154"/>
      <c r="D846" s="155"/>
      <c r="E846" s="156"/>
      <c r="F846" s="157"/>
      <c r="G846" s="158"/>
      <c r="H846" s="110" t="s">
        <v>2073</v>
      </c>
      <c r="I846" s="185"/>
      <c r="J846" s="195" t="s">
        <v>102</v>
      </c>
      <c r="K846" s="12">
        <f>'DATA 2025-26'!F874</f>
        <v>194.33</v>
      </c>
      <c r="L846" s="210" t="s">
        <v>270</v>
      </c>
      <c r="M846" s="11">
        <f>ROUND(I846*K846,0)</f>
        <v>0</v>
      </c>
    </row>
    <row r="847" spans="1:13" ht="94.5" hidden="1" customHeight="1">
      <c r="A847" s="110">
        <v>9</v>
      </c>
      <c r="B847" s="964" t="s">
        <v>948</v>
      </c>
      <c r="C847" s="964"/>
      <c r="D847" s="964"/>
      <c r="E847" s="964"/>
      <c r="F847" s="964"/>
      <c r="G847" s="964"/>
      <c r="H847" s="964"/>
      <c r="I847" s="183"/>
      <c r="J847" s="186"/>
      <c r="K847" s="110"/>
      <c r="L847" s="210"/>
      <c r="M847" s="139"/>
    </row>
    <row r="848" spans="1:13" hidden="1">
      <c r="A848" s="110"/>
      <c r="B848" s="632" t="s">
        <v>1903</v>
      </c>
      <c r="C848" s="671"/>
      <c r="D848" s="672"/>
      <c r="E848" s="673"/>
      <c r="F848" s="632"/>
      <c r="G848" s="632"/>
      <c r="H848" s="632"/>
      <c r="I848" s="183"/>
      <c r="J848" s="186"/>
      <c r="K848" s="110"/>
      <c r="L848" s="210"/>
      <c r="M848" s="139"/>
    </row>
    <row r="849" spans="1:15" ht="16.5" hidden="1" customHeight="1">
      <c r="A849" s="110"/>
      <c r="B849" s="147" t="s">
        <v>1803</v>
      </c>
      <c r="C849" s="183">
        <v>1</v>
      </c>
      <c r="D849" s="205" t="s">
        <v>268</v>
      </c>
      <c r="E849" s="156">
        <v>2</v>
      </c>
      <c r="F849" s="157">
        <v>7.23</v>
      </c>
      <c r="G849" s="157">
        <v>0</v>
      </c>
      <c r="H849" s="157">
        <v>3.2</v>
      </c>
      <c r="I849" s="207">
        <f t="shared" ref="I849:I850" si="82">ROUND(IF(AND(F849:H849),C849*E849*F849*G849*H849,IF(AND(F849,G849),C849*E849*F849*G849,IF(AND(F849,H849),C849*E849*F849*H849,IF(AND(G849,H849),C849*E849*G849*H849,IF(F849,C849*E849*F849,IF(G849,C849*E849*G849,IF(H849,C849*E849*H849,C849*E849))))))),2)</f>
        <v>46.27</v>
      </c>
      <c r="J849" s="195" t="s">
        <v>102</v>
      </c>
      <c r="K849" s="147"/>
      <c r="L849" s="110"/>
      <c r="M849" s="147"/>
    </row>
    <row r="850" spans="1:15" ht="16.5" hidden="1" customHeight="1">
      <c r="A850" s="110"/>
      <c r="B850" s="147" t="s">
        <v>1888</v>
      </c>
      <c r="C850" s="183">
        <v>1</v>
      </c>
      <c r="D850" s="205" t="s">
        <v>268</v>
      </c>
      <c r="E850" s="156">
        <v>2</v>
      </c>
      <c r="F850" s="157">
        <v>7.21</v>
      </c>
      <c r="G850" s="157">
        <v>0</v>
      </c>
      <c r="H850" s="157">
        <v>3.2</v>
      </c>
      <c r="I850" s="207">
        <f t="shared" si="82"/>
        <v>46.14</v>
      </c>
      <c r="J850" s="195" t="s">
        <v>102</v>
      </c>
      <c r="K850" s="147"/>
      <c r="L850" s="110"/>
      <c r="M850" s="147"/>
    </row>
    <row r="851" spans="1:15" ht="16.5" hidden="1" customHeight="1">
      <c r="A851" s="110"/>
      <c r="B851" s="561" t="s">
        <v>1887</v>
      </c>
      <c r="C851" s="562">
        <v>1</v>
      </c>
      <c r="D851" s="563" t="s">
        <v>268</v>
      </c>
      <c r="E851" s="564">
        <v>3</v>
      </c>
      <c r="F851" s="565">
        <v>1.5</v>
      </c>
      <c r="G851" s="565">
        <v>0.55000000000000004</v>
      </c>
      <c r="H851" s="157">
        <v>0</v>
      </c>
      <c r="I851" s="185">
        <f>ROUND(IF(AND(F851:H851),C851*E851*F851*G851*H851,IF(AND(F851,G851),C851*E851*F851*G851,IF(AND(F851,H851),C851*E851*F851*H851,IF(AND(G851,H851),C851*E851*G851*H851,IF(F851,C851*E851*F851,IF(G851,C851*E851*G851,IF(H851,C851*E851*H851,C851*E851))))))),2)</f>
        <v>2.48</v>
      </c>
      <c r="J851" s="339" t="s">
        <v>102</v>
      </c>
      <c r="K851" s="147"/>
      <c r="L851" s="110"/>
      <c r="M851" s="147"/>
    </row>
    <row r="852" spans="1:15" ht="16.5" hidden="1" customHeight="1">
      <c r="A852" s="110"/>
      <c r="B852" s="561" t="s">
        <v>576</v>
      </c>
      <c r="C852" s="562">
        <v>1</v>
      </c>
      <c r="D852" s="563" t="s">
        <v>268</v>
      </c>
      <c r="E852" s="564">
        <v>1</v>
      </c>
      <c r="F852" s="565">
        <v>6.15</v>
      </c>
      <c r="G852" s="565">
        <v>1.65</v>
      </c>
      <c r="H852" s="157">
        <v>0</v>
      </c>
      <c r="I852" s="185">
        <f>ROUND(IF(AND(F852:H852),C852*E852*F852*G852*H852,IF(AND(F852,G852),C852*E852*F852*G852,IF(AND(F852,H852),C852*E852*F852*H852,IF(AND(G852,H852),C852*E852*G852*H852,IF(F852,C852*E852*F852,IF(G852,C852*E852*G852,IF(H852,C852*E852*H852,C852*E852))))))),2)</f>
        <v>10.15</v>
      </c>
      <c r="J852" s="339" t="s">
        <v>102</v>
      </c>
      <c r="K852" s="147"/>
      <c r="L852" s="110"/>
      <c r="M852" s="147"/>
    </row>
    <row r="853" spans="1:15" s="148" customFormat="1" ht="16.5" hidden="1" customHeight="1">
      <c r="A853" s="110"/>
      <c r="B853" s="149"/>
      <c r="C853" s="150"/>
      <c r="D853" s="151"/>
      <c r="E853" s="152"/>
      <c r="F853" s="153"/>
      <c r="G853" s="153"/>
      <c r="H853" s="153"/>
      <c r="I853" s="185"/>
      <c r="J853" s="195"/>
      <c r="K853" s="147"/>
      <c r="L853" s="210"/>
      <c r="M853" s="147"/>
    </row>
    <row r="854" spans="1:15" hidden="1">
      <c r="A854" s="110"/>
      <c r="B854" s="147"/>
      <c r="C854" s="154"/>
      <c r="D854" s="155"/>
      <c r="E854" s="156"/>
      <c r="F854" s="157"/>
      <c r="G854" s="158"/>
      <c r="H854" s="110"/>
      <c r="I854" s="185"/>
      <c r="J854" s="195" t="s">
        <v>102</v>
      </c>
      <c r="K854" s="12">
        <f>'DATA 2025-26'!F889</f>
        <v>267.35000000000002</v>
      </c>
      <c r="L854" s="210" t="s">
        <v>270</v>
      </c>
      <c r="M854" s="11">
        <f>ROUND(I854*K854,0)</f>
        <v>0</v>
      </c>
    </row>
    <row r="855" spans="1:15" ht="200.25" hidden="1" customHeight="1">
      <c r="A855" s="110">
        <v>10</v>
      </c>
      <c r="B855" s="964" t="s">
        <v>1852</v>
      </c>
      <c r="C855" s="964"/>
      <c r="D855" s="964"/>
      <c r="E855" s="964"/>
      <c r="F855" s="964"/>
      <c r="G855" s="964"/>
      <c r="H855" s="964"/>
      <c r="I855" s="183"/>
      <c r="J855" s="186"/>
      <c r="K855" s="110"/>
      <c r="L855" s="210"/>
      <c r="M855" s="139"/>
    </row>
    <row r="856" spans="1:15" hidden="1">
      <c r="A856" s="110"/>
      <c r="B856" s="632" t="s">
        <v>1897</v>
      </c>
      <c r="C856" s="671"/>
      <c r="D856" s="672"/>
      <c r="E856" s="673"/>
      <c r="F856" s="632"/>
      <c r="G856" s="632"/>
      <c r="H856" s="632"/>
      <c r="I856" s="183"/>
      <c r="J856" s="186"/>
      <c r="K856" s="110"/>
      <c r="L856" s="210"/>
      <c r="M856" s="139"/>
    </row>
    <row r="857" spans="1:15" s="148" customFormat="1" ht="16.5" hidden="1" customHeight="1">
      <c r="A857" s="110"/>
      <c r="B857" s="149" t="s">
        <v>1847</v>
      </c>
      <c r="C857" s="150">
        <v>1</v>
      </c>
      <c r="D857" s="151" t="s">
        <v>268</v>
      </c>
      <c r="E857" s="152">
        <v>1</v>
      </c>
      <c r="F857" s="153">
        <v>3.37</v>
      </c>
      <c r="G857" s="153">
        <v>3.37</v>
      </c>
      <c r="H857" s="153">
        <v>0</v>
      </c>
      <c r="I857" s="185">
        <f>ROUND(IF(AND(F857:H857),C857*E857*F857*G857*H857,IF(AND(F857,G857),C857*E857*F857*G857,IF(AND(F857,H857),C857*E857*F857*H857,IF(AND(G857,H857),C857*E857*G857*H857,IF(F857,C857*E857*F857,IF(G857,C857*E857*G857,IF(H857,C857*E857*H857,C857*E857))))))),2)</f>
        <v>11.36</v>
      </c>
      <c r="J857" s="195" t="s">
        <v>102</v>
      </c>
      <c r="K857" s="147"/>
      <c r="L857" s="110"/>
      <c r="M857" s="147"/>
    </row>
    <row r="858" spans="1:15" s="148" customFormat="1" ht="16.5" hidden="1" customHeight="1">
      <c r="A858" s="110"/>
      <c r="B858" s="149" t="s">
        <v>1884</v>
      </c>
      <c r="C858" s="150">
        <v>1</v>
      </c>
      <c r="D858" s="151" t="s">
        <v>268</v>
      </c>
      <c r="E858" s="152">
        <v>1</v>
      </c>
      <c r="F858" s="153">
        <v>6.75</v>
      </c>
      <c r="G858" s="153">
        <v>3.3</v>
      </c>
      <c r="H858" s="153">
        <v>0</v>
      </c>
      <c r="I858" s="185">
        <f>ROUND(IF(AND(F858:H858),C858*E858*F858*G858*H858,IF(AND(F858,G858),C858*E858*F858*G858,IF(AND(F858,H858),C858*E858*F858*H858,IF(AND(G858,H858),C858*E858*G858*H858,IF(F858,C858*E858*F858,IF(G858,C858*E858*G858,IF(H858,C858*E858*H858,C858*E858))))))),2)</f>
        <v>22.28</v>
      </c>
      <c r="J858" s="195" t="s">
        <v>102</v>
      </c>
      <c r="K858" s="147"/>
      <c r="L858" s="110"/>
      <c r="M858" s="147"/>
    </row>
    <row r="859" spans="1:15" s="148" customFormat="1" ht="16.5" hidden="1" customHeight="1">
      <c r="A859" s="110"/>
      <c r="B859" s="149"/>
      <c r="C859" s="150"/>
      <c r="D859" s="151"/>
      <c r="E859" s="152"/>
      <c r="F859" s="153"/>
      <c r="G859" s="153"/>
      <c r="H859" s="153"/>
      <c r="I859" s="185"/>
      <c r="J859" s="195"/>
      <c r="K859" s="147"/>
      <c r="L859" s="210"/>
      <c r="M859" s="147"/>
    </row>
    <row r="860" spans="1:15" hidden="1">
      <c r="A860" s="110"/>
      <c r="B860" s="147"/>
      <c r="C860" s="154"/>
      <c r="D860" s="155"/>
      <c r="E860" s="156"/>
      <c r="F860" s="157"/>
      <c r="G860" s="158"/>
      <c r="H860" s="110"/>
      <c r="I860" s="185"/>
      <c r="J860" s="195" t="s">
        <v>102</v>
      </c>
      <c r="K860" s="12">
        <f>'DATA 2025-26'!G983</f>
        <v>1760.4100000000003</v>
      </c>
      <c r="L860" s="210" t="s">
        <v>270</v>
      </c>
      <c r="M860" s="11">
        <f>ROUND(I860*K860,0)</f>
        <v>0</v>
      </c>
    </row>
    <row r="861" spans="1:15" ht="69.75" hidden="1" customHeight="1">
      <c r="A861" s="110">
        <v>11</v>
      </c>
      <c r="B861" s="964" t="s">
        <v>122</v>
      </c>
      <c r="C861" s="964"/>
      <c r="D861" s="964"/>
      <c r="E861" s="964"/>
      <c r="F861" s="964"/>
      <c r="G861" s="964"/>
      <c r="H861" s="964"/>
      <c r="I861" s="183"/>
      <c r="J861" s="186"/>
      <c r="K861" s="110"/>
      <c r="L861" s="210"/>
      <c r="M861" s="139"/>
    </row>
    <row r="862" spans="1:15" s="148" customFormat="1" ht="16.5" hidden="1" customHeight="1">
      <c r="A862" s="110"/>
      <c r="B862" s="147"/>
      <c r="C862" s="141" t="s">
        <v>572</v>
      </c>
      <c r="D862" s="142"/>
      <c r="E862" s="143"/>
      <c r="F862" s="144"/>
      <c r="G862" s="144"/>
      <c r="H862" s="145"/>
      <c r="I862" s="184">
        <v>1600</v>
      </c>
      <c r="J862" s="195" t="s">
        <v>139</v>
      </c>
      <c r="K862" s="147"/>
      <c r="L862" s="110"/>
      <c r="M862" s="147"/>
    </row>
    <row r="863" spans="1:15" s="148" customFormat="1" ht="16.5" hidden="1" customHeight="1">
      <c r="A863" s="110"/>
      <c r="B863" s="147"/>
      <c r="C863" s="406"/>
      <c r="D863" s="142"/>
      <c r="E863" s="143"/>
      <c r="F863" s="144"/>
      <c r="G863" s="144"/>
      <c r="H863" s="145"/>
      <c r="I863" s="184"/>
      <c r="J863" s="195"/>
      <c r="K863" s="147"/>
      <c r="L863" s="210"/>
      <c r="M863" s="147"/>
      <c r="O863" s="330"/>
    </row>
    <row r="864" spans="1:15" s="148" customFormat="1" ht="16.5" hidden="1" customHeight="1">
      <c r="A864" s="110"/>
      <c r="B864" s="147"/>
      <c r="C864" s="141"/>
      <c r="D864" s="142"/>
      <c r="E864" s="143"/>
      <c r="F864" s="144"/>
      <c r="G864" s="144"/>
      <c r="H864" s="145"/>
      <c r="I864" s="184"/>
      <c r="J864" s="195" t="s">
        <v>139</v>
      </c>
      <c r="K864" s="147"/>
      <c r="L864" s="210"/>
      <c r="M864" s="147"/>
    </row>
    <row r="865" spans="1:13" hidden="1">
      <c r="A865" s="110"/>
      <c r="B865" s="147"/>
      <c r="C865" s="154"/>
      <c r="D865" s="155"/>
      <c r="E865" s="156"/>
      <c r="F865" s="157"/>
      <c r="G865" s="158"/>
      <c r="H865" s="110" t="s">
        <v>854</v>
      </c>
      <c r="I865" s="185">
        <f>ROUND(I864/1000,2)</f>
        <v>0</v>
      </c>
      <c r="J865" s="195" t="s">
        <v>29</v>
      </c>
      <c r="K865" s="12">
        <f>'DATA 2025-26'!F310</f>
        <v>88227.73</v>
      </c>
      <c r="L865" s="210" t="s">
        <v>278</v>
      </c>
      <c r="M865" s="11">
        <f>ROUND(I865*K865,0)</f>
        <v>0</v>
      </c>
    </row>
    <row r="866" spans="1:13" hidden="1">
      <c r="A866" s="110"/>
      <c r="B866" s="173" t="s">
        <v>1836</v>
      </c>
      <c r="C866" s="147"/>
      <c r="D866" s="147"/>
      <c r="E866" s="274"/>
      <c r="F866" s="110"/>
      <c r="G866" s="147"/>
      <c r="H866" s="110"/>
      <c r="I866" s="185"/>
      <c r="J866" s="339"/>
      <c r="K866" s="12"/>
      <c r="L866" s="210"/>
      <c r="M866" s="11"/>
    </row>
    <row r="867" spans="1:13" ht="93.75" hidden="1" customHeight="1">
      <c r="A867" s="110">
        <v>1</v>
      </c>
      <c r="B867" s="964" t="s">
        <v>2259</v>
      </c>
      <c r="C867" s="964"/>
      <c r="D867" s="964"/>
      <c r="E867" s="964"/>
      <c r="F867" s="964"/>
      <c r="G867" s="964"/>
      <c r="H867" s="964"/>
      <c r="I867" s="183"/>
      <c r="J867" s="186"/>
      <c r="K867" s="110"/>
      <c r="L867" s="210"/>
      <c r="M867" s="139"/>
    </row>
    <row r="868" spans="1:13" s="148" customFormat="1" ht="16.5" hidden="1" customHeight="1">
      <c r="A868" s="110"/>
      <c r="B868" s="147" t="s">
        <v>1385</v>
      </c>
      <c r="C868" s="183"/>
      <c r="D868" s="205"/>
      <c r="E868" s="156"/>
      <c r="F868" s="157"/>
      <c r="G868" s="157"/>
      <c r="H868" s="157"/>
      <c r="I868" s="206"/>
      <c r="J868" s="195"/>
      <c r="K868" s="147"/>
      <c r="L868" s="110"/>
      <c r="M868" s="147"/>
    </row>
    <row r="869" spans="1:13" s="148" customFormat="1" ht="16.5" hidden="1" customHeight="1">
      <c r="A869" s="110"/>
      <c r="B869" s="147" t="s">
        <v>1363</v>
      </c>
      <c r="C869" s="183">
        <v>1</v>
      </c>
      <c r="D869" s="205" t="s">
        <v>268</v>
      </c>
      <c r="E869" s="156">
        <v>4</v>
      </c>
      <c r="F869" s="157">
        <v>0.38</v>
      </c>
      <c r="G869" s="157">
        <v>0.23</v>
      </c>
      <c r="H869" s="157">
        <v>2.4</v>
      </c>
      <c r="I869" s="207">
        <f>ROUND(IF(AND(F869:H869),C869*E869*F869*G869*H869,IF(AND(F869,G869),C869*E869*F869*G869,IF(AND(F869,H869),C869*E869*F869*H869,IF(AND(G869,H869),C869*E869*G869*H869,IF(F869,C869*E869*F869,IF(G869,C869*E869*G869,IF(H869,C869*E869*H869,C869*E869))))))),2)</f>
        <v>0.84</v>
      </c>
      <c r="J869" s="195" t="s">
        <v>5</v>
      </c>
      <c r="K869" s="147"/>
      <c r="L869" s="110"/>
      <c r="M869" s="147"/>
    </row>
    <row r="870" spans="1:13" s="148" customFormat="1" ht="16.5" hidden="1" customHeight="1">
      <c r="A870" s="110"/>
      <c r="B870" s="149"/>
      <c r="C870" s="150"/>
      <c r="D870" s="151"/>
      <c r="E870" s="152"/>
      <c r="F870" s="153"/>
      <c r="G870" s="153"/>
      <c r="H870" s="153"/>
      <c r="I870" s="185"/>
      <c r="J870" s="195"/>
      <c r="K870" s="147"/>
      <c r="L870" s="210"/>
      <c r="M870" s="147"/>
    </row>
    <row r="871" spans="1:13" hidden="1">
      <c r="A871" s="110"/>
      <c r="B871" s="147"/>
      <c r="C871" s="154"/>
      <c r="D871" s="155"/>
      <c r="E871" s="156"/>
      <c r="F871" s="157"/>
      <c r="G871" s="158"/>
      <c r="H871" s="110"/>
      <c r="I871" s="185"/>
      <c r="J871" s="195" t="s">
        <v>5</v>
      </c>
      <c r="K871" s="12">
        <f>'DATA 2025-26'!G166</f>
        <v>14570.31</v>
      </c>
      <c r="L871" s="210" t="s">
        <v>269</v>
      </c>
      <c r="M871" s="11">
        <f>ROUND(I871*K871,0)</f>
        <v>0</v>
      </c>
    </row>
    <row r="872" spans="1:13" ht="17.25" hidden="1" customHeight="1">
      <c r="A872" s="110">
        <v>10</v>
      </c>
      <c r="B872" s="964" t="s">
        <v>298</v>
      </c>
      <c r="C872" s="964"/>
      <c r="D872" s="964"/>
      <c r="E872" s="964"/>
      <c r="F872" s="964"/>
      <c r="G872" s="964"/>
      <c r="H872" s="964"/>
      <c r="I872" s="183"/>
      <c r="J872" s="186"/>
      <c r="K872" s="110"/>
      <c r="L872" s="210"/>
      <c r="M872" s="139"/>
    </row>
    <row r="873" spans="1:13" s="148" customFormat="1" ht="16.5" hidden="1" customHeight="1">
      <c r="A873" s="110"/>
      <c r="B873" s="147" t="s">
        <v>1378</v>
      </c>
      <c r="C873" s="183"/>
      <c r="D873" s="205"/>
      <c r="E873" s="156"/>
      <c r="F873" s="157"/>
      <c r="G873" s="157"/>
      <c r="H873" s="157"/>
      <c r="I873" s="206"/>
      <c r="J873" s="195"/>
      <c r="K873" s="147"/>
      <c r="L873" s="110"/>
      <c r="M873" s="147"/>
    </row>
    <row r="874" spans="1:13" s="148" customFormat="1" ht="16.5" hidden="1" customHeight="1">
      <c r="A874" s="110"/>
      <c r="B874" s="147" t="s">
        <v>1364</v>
      </c>
      <c r="C874" s="183">
        <v>1</v>
      </c>
      <c r="D874" s="205" t="s">
        <v>268</v>
      </c>
      <c r="E874" s="156">
        <v>2</v>
      </c>
      <c r="F874" s="157">
        <v>4.2</v>
      </c>
      <c r="G874" s="157">
        <v>0.23</v>
      </c>
      <c r="H874" s="157">
        <v>0.3</v>
      </c>
      <c r="I874" s="207">
        <f>ROUND(IF(AND(F874:H874),C874*E874*F874*G874*H874,IF(AND(F874,G874),C874*E874*F874*G874,IF(AND(F874,H874),C874*E874*F874*H874,IF(AND(G874,H874),C874*E874*G874*H874,IF(F874,C874*E874*F874,IF(G874,C874*E874*G874,IF(H874,C874*E874*H874,C874*E874))))))),2)</f>
        <v>0.57999999999999996</v>
      </c>
      <c r="J874" s="195" t="s">
        <v>5</v>
      </c>
      <c r="K874" s="147"/>
      <c r="L874" s="110"/>
      <c r="M874" s="147"/>
    </row>
    <row r="875" spans="1:13" s="148" customFormat="1" ht="16.5" hidden="1" customHeight="1">
      <c r="A875" s="110"/>
      <c r="B875" s="147"/>
      <c r="C875" s="183">
        <v>1</v>
      </c>
      <c r="D875" s="205" t="s">
        <v>268</v>
      </c>
      <c r="E875" s="156">
        <v>2</v>
      </c>
      <c r="F875" s="157">
        <v>3.2</v>
      </c>
      <c r="G875" s="157">
        <v>0.23</v>
      </c>
      <c r="H875" s="157">
        <v>0.3</v>
      </c>
      <c r="I875" s="207">
        <f>ROUND(IF(AND(F875:H875),C875*E875*F875*G875*H875,IF(AND(F875,G875),C875*E875*F875*G875,IF(AND(F875,H875),C875*E875*F875*H875,IF(AND(G875,H875),C875*E875*G875*H875,IF(F875,C875*E875*F875,IF(G875,C875*E875*G875,IF(H875,C875*E875*H875,C875*E875))))))),2)</f>
        <v>0.44</v>
      </c>
      <c r="J875" s="195" t="s">
        <v>5</v>
      </c>
      <c r="K875" s="147"/>
      <c r="L875" s="110"/>
      <c r="M875" s="147"/>
    </row>
    <row r="876" spans="1:13" s="148" customFormat="1" ht="16.5" hidden="1" customHeight="1">
      <c r="A876" s="110"/>
      <c r="B876" s="149"/>
      <c r="C876" s="150"/>
      <c r="D876" s="151"/>
      <c r="E876" s="152"/>
      <c r="F876" s="153"/>
      <c r="G876" s="153"/>
      <c r="H876" s="153"/>
      <c r="I876" s="185"/>
      <c r="J876" s="195"/>
      <c r="K876" s="147"/>
      <c r="L876" s="210"/>
      <c r="M876" s="147"/>
    </row>
    <row r="877" spans="1:13" hidden="1">
      <c r="A877" s="110"/>
      <c r="B877" s="147"/>
      <c r="C877" s="154"/>
      <c r="D877" s="155"/>
      <c r="E877" s="156"/>
      <c r="F877" s="157"/>
      <c r="G877" s="158"/>
      <c r="H877" s="110"/>
      <c r="I877" s="185"/>
      <c r="J877" s="195" t="s">
        <v>5</v>
      </c>
      <c r="K877" s="12">
        <f>'DATA 2025-26'!G195</f>
        <v>13163.75</v>
      </c>
      <c r="L877" s="210" t="s">
        <v>269</v>
      </c>
      <c r="M877" s="11">
        <f>ROUND(I877*K877,0)</f>
        <v>0</v>
      </c>
    </row>
    <row r="878" spans="1:13" ht="17.25" hidden="1" customHeight="1">
      <c r="A878" s="110">
        <v>11</v>
      </c>
      <c r="B878" s="964" t="s">
        <v>299</v>
      </c>
      <c r="C878" s="964"/>
      <c r="D878" s="964"/>
      <c r="E878" s="964"/>
      <c r="F878" s="964"/>
      <c r="G878" s="964"/>
      <c r="H878" s="964"/>
      <c r="I878" s="183"/>
      <c r="J878" s="186"/>
      <c r="K878" s="110"/>
      <c r="L878" s="210"/>
      <c r="M878" s="139"/>
    </row>
    <row r="879" spans="1:13" s="148" customFormat="1" ht="16.5" hidden="1" customHeight="1">
      <c r="A879" s="110"/>
      <c r="B879" s="147" t="s">
        <v>1303</v>
      </c>
      <c r="C879" s="183"/>
      <c r="D879" s="205"/>
      <c r="E879" s="156"/>
      <c r="F879" s="157"/>
      <c r="G879" s="157"/>
      <c r="H879" s="157"/>
      <c r="I879" s="206"/>
      <c r="J879" s="195"/>
      <c r="K879" s="147"/>
      <c r="L879" s="210"/>
      <c r="M879" s="147"/>
    </row>
    <row r="880" spans="1:13" s="148" customFormat="1" ht="16.5" hidden="1" customHeight="1">
      <c r="A880" s="110"/>
      <c r="B880" s="147" t="s">
        <v>263</v>
      </c>
      <c r="C880" s="183">
        <v>1</v>
      </c>
      <c r="D880" s="205" t="s">
        <v>268</v>
      </c>
      <c r="E880" s="156">
        <v>1</v>
      </c>
      <c r="F880" s="157">
        <v>3.23</v>
      </c>
      <c r="G880" s="157">
        <v>1.28</v>
      </c>
      <c r="H880" s="157">
        <v>0</v>
      </c>
      <c r="I880" s="207">
        <f>ROUND(IF(AND(F880:H880),C880*E880*F880*G880*H880,IF(AND(F880,G880),C880*E880*F880*G880,IF(AND(F880,H880),C880*E880*F880*H880,IF(AND(G880,H880),C880*E880*G880*H880,IF(F880,C880*E880*F880,IF(G880,C880*E880*G880,IF(H880,C880*E880*H880,C880*E880))))))),2)</f>
        <v>4.13</v>
      </c>
      <c r="J880" s="195" t="s">
        <v>102</v>
      </c>
      <c r="K880" s="147"/>
      <c r="L880" s="210"/>
      <c r="M880" s="147"/>
    </row>
    <row r="881" spans="1:13" s="148" customFormat="1" ht="16.5" hidden="1" customHeight="1">
      <c r="A881" s="110"/>
      <c r="B881" s="147" t="s">
        <v>747</v>
      </c>
      <c r="C881" s="183">
        <v>1</v>
      </c>
      <c r="D881" s="205" t="s">
        <v>268</v>
      </c>
      <c r="E881" s="156">
        <v>1</v>
      </c>
      <c r="F881" s="157">
        <v>2.72</v>
      </c>
      <c r="G881" s="157">
        <v>1</v>
      </c>
      <c r="H881" s="157">
        <v>0</v>
      </c>
      <c r="I881" s="207">
        <f>ROUND(IF(AND(F881:H881),C881*E881*F881*G881*H881,IF(AND(F881,G881),C881*E881*F881*G881,IF(AND(F881,H881),C881*E881*F881*H881,IF(AND(G881,H881),C881*E881*G881*H881,IF(F881,C881*E881*F881,IF(G881,C881*E881*G881,IF(H881,C881*E881*H881,C881*E881))))))),2)</f>
        <v>2.72</v>
      </c>
      <c r="J881" s="195" t="s">
        <v>102</v>
      </c>
      <c r="K881" s="147"/>
      <c r="L881" s="210"/>
      <c r="M881" s="147"/>
    </row>
    <row r="882" spans="1:13" s="148" customFormat="1" ht="16.5" hidden="1" customHeight="1">
      <c r="A882" s="110"/>
      <c r="B882" s="147" t="s">
        <v>1304</v>
      </c>
      <c r="C882" s="183"/>
      <c r="D882" s="205"/>
      <c r="E882" s="156"/>
      <c r="F882" s="157"/>
      <c r="G882" s="157"/>
      <c r="H882" s="157"/>
      <c r="I882" s="206"/>
      <c r="J882" s="195"/>
      <c r="K882" s="147"/>
      <c r="L882" s="210"/>
      <c r="M882" s="147"/>
    </row>
    <row r="883" spans="1:13" s="148" customFormat="1" ht="16.5" hidden="1" customHeight="1">
      <c r="A883" s="110"/>
      <c r="B883" s="147" t="s">
        <v>746</v>
      </c>
      <c r="C883" s="183">
        <v>1</v>
      </c>
      <c r="D883" s="205" t="s">
        <v>268</v>
      </c>
      <c r="E883" s="156">
        <v>1</v>
      </c>
      <c r="F883" s="157">
        <v>3.23</v>
      </c>
      <c r="G883" s="157">
        <v>1.28</v>
      </c>
      <c r="H883" s="157">
        <v>0</v>
      </c>
      <c r="I883" s="207">
        <f>ROUND(IF(AND(F883:H883),C883*E883*F883*G883*H883,IF(AND(F883,G883),C883*E883*F883*G883,IF(AND(F883,H883),C883*E883*F883*H883,IF(AND(G883,H883),C883*E883*G883*H883,IF(F883,C883*E883*F883,IF(G883,C883*E883*G883,IF(H883,C883*E883*H883,C883*E883))))))),2)</f>
        <v>4.13</v>
      </c>
      <c r="J883" s="195" t="s">
        <v>102</v>
      </c>
      <c r="K883" s="147"/>
      <c r="L883" s="210"/>
      <c r="M883" s="147"/>
    </row>
    <row r="884" spans="1:13" s="148" customFormat="1" ht="16.5" hidden="1" customHeight="1">
      <c r="A884" s="110"/>
      <c r="B884" s="149"/>
      <c r="C884" s="150"/>
      <c r="D884" s="151"/>
      <c r="E884" s="152"/>
      <c r="F884" s="153"/>
      <c r="G884" s="153"/>
      <c r="H884" s="153"/>
      <c r="I884" s="185"/>
      <c r="J884" s="195"/>
      <c r="K884" s="147"/>
      <c r="L884" s="210"/>
      <c r="M884" s="147"/>
    </row>
    <row r="885" spans="1:13" hidden="1">
      <c r="A885" s="110"/>
      <c r="B885" s="147"/>
      <c r="C885" s="154"/>
      <c r="D885" s="155"/>
      <c r="E885" s="156"/>
      <c r="F885" s="157"/>
      <c r="G885" s="158"/>
      <c r="H885" s="110"/>
      <c r="I885" s="185"/>
      <c r="J885" s="195" t="s">
        <v>102</v>
      </c>
      <c r="K885" s="12">
        <f>'DATA 2025-26'!G219</f>
        <v>1691.2</v>
      </c>
      <c r="L885" s="210" t="s">
        <v>270</v>
      </c>
      <c r="M885" s="11">
        <f>ROUND(I885*K885,0)</f>
        <v>0</v>
      </c>
    </row>
    <row r="886" spans="1:13" ht="17.25" hidden="1" customHeight="1">
      <c r="A886" s="110">
        <v>2</v>
      </c>
      <c r="B886" s="964" t="s">
        <v>300</v>
      </c>
      <c r="C886" s="964"/>
      <c r="D886" s="964"/>
      <c r="E886" s="964"/>
      <c r="F886" s="964"/>
      <c r="G886" s="964"/>
      <c r="H886" s="964"/>
      <c r="I886" s="183"/>
      <c r="J886" s="186"/>
      <c r="K886" s="110"/>
      <c r="L886" s="210"/>
      <c r="M886" s="139"/>
    </row>
    <row r="887" spans="1:13" s="148" customFormat="1" ht="16.5" hidden="1" customHeight="1">
      <c r="A887" s="110"/>
      <c r="B887" s="147" t="s">
        <v>1394</v>
      </c>
      <c r="C887" s="183"/>
      <c r="D887" s="205"/>
      <c r="E887" s="156"/>
      <c r="F887" s="157"/>
      <c r="G887" s="157"/>
      <c r="H887" s="157"/>
      <c r="I887" s="206"/>
      <c r="J887" s="195"/>
      <c r="K887" s="147"/>
      <c r="L887" s="110"/>
      <c r="M887" s="147"/>
    </row>
    <row r="888" spans="1:13" s="148" customFormat="1" ht="16.5" hidden="1" customHeight="1">
      <c r="A888" s="110"/>
      <c r="B888" s="147" t="s">
        <v>1365</v>
      </c>
      <c r="C888" s="183">
        <v>1</v>
      </c>
      <c r="D888" s="205" t="s">
        <v>268</v>
      </c>
      <c r="E888" s="156">
        <v>1</v>
      </c>
      <c r="F888" s="157">
        <v>4.3499999999999996</v>
      </c>
      <c r="G888" s="157">
        <v>4.2</v>
      </c>
      <c r="H888" s="157">
        <v>0</v>
      </c>
      <c r="I888" s="207">
        <f>ROUND(IF(AND(F888:H888),C888*E888*F888*G888*H888,IF(AND(F888,G888),C888*E888*F888*G888,IF(AND(F888,H888),C888*E888*F888*H888,IF(AND(G888,H888),C888*E888*G888*H888,IF(F888,C888*E888*F888,IF(G888,C888*E888*G888,IF(H888,C888*E888*H888,C888*E888))))))),2)</f>
        <v>18.27</v>
      </c>
      <c r="J888" s="195" t="s">
        <v>102</v>
      </c>
      <c r="K888" s="147"/>
      <c r="L888" s="110"/>
      <c r="M888" s="147"/>
    </row>
    <row r="889" spans="1:13" s="148" customFormat="1" ht="16.5" hidden="1" customHeight="1">
      <c r="A889" s="110"/>
      <c r="B889" s="291"/>
      <c r="C889" s="292"/>
      <c r="D889" s="175"/>
      <c r="E889" s="293"/>
      <c r="F889" s="294"/>
      <c r="G889" s="294"/>
      <c r="H889" s="295"/>
      <c r="I889" s="193"/>
      <c r="J889" s="195"/>
      <c r="K889" s="147"/>
      <c r="L889" s="210"/>
      <c r="M889" s="147"/>
    </row>
    <row r="890" spans="1:13" hidden="1">
      <c r="A890" s="110"/>
      <c r="B890" s="147"/>
      <c r="C890" s="154"/>
      <c r="D890" s="155"/>
      <c r="E890" s="156"/>
      <c r="F890" s="157"/>
      <c r="G890" s="158"/>
      <c r="H890" s="110"/>
      <c r="I890" s="185"/>
      <c r="J890" s="195" t="s">
        <v>102</v>
      </c>
      <c r="K890" s="12">
        <f>'DATA 2025-26'!G211</f>
        <v>1706.1000000000001</v>
      </c>
      <c r="L890" s="210" t="s">
        <v>270</v>
      </c>
      <c r="M890" s="11">
        <f>ROUND(I890*K890,0)</f>
        <v>0</v>
      </c>
    </row>
    <row r="891" spans="1:13" ht="17.25" hidden="1" customHeight="1">
      <c r="A891" s="110">
        <v>13</v>
      </c>
      <c r="B891" s="964" t="s">
        <v>570</v>
      </c>
      <c r="C891" s="964"/>
      <c r="D891" s="964"/>
      <c r="E891" s="964"/>
      <c r="F891" s="964"/>
      <c r="G891" s="964"/>
      <c r="H891" s="964"/>
      <c r="I891" s="183"/>
      <c r="J891" s="186"/>
      <c r="K891" s="110"/>
      <c r="L891" s="210"/>
      <c r="M891" s="139"/>
    </row>
    <row r="892" spans="1:13" s="148" customFormat="1" ht="16.5" hidden="1" customHeight="1">
      <c r="A892" s="110"/>
      <c r="B892" s="147" t="s">
        <v>1293</v>
      </c>
      <c r="C892" s="183"/>
      <c r="D892" s="205"/>
      <c r="E892" s="156"/>
      <c r="F892" s="157"/>
      <c r="G892" s="157"/>
      <c r="H892" s="157"/>
      <c r="I892" s="206"/>
      <c r="J892" s="195"/>
      <c r="K892" s="147"/>
      <c r="L892" s="210"/>
      <c r="M892" s="147"/>
    </row>
    <row r="893" spans="1:13" s="148" customFormat="1" ht="16.5" hidden="1" customHeight="1">
      <c r="A893" s="110"/>
      <c r="B893" s="147" t="s">
        <v>1027</v>
      </c>
      <c r="C893" s="183">
        <v>1</v>
      </c>
      <c r="D893" s="205" t="s">
        <v>268</v>
      </c>
      <c r="E893" s="156">
        <v>1</v>
      </c>
      <c r="F893" s="157">
        <v>3.95</v>
      </c>
      <c r="G893" s="157">
        <v>2.1</v>
      </c>
      <c r="H893" s="157">
        <v>0</v>
      </c>
      <c r="I893" s="207">
        <f>ROUND(IF(AND(F893:H893),C893*E893*F893*G893*H893,IF(AND(F893,G893),C893*E893*F893*G893,IF(AND(F893,H893),C893*E893*F893*H893,IF(AND(G893,H893),C893*E893*G893*H893,IF(F893,C893*E893*F893,IF(G893,C893*E893*G893,IF(H893,C893*E893*H893,C893*E893))))))),2)</f>
        <v>8.3000000000000007</v>
      </c>
      <c r="J893" s="195" t="s">
        <v>102</v>
      </c>
      <c r="K893" s="147"/>
      <c r="L893" s="210"/>
      <c r="M893" s="147"/>
    </row>
    <row r="894" spans="1:13" s="148" customFormat="1" ht="16.5" hidden="1" customHeight="1">
      <c r="A894" s="110"/>
      <c r="B894" s="291"/>
      <c r="C894" s="292"/>
      <c r="D894" s="175"/>
      <c r="E894" s="293"/>
      <c r="F894" s="294"/>
      <c r="G894" s="294"/>
      <c r="H894" s="295"/>
      <c r="I894" s="193"/>
      <c r="J894" s="195"/>
      <c r="K894" s="147"/>
      <c r="L894" s="210"/>
      <c r="M894" s="147"/>
    </row>
    <row r="895" spans="1:13" hidden="1">
      <c r="A895" s="110"/>
      <c r="B895" s="147"/>
      <c r="C895" s="154"/>
      <c r="D895" s="155"/>
      <c r="E895" s="156"/>
      <c r="F895" s="157"/>
      <c r="G895" s="158"/>
      <c r="H895" s="110"/>
      <c r="I895" s="185"/>
      <c r="J895" s="195" t="s">
        <v>102</v>
      </c>
      <c r="K895" s="12">
        <f>'DATA 2025-26'!G203</f>
        <v>1347.8000000000002</v>
      </c>
      <c r="L895" s="210" t="s">
        <v>270</v>
      </c>
      <c r="M895" s="11">
        <f>ROUND(I895*K895,0)</f>
        <v>0</v>
      </c>
    </row>
    <row r="896" spans="1:13" ht="18.75" hidden="1" customHeight="1">
      <c r="A896" s="110">
        <v>16</v>
      </c>
      <c r="B896" s="964" t="s">
        <v>1115</v>
      </c>
      <c r="C896" s="964"/>
      <c r="D896" s="964"/>
      <c r="E896" s="964"/>
      <c r="F896" s="964"/>
      <c r="G896" s="964"/>
      <c r="H896" s="964"/>
      <c r="I896" s="183"/>
      <c r="J896" s="186"/>
      <c r="K896" s="110"/>
      <c r="L896" s="210"/>
      <c r="M896" s="139"/>
    </row>
    <row r="897" spans="1:13" s="148" customFormat="1" ht="16.5" hidden="1" customHeight="1">
      <c r="A897" s="110"/>
      <c r="B897" s="147" t="s">
        <v>1294</v>
      </c>
      <c r="C897" s="183"/>
      <c r="D897" s="205"/>
      <c r="E897" s="156"/>
      <c r="F897" s="157"/>
      <c r="G897" s="157"/>
      <c r="H897" s="157"/>
      <c r="I897" s="206"/>
      <c r="J897" s="195"/>
      <c r="K897" s="147"/>
      <c r="L897" s="210"/>
      <c r="M897" s="147"/>
    </row>
    <row r="898" spans="1:13" s="148" customFormat="1" ht="16.5" hidden="1" customHeight="1">
      <c r="A898" s="110"/>
      <c r="B898" s="147" t="s">
        <v>1016</v>
      </c>
      <c r="C898" s="183">
        <v>1</v>
      </c>
      <c r="D898" s="205" t="s">
        <v>268</v>
      </c>
      <c r="E898" s="156">
        <v>5</v>
      </c>
      <c r="F898" s="157">
        <v>1.52</v>
      </c>
      <c r="G898" s="157">
        <v>0.23</v>
      </c>
      <c r="H898" s="157">
        <v>0</v>
      </c>
      <c r="I898" s="207">
        <f>ROUND(IF(AND(F898:H898),C898*E898*F898*G898*H898,IF(AND(F898,G898),C898*E898*F898*G898,IF(AND(F898,H898),C898*E898*F898*H898,IF(AND(G898,H898),C898*E898*G898*H898,IF(F898,C898*E898*F898,IF(G898,C898*E898*G898,IF(H898,C898*E898*H898,C898*E898))))))),2)</f>
        <v>1.75</v>
      </c>
      <c r="J898" s="195" t="s">
        <v>102</v>
      </c>
      <c r="K898" s="147"/>
      <c r="L898" s="210"/>
      <c r="M898" s="147"/>
    </row>
    <row r="899" spans="1:13" s="148" customFormat="1" ht="16.5" hidden="1" customHeight="1">
      <c r="A899" s="110"/>
      <c r="B899" s="147"/>
      <c r="C899" s="183">
        <v>1</v>
      </c>
      <c r="D899" s="205" t="s">
        <v>268</v>
      </c>
      <c r="E899" s="156">
        <v>4</v>
      </c>
      <c r="F899" s="157">
        <v>1.83</v>
      </c>
      <c r="G899" s="157">
        <v>0.23</v>
      </c>
      <c r="H899" s="157">
        <v>0</v>
      </c>
      <c r="I899" s="207">
        <f>ROUND(IF(AND(F899:H899),C899*E899*F899*G899*H899,IF(AND(F899,G899),C899*E899*F899*G899,IF(AND(F899,H899),C899*E899*F899*H899,IF(AND(G899,H899),C899*E899*G899*H899,IF(F899,C899*E899*F899,IF(G899,C899*E899*G899,IF(H899,C899*E899*H899,C899*E899))))))),2)</f>
        <v>1.68</v>
      </c>
      <c r="J899" s="195" t="s">
        <v>102</v>
      </c>
      <c r="K899" s="147"/>
      <c r="L899" s="210"/>
      <c r="M899" s="147"/>
    </row>
    <row r="900" spans="1:13" s="148" customFormat="1" ht="16.5" hidden="1" customHeight="1">
      <c r="A900" s="110"/>
      <c r="B900" s="147" t="s">
        <v>1295</v>
      </c>
      <c r="C900" s="183"/>
      <c r="D900" s="205"/>
      <c r="E900" s="156"/>
      <c r="F900" s="157"/>
      <c r="G900" s="157"/>
      <c r="H900" s="157"/>
      <c r="I900" s="206"/>
      <c r="J900" s="195"/>
      <c r="K900" s="147"/>
      <c r="L900" s="210"/>
      <c r="M900" s="147"/>
    </row>
    <row r="901" spans="1:13" s="148" customFormat="1" ht="16.5" hidden="1" customHeight="1">
      <c r="A901" s="110"/>
      <c r="B901" s="147" t="s">
        <v>1016</v>
      </c>
      <c r="C901" s="183">
        <v>1</v>
      </c>
      <c r="D901" s="205" t="s">
        <v>268</v>
      </c>
      <c r="E901" s="156">
        <v>8</v>
      </c>
      <c r="F901" s="157">
        <v>1.52</v>
      </c>
      <c r="G901" s="157">
        <v>0.23</v>
      </c>
      <c r="H901" s="157">
        <v>0</v>
      </c>
      <c r="I901" s="207">
        <f>ROUND(IF(AND(F901:H901),C901*E901*F901*G901*H901,IF(AND(F901,G901),C901*E901*F901*G901,IF(AND(F901,H901),C901*E901*F901*H901,IF(AND(G901,H901),C901*E901*G901*H901,IF(F901,C901*E901*F901,IF(G901,C901*E901*G901,IF(H901,C901*E901*H901,C901*E901))))))),2)</f>
        <v>2.8</v>
      </c>
      <c r="J901" s="195" t="s">
        <v>102</v>
      </c>
      <c r="K901" s="147"/>
      <c r="L901" s="210"/>
      <c r="M901" s="147"/>
    </row>
    <row r="902" spans="1:13" s="148" customFormat="1" ht="16.5" hidden="1" customHeight="1">
      <c r="A902" s="110"/>
      <c r="B902" s="147" t="s">
        <v>1293</v>
      </c>
      <c r="C902" s="183"/>
      <c r="D902" s="205"/>
      <c r="E902" s="156"/>
      <c r="F902" s="157"/>
      <c r="G902" s="157"/>
      <c r="H902" s="157"/>
      <c r="I902" s="206"/>
      <c r="J902" s="195"/>
      <c r="K902" s="147"/>
      <c r="L902" s="210"/>
      <c r="M902" s="147"/>
    </row>
    <row r="903" spans="1:13" s="148" customFormat="1" ht="16.5" hidden="1" customHeight="1">
      <c r="A903" s="110"/>
      <c r="B903" s="147" t="s">
        <v>1029</v>
      </c>
      <c r="C903" s="183">
        <v>1</v>
      </c>
      <c r="D903" s="205" t="s">
        <v>268</v>
      </c>
      <c r="E903" s="156">
        <v>1</v>
      </c>
      <c r="F903" s="157">
        <v>2.7</v>
      </c>
      <c r="G903" s="157">
        <v>1.52</v>
      </c>
      <c r="H903" s="157">
        <v>0</v>
      </c>
      <c r="I903" s="207">
        <f>ROUND(IF(AND(F903:H903),C903*E903*F903*G903*H903,IF(AND(F903,G903),C903*E903*F903*G903,IF(AND(F903,H903),C903*E903*F903*H903,IF(AND(G903,H903),C903*E903*G903*H903,IF(F903,C903*E903*F903,IF(G903,C903*E903*G903,IF(H903,C903*E903*H903,C903*E903))))))),2)</f>
        <v>4.0999999999999996</v>
      </c>
      <c r="J903" s="195" t="s">
        <v>102</v>
      </c>
      <c r="K903" s="147"/>
      <c r="L903" s="210"/>
      <c r="M903" s="147"/>
    </row>
    <row r="904" spans="1:13" s="148" customFormat="1" ht="16.5" hidden="1" customHeight="1">
      <c r="A904" s="110"/>
      <c r="B904" s="147" t="s">
        <v>1030</v>
      </c>
      <c r="C904" s="183">
        <v>1</v>
      </c>
      <c r="D904" s="205" t="s">
        <v>268</v>
      </c>
      <c r="E904" s="156">
        <v>1</v>
      </c>
      <c r="F904" s="157">
        <v>1.4</v>
      </c>
      <c r="G904" s="157">
        <v>1.4</v>
      </c>
      <c r="H904" s="157">
        <v>0</v>
      </c>
      <c r="I904" s="207">
        <f>ROUND(IF(AND(F904:H904),C904*E904*F904*G904*H904,IF(AND(F904,G904),C904*E904*F904*G904,IF(AND(F904,H904),C904*E904*F904*H904,IF(AND(G904,H904),C904*E904*G904*H904,IF(F904,C904*E904*F904,IF(G904,C904*E904*G904,IF(H904,C904*E904*H904,C904*E904))))))),2)</f>
        <v>1.96</v>
      </c>
      <c r="J904" s="195" t="s">
        <v>102</v>
      </c>
      <c r="K904" s="147"/>
      <c r="L904" s="210"/>
      <c r="M904" s="147"/>
    </row>
    <row r="905" spans="1:13" s="148" customFormat="1" ht="16.5" hidden="1" customHeight="1">
      <c r="A905" s="110"/>
      <c r="B905" s="149"/>
      <c r="C905" s="150"/>
      <c r="D905" s="151"/>
      <c r="E905" s="152"/>
      <c r="F905" s="153"/>
      <c r="G905" s="153"/>
      <c r="H905" s="153"/>
      <c r="I905" s="185"/>
      <c r="J905" s="195"/>
      <c r="K905" s="147"/>
      <c r="L905" s="210"/>
      <c r="M905" s="147"/>
    </row>
    <row r="906" spans="1:13" hidden="1">
      <c r="A906" s="110"/>
      <c r="B906" s="147"/>
      <c r="C906" s="154"/>
      <c r="D906" s="155"/>
      <c r="E906" s="156"/>
      <c r="F906" s="157"/>
      <c r="G906" s="158"/>
      <c r="H906" s="110"/>
      <c r="I906" s="185"/>
      <c r="J906" s="195" t="s">
        <v>102</v>
      </c>
      <c r="K906" s="12">
        <f>'DATA 2025-26'!G266</f>
        <v>1063.0500000000002</v>
      </c>
      <c r="L906" s="210" t="s">
        <v>270</v>
      </c>
      <c r="M906" s="11">
        <f>ROUND(I906*K906,0)</f>
        <v>0</v>
      </c>
    </row>
    <row r="907" spans="1:13" ht="18.75" hidden="1" customHeight="1">
      <c r="A907" s="110">
        <v>16</v>
      </c>
      <c r="B907" s="964" t="s">
        <v>1116</v>
      </c>
      <c r="C907" s="964"/>
      <c r="D907" s="964"/>
      <c r="E907" s="964"/>
      <c r="F907" s="964"/>
      <c r="G907" s="964"/>
      <c r="H907" s="964"/>
      <c r="I907" s="183"/>
      <c r="J907" s="186"/>
      <c r="K907" s="110"/>
      <c r="L907" s="210"/>
      <c r="M907" s="139"/>
    </row>
    <row r="908" spans="1:13" s="148" customFormat="1" ht="16.5" hidden="1" customHeight="1">
      <c r="A908" s="110"/>
      <c r="B908" s="147" t="s">
        <v>1294</v>
      </c>
      <c r="C908" s="183"/>
      <c r="D908" s="205"/>
      <c r="E908" s="156"/>
      <c r="F908" s="157"/>
      <c r="G908" s="157"/>
      <c r="H908" s="157"/>
      <c r="I908" s="206"/>
      <c r="J908" s="195"/>
      <c r="K908" s="147"/>
      <c r="L908" s="210"/>
      <c r="M908" s="147"/>
    </row>
    <row r="909" spans="1:13" s="148" customFormat="1" ht="16.5" hidden="1" customHeight="1">
      <c r="A909" s="110"/>
      <c r="B909" s="147" t="s">
        <v>1016</v>
      </c>
      <c r="C909" s="183">
        <v>1</v>
      </c>
      <c r="D909" s="205" t="s">
        <v>268</v>
      </c>
      <c r="E909" s="156">
        <v>5</v>
      </c>
      <c r="F909" s="157">
        <v>1.52</v>
      </c>
      <c r="G909" s="157">
        <v>0.23</v>
      </c>
      <c r="H909" s="157">
        <v>0</v>
      </c>
      <c r="I909" s="207">
        <f>ROUND(IF(AND(F909:H909),C909*E909*F909*G909*H909,IF(AND(F909,G909),C909*E909*F909*G909,IF(AND(F909,H909),C909*E909*F909*H909,IF(AND(G909,H909),C909*E909*G909*H909,IF(F909,C909*E909*F909,IF(G909,C909*E909*G909,IF(H909,C909*E909*H909,C909*E909))))))),2)</f>
        <v>1.75</v>
      </c>
      <c r="J909" s="195" t="s">
        <v>102</v>
      </c>
      <c r="K909" s="147"/>
      <c r="L909" s="210"/>
      <c r="M909" s="147"/>
    </row>
    <row r="910" spans="1:13" s="148" customFormat="1" ht="16.5" hidden="1" customHeight="1">
      <c r="A910" s="110"/>
      <c r="B910" s="147"/>
      <c r="C910" s="183">
        <v>1</v>
      </c>
      <c r="D910" s="205" t="s">
        <v>268</v>
      </c>
      <c r="E910" s="156">
        <v>4</v>
      </c>
      <c r="F910" s="157">
        <v>1.83</v>
      </c>
      <c r="G910" s="157">
        <v>0.23</v>
      </c>
      <c r="H910" s="157">
        <v>0</v>
      </c>
      <c r="I910" s="207">
        <f>ROUND(IF(AND(F910:H910),C910*E910*F910*G910*H910,IF(AND(F910,G910),C910*E910*F910*G910,IF(AND(F910,H910),C910*E910*F910*H910,IF(AND(G910,H910),C910*E910*G910*H910,IF(F910,C910*E910*F910,IF(G910,C910*E910*G910,IF(H910,C910*E910*H910,C910*E910))))))),2)</f>
        <v>1.68</v>
      </c>
      <c r="J910" s="195" t="s">
        <v>102</v>
      </c>
      <c r="K910" s="147"/>
      <c r="L910" s="210"/>
      <c r="M910" s="147"/>
    </row>
    <row r="911" spans="1:13" s="148" customFormat="1" ht="16.5" hidden="1" customHeight="1">
      <c r="A911" s="110"/>
      <c r="B911" s="147" t="s">
        <v>1295</v>
      </c>
      <c r="C911" s="183"/>
      <c r="D911" s="205"/>
      <c r="E911" s="156"/>
      <c r="F911" s="157"/>
      <c r="G911" s="157"/>
      <c r="H911" s="157"/>
      <c r="I911" s="206"/>
      <c r="J911" s="195"/>
      <c r="K911" s="147"/>
      <c r="L911" s="210"/>
      <c r="M911" s="147"/>
    </row>
    <row r="912" spans="1:13" s="148" customFormat="1" ht="16.5" hidden="1" customHeight="1">
      <c r="A912" s="110"/>
      <c r="B912" s="147" t="s">
        <v>1016</v>
      </c>
      <c r="C912" s="183">
        <v>1</v>
      </c>
      <c r="D912" s="205" t="s">
        <v>268</v>
      </c>
      <c r="E912" s="156">
        <v>8</v>
      </c>
      <c r="F912" s="157">
        <v>1.52</v>
      </c>
      <c r="G912" s="157">
        <v>0.23</v>
      </c>
      <c r="H912" s="157">
        <v>0</v>
      </c>
      <c r="I912" s="207">
        <f>ROUND(IF(AND(F912:H912),C912*E912*F912*G912*H912,IF(AND(F912,G912),C912*E912*F912*G912,IF(AND(F912,H912),C912*E912*F912*H912,IF(AND(G912,H912),C912*E912*G912*H912,IF(F912,C912*E912*F912,IF(G912,C912*E912*G912,IF(H912,C912*E912*H912,C912*E912))))))),2)</f>
        <v>2.8</v>
      </c>
      <c r="J912" s="195" t="s">
        <v>102</v>
      </c>
      <c r="K912" s="147"/>
      <c r="L912" s="210"/>
      <c r="M912" s="147"/>
    </row>
    <row r="913" spans="1:13" s="148" customFormat="1" ht="16.5" hidden="1" customHeight="1">
      <c r="A913" s="110"/>
      <c r="B913" s="147" t="s">
        <v>1293</v>
      </c>
      <c r="C913" s="183"/>
      <c r="D913" s="205"/>
      <c r="E913" s="156"/>
      <c r="F913" s="157"/>
      <c r="G913" s="157"/>
      <c r="H913" s="157"/>
      <c r="I913" s="206"/>
      <c r="J913" s="195"/>
      <c r="K913" s="147"/>
      <c r="L913" s="210"/>
      <c r="M913" s="147"/>
    </row>
    <row r="914" spans="1:13" s="148" customFormat="1" ht="16.5" hidden="1" customHeight="1">
      <c r="A914" s="110"/>
      <c r="B914" s="147" t="s">
        <v>1029</v>
      </c>
      <c r="C914" s="183">
        <v>1</v>
      </c>
      <c r="D914" s="205" t="s">
        <v>268</v>
      </c>
      <c r="E914" s="156">
        <v>1</v>
      </c>
      <c r="F914" s="157">
        <v>2.7</v>
      </c>
      <c r="G914" s="157">
        <v>1.52</v>
      </c>
      <c r="H914" s="157">
        <v>0</v>
      </c>
      <c r="I914" s="207">
        <f>ROUND(IF(AND(F914:H914),C914*E914*F914*G914*H914,IF(AND(F914,G914),C914*E914*F914*G914,IF(AND(F914,H914),C914*E914*F914*H914,IF(AND(G914,H914),C914*E914*G914*H914,IF(F914,C914*E914*F914,IF(G914,C914*E914*G914,IF(H914,C914*E914*H914,C914*E914))))))),2)</f>
        <v>4.0999999999999996</v>
      </c>
      <c r="J914" s="195" t="s">
        <v>102</v>
      </c>
      <c r="K914" s="147"/>
      <c r="L914" s="210"/>
      <c r="M914" s="147"/>
    </row>
    <row r="915" spans="1:13" s="148" customFormat="1" ht="16.5" hidden="1" customHeight="1">
      <c r="A915" s="110"/>
      <c r="B915" s="147" t="s">
        <v>1030</v>
      </c>
      <c r="C915" s="183">
        <v>1</v>
      </c>
      <c r="D915" s="205" t="s">
        <v>268</v>
      </c>
      <c r="E915" s="156">
        <v>1</v>
      </c>
      <c r="F915" s="157">
        <v>1.4</v>
      </c>
      <c r="G915" s="157">
        <v>1.4</v>
      </c>
      <c r="H915" s="157">
        <v>0</v>
      </c>
      <c r="I915" s="207">
        <f>ROUND(IF(AND(F915:H915),C915*E915*F915*G915*H915,IF(AND(F915,G915),C915*E915*F915*G915,IF(AND(F915,H915),C915*E915*F915*H915,IF(AND(G915,H915),C915*E915*G915*H915,IF(F915,C915*E915*F915,IF(G915,C915*E915*G915,IF(H915,C915*E915*H915,C915*E915))))))),2)</f>
        <v>1.96</v>
      </c>
      <c r="J915" s="195" t="s">
        <v>102</v>
      </c>
      <c r="K915" s="147"/>
      <c r="L915" s="210"/>
      <c r="M915" s="147"/>
    </row>
    <row r="916" spans="1:13" s="148" customFormat="1" ht="16.5" hidden="1" customHeight="1">
      <c r="A916" s="110"/>
      <c r="B916" s="149"/>
      <c r="C916" s="150"/>
      <c r="D916" s="151"/>
      <c r="E916" s="152"/>
      <c r="F916" s="153"/>
      <c r="G916" s="153"/>
      <c r="H916" s="153"/>
      <c r="I916" s="185"/>
      <c r="J916" s="195"/>
      <c r="K916" s="147"/>
      <c r="L916" s="210"/>
      <c r="M916" s="147"/>
    </row>
    <row r="917" spans="1:13" hidden="1">
      <c r="A917" s="110"/>
      <c r="B917" s="147"/>
      <c r="C917" s="154"/>
      <c r="D917" s="155"/>
      <c r="E917" s="156"/>
      <c r="F917" s="157"/>
      <c r="G917" s="158"/>
      <c r="H917" s="110"/>
      <c r="I917" s="185"/>
      <c r="J917" s="195" t="s">
        <v>102</v>
      </c>
      <c r="K917" s="12">
        <f>'DATA 2025-26'!G274</f>
        <v>683.77</v>
      </c>
      <c r="L917" s="210" t="s">
        <v>270</v>
      </c>
      <c r="M917" s="11">
        <f>ROUND(I917*K917,0)</f>
        <v>0</v>
      </c>
    </row>
    <row r="918" spans="1:13" ht="17.25" hidden="1" customHeight="1">
      <c r="A918" s="110">
        <v>14</v>
      </c>
      <c r="B918" s="964" t="s">
        <v>568</v>
      </c>
      <c r="C918" s="964"/>
      <c r="D918" s="964"/>
      <c r="E918" s="964"/>
      <c r="F918" s="964"/>
      <c r="G918" s="964"/>
      <c r="H918" s="964"/>
      <c r="I918" s="183"/>
      <c r="J918" s="186"/>
      <c r="K918" s="110"/>
      <c r="L918" s="210"/>
      <c r="M918" s="139"/>
    </row>
    <row r="919" spans="1:13" s="148" customFormat="1" ht="16.5" hidden="1" customHeight="1">
      <c r="A919" s="110"/>
      <c r="B919" s="147" t="s">
        <v>1305</v>
      </c>
      <c r="C919" s="183"/>
      <c r="D919" s="205"/>
      <c r="E919" s="156"/>
      <c r="F919" s="157"/>
      <c r="G919" s="157"/>
      <c r="H919" s="157"/>
      <c r="I919" s="206"/>
      <c r="J919" s="195"/>
      <c r="K919" s="147"/>
      <c r="L919" s="210"/>
      <c r="M919" s="147"/>
    </row>
    <row r="920" spans="1:13" s="148" customFormat="1" ht="16.5" hidden="1" customHeight="1">
      <c r="A920" s="110"/>
      <c r="B920" s="147" t="s">
        <v>819</v>
      </c>
      <c r="C920" s="183">
        <v>1</v>
      </c>
      <c r="D920" s="205" t="s">
        <v>268</v>
      </c>
      <c r="E920" s="156">
        <v>2</v>
      </c>
      <c r="F920" s="157">
        <v>2.59</v>
      </c>
      <c r="G920" s="157">
        <v>0.23</v>
      </c>
      <c r="H920" s="157">
        <v>0.15</v>
      </c>
      <c r="I920" s="207">
        <f>ROUND(IF(AND(F920:H920),C920*E920*F920*G920*H920,IF(AND(F920,G920),C920*E920*F920*G920,IF(AND(F920,H920),C920*E920*F920*H920,IF(AND(G920,H920),C920*E920*G920*H920,IF(F920,C920*E920*F920,IF(G920,C920*E920*G920,IF(H920,C920*E920*H920,C920*E920))))))),2)</f>
        <v>0.18</v>
      </c>
      <c r="J920" s="195" t="s">
        <v>5</v>
      </c>
      <c r="K920" s="147"/>
      <c r="L920" s="210"/>
      <c r="M920" s="147"/>
    </row>
    <row r="921" spans="1:13" s="148" customFormat="1" ht="16.5" hidden="1" customHeight="1">
      <c r="A921" s="110"/>
      <c r="B921" s="147"/>
      <c r="C921" s="183">
        <v>1</v>
      </c>
      <c r="D921" s="205" t="s">
        <v>268</v>
      </c>
      <c r="E921" s="156">
        <v>2</v>
      </c>
      <c r="F921" s="157">
        <v>2.78</v>
      </c>
      <c r="G921" s="157">
        <v>0.23</v>
      </c>
      <c r="H921" s="157">
        <v>0.15</v>
      </c>
      <c r="I921" s="207">
        <f>ROUND(IF(AND(F921:H921),C921*E921*F921*G921*H921,IF(AND(F921,G921),C921*E921*F921*G921,IF(AND(F921,H921),C921*E921*F921*H921,IF(AND(G921,H921),C921*E921*G921*H921,IF(F921,C921*E921*F921,IF(G921,C921*E921*G921,IF(H921,C921*E921*H921,C921*E921))))))),2)</f>
        <v>0.19</v>
      </c>
      <c r="J921" s="195" t="s">
        <v>5</v>
      </c>
      <c r="K921" s="147"/>
      <c r="L921" s="210"/>
      <c r="M921" s="147"/>
    </row>
    <row r="922" spans="1:13" s="148" customFormat="1" ht="16.5" hidden="1" customHeight="1">
      <c r="A922" s="110"/>
      <c r="B922" s="147"/>
      <c r="C922" s="183">
        <v>1</v>
      </c>
      <c r="D922" s="205" t="s">
        <v>268</v>
      </c>
      <c r="E922" s="156">
        <v>1</v>
      </c>
      <c r="F922" s="157">
        <v>4.99</v>
      </c>
      <c r="G922" s="157">
        <v>0.23</v>
      </c>
      <c r="H922" s="157">
        <v>0.15</v>
      </c>
      <c r="I922" s="207">
        <f>ROUND(IF(AND(F922:H922),C922*E922*F922*G922*H922,IF(AND(F922,G922),C922*E922*F922*G922,IF(AND(F922,H922),C922*E922*F922*H922,IF(AND(G922,H922),C922*E922*G922*H922,IF(F922,C922*E922*F922,IF(G922,C922*E922*G922,IF(H922,C922*E922*H922,C922*E922))))))),2)</f>
        <v>0.17</v>
      </c>
      <c r="J922" s="195" t="s">
        <v>5</v>
      </c>
      <c r="K922" s="147"/>
      <c r="L922" s="210"/>
      <c r="M922" s="147"/>
    </row>
    <row r="923" spans="1:13" s="148" customFormat="1" ht="16.5" hidden="1" customHeight="1">
      <c r="A923" s="110"/>
      <c r="B923" s="147"/>
      <c r="C923" s="183">
        <v>1</v>
      </c>
      <c r="D923" s="205" t="s">
        <v>268</v>
      </c>
      <c r="E923" s="156">
        <v>1</v>
      </c>
      <c r="F923" s="157">
        <v>2.72</v>
      </c>
      <c r="G923" s="157">
        <v>0.23</v>
      </c>
      <c r="H923" s="157">
        <v>0.15</v>
      </c>
      <c r="I923" s="207">
        <f>ROUND(IF(AND(F923:H923),C923*E923*F923*G923*H923,IF(AND(F923,G923),C923*E923*F923*G923,IF(AND(F923,H923),C923*E923*F923*H923,IF(AND(G923,H923),C923*E923*G923*H923,IF(F923,C923*E923*F923,IF(G923,C923*E923*G923,IF(H923,C923*E923*H923,C923*E923))))))),2)</f>
        <v>0.09</v>
      </c>
      <c r="J923" s="195" t="s">
        <v>5</v>
      </c>
      <c r="K923" s="147"/>
      <c r="L923" s="210"/>
      <c r="M923" s="147"/>
    </row>
    <row r="924" spans="1:13" s="148" customFormat="1" ht="16.5" hidden="1" customHeight="1">
      <c r="A924" s="110"/>
      <c r="B924" s="149"/>
      <c r="C924" s="150"/>
      <c r="D924" s="151"/>
      <c r="E924" s="152"/>
      <c r="F924" s="157"/>
      <c r="G924" s="157"/>
      <c r="H924" s="157"/>
      <c r="I924" s="185"/>
      <c r="J924" s="195"/>
      <c r="K924" s="147"/>
      <c r="L924" s="210"/>
      <c r="M924" s="147"/>
    </row>
    <row r="925" spans="1:13" hidden="1">
      <c r="A925" s="110"/>
      <c r="B925" s="147"/>
      <c r="C925" s="154"/>
      <c r="D925" s="155"/>
      <c r="E925" s="156"/>
      <c r="F925" s="157"/>
      <c r="G925" s="158"/>
      <c r="H925" s="110"/>
      <c r="I925" s="185"/>
      <c r="J925" s="195" t="s">
        <v>5</v>
      </c>
      <c r="K925" s="12">
        <f>'DATA 2025-26'!G173</f>
        <v>14412.61</v>
      </c>
      <c r="L925" s="210" t="s">
        <v>269</v>
      </c>
      <c r="M925" s="11">
        <f>ROUND(I925*K925,0)</f>
        <v>0</v>
      </c>
    </row>
    <row r="926" spans="1:13" ht="17.25" hidden="1" customHeight="1">
      <c r="A926" s="110">
        <v>15</v>
      </c>
      <c r="B926" s="964" t="s">
        <v>636</v>
      </c>
      <c r="C926" s="964"/>
      <c r="D926" s="964"/>
      <c r="E926" s="964"/>
      <c r="F926" s="964"/>
      <c r="G926" s="964"/>
      <c r="H926" s="964"/>
      <c r="I926" s="183"/>
      <c r="J926" s="186"/>
      <c r="K926" s="110"/>
      <c r="L926" s="210"/>
      <c r="M926" s="139"/>
    </row>
    <row r="927" spans="1:13" s="148" customFormat="1" ht="16.5" hidden="1" customHeight="1">
      <c r="A927" s="110"/>
      <c r="B927" s="147" t="s">
        <v>1306</v>
      </c>
      <c r="C927" s="183"/>
      <c r="D927" s="205"/>
      <c r="E927" s="156"/>
      <c r="F927" s="157"/>
      <c r="G927" s="157"/>
      <c r="H927" s="157"/>
      <c r="I927" s="206"/>
      <c r="J927" s="195"/>
      <c r="K927" s="147"/>
      <c r="L927" s="210"/>
      <c r="M927" s="147"/>
    </row>
    <row r="928" spans="1:13" s="148" customFormat="1" ht="16.5" hidden="1" customHeight="1">
      <c r="A928" s="110"/>
      <c r="B928" s="147"/>
      <c r="C928" s="183">
        <v>1</v>
      </c>
      <c r="D928" s="205" t="s">
        <v>268</v>
      </c>
      <c r="E928" s="156">
        <v>6</v>
      </c>
      <c r="F928" s="157">
        <v>1.82</v>
      </c>
      <c r="G928" s="157">
        <v>0</v>
      </c>
      <c r="H928" s="157">
        <v>0</v>
      </c>
      <c r="I928" s="207">
        <f>ROUND(IF(AND(F928:H928),C928*E928*F928*G928*H928,IF(AND(F928,G928),C928*E928*F928*G928,IF(AND(F928,H928),C928*E928*F928*H928,IF(AND(G928,H928),C928*E928*G928*H928,IF(F928,C928*E928*F928,IF(G928,C928*E928*G928,IF(H928,C928*E928*H928,C928*E928))))))),2)</f>
        <v>10.92</v>
      </c>
      <c r="J928" s="195" t="s">
        <v>274</v>
      </c>
      <c r="K928" s="147"/>
      <c r="L928" s="210"/>
      <c r="M928" s="147"/>
    </row>
    <row r="929" spans="1:13" s="148" customFormat="1" ht="16.5" hidden="1" customHeight="1">
      <c r="A929" s="110"/>
      <c r="B929" s="149"/>
      <c r="C929" s="150"/>
      <c r="D929" s="151"/>
      <c r="E929" s="152"/>
      <c r="F929" s="153"/>
      <c r="G929" s="153"/>
      <c r="H929" s="153"/>
      <c r="I929" s="185"/>
      <c r="J929" s="195"/>
      <c r="K929" s="147"/>
      <c r="L929" s="210"/>
      <c r="M929" s="147"/>
    </row>
    <row r="930" spans="1:13" hidden="1">
      <c r="A930" s="110"/>
      <c r="B930" s="147"/>
      <c r="C930" s="154"/>
      <c r="D930" s="155"/>
      <c r="E930" s="156"/>
      <c r="F930" s="157"/>
      <c r="G930" s="158"/>
      <c r="H930" s="110"/>
      <c r="I930" s="185"/>
      <c r="J930" s="195" t="s">
        <v>274</v>
      </c>
      <c r="K930" s="12">
        <f>'DATA 2025-26'!G244</f>
        <v>1124.78</v>
      </c>
      <c r="L930" s="210" t="s">
        <v>276</v>
      </c>
      <c r="M930" s="11">
        <f>ROUND(I930*K930,0)</f>
        <v>0</v>
      </c>
    </row>
    <row r="931" spans="1:13" ht="64.5" hidden="1" customHeight="1">
      <c r="A931" s="110">
        <v>3</v>
      </c>
      <c r="B931" s="964" t="s">
        <v>144</v>
      </c>
      <c r="C931" s="964"/>
      <c r="D931" s="964"/>
      <c r="E931" s="964"/>
      <c r="F931" s="964"/>
      <c r="G931" s="964"/>
      <c r="H931" s="964"/>
      <c r="I931" s="183"/>
      <c r="J931" s="186"/>
      <c r="K931" s="110"/>
      <c r="L931" s="210"/>
      <c r="M931" s="139"/>
    </row>
    <row r="932" spans="1:13" s="148" customFormat="1" ht="16.5" hidden="1" customHeight="1">
      <c r="A932" s="110"/>
      <c r="B932" s="147" t="s">
        <v>1395</v>
      </c>
      <c r="C932" s="183"/>
      <c r="D932" s="205"/>
      <c r="E932" s="156"/>
      <c r="F932" s="157"/>
      <c r="G932" s="157"/>
      <c r="H932" s="157"/>
      <c r="I932" s="206"/>
      <c r="J932" s="195"/>
      <c r="K932" s="147"/>
      <c r="L932" s="110"/>
      <c r="M932" s="147"/>
    </row>
    <row r="933" spans="1:13" s="148" customFormat="1" ht="16.5" hidden="1" customHeight="1">
      <c r="A933" s="110"/>
      <c r="B933" s="147" t="s">
        <v>1365</v>
      </c>
      <c r="C933" s="183">
        <v>1</v>
      </c>
      <c r="D933" s="205" t="s">
        <v>268</v>
      </c>
      <c r="E933" s="156">
        <v>1</v>
      </c>
      <c r="F933" s="157">
        <v>4.3499999999999996</v>
      </c>
      <c r="G933" s="157">
        <v>4.2</v>
      </c>
      <c r="H933" s="157">
        <v>0</v>
      </c>
      <c r="I933" s="207">
        <f>ROUND(IF(AND(F933:H933),C933*E933*F933*G933*H933,IF(AND(F933,G933),C933*E933*F933*G933,IF(AND(F933,H933),C933*E933*F933*H933,IF(AND(G933,H933),C933*E933*G933*H933,IF(F933,C933*E933*F933,IF(G933,C933*E933*G933,IF(H933,C933*E933*H933,C933*E933))))))),2)</f>
        <v>18.27</v>
      </c>
      <c r="J933" s="195" t="s">
        <v>102</v>
      </c>
      <c r="K933" s="147"/>
      <c r="L933" s="110"/>
      <c r="M933" s="147"/>
    </row>
    <row r="934" spans="1:13" s="148" customFormat="1" ht="16.5" hidden="1" customHeight="1">
      <c r="A934" s="110"/>
      <c r="B934" s="149"/>
      <c r="C934" s="150"/>
      <c r="D934" s="151"/>
      <c r="E934" s="152"/>
      <c r="F934" s="153"/>
      <c r="G934" s="153"/>
      <c r="H934" s="153"/>
      <c r="I934" s="185"/>
      <c r="J934" s="195"/>
      <c r="K934" s="147"/>
      <c r="L934" s="210"/>
      <c r="M934" s="147"/>
    </row>
    <row r="935" spans="1:13" hidden="1">
      <c r="A935" s="110"/>
      <c r="B935" s="147"/>
      <c r="C935" s="154"/>
      <c r="D935" s="155"/>
      <c r="E935" s="156"/>
      <c r="F935" s="157"/>
      <c r="G935" s="158"/>
      <c r="H935" s="110"/>
      <c r="I935" s="185"/>
      <c r="J935" s="195" t="s">
        <v>102</v>
      </c>
      <c r="K935" s="12">
        <f>'DATA 2025-26'!G611</f>
        <v>499.37</v>
      </c>
      <c r="L935" s="210" t="s">
        <v>270</v>
      </c>
      <c r="M935" s="11">
        <f>ROUND(I935*K935,0)</f>
        <v>0</v>
      </c>
    </row>
    <row r="936" spans="1:13" ht="64.5" hidden="1" customHeight="1">
      <c r="A936" s="110">
        <v>13</v>
      </c>
      <c r="B936" s="964" t="s">
        <v>1114</v>
      </c>
      <c r="C936" s="964"/>
      <c r="D936" s="964"/>
      <c r="E936" s="964"/>
      <c r="F936" s="964"/>
      <c r="G936" s="964"/>
      <c r="H936" s="964"/>
      <c r="I936" s="183"/>
      <c r="J936" s="186"/>
      <c r="K936" s="110"/>
      <c r="L936" s="210"/>
      <c r="M936" s="139"/>
    </row>
    <row r="937" spans="1:13" s="148" customFormat="1" ht="16.5" hidden="1" customHeight="1">
      <c r="A937" s="110"/>
      <c r="B937" s="147" t="s">
        <v>1307</v>
      </c>
      <c r="C937" s="183"/>
      <c r="D937" s="205"/>
      <c r="E937" s="156"/>
      <c r="F937" s="157"/>
      <c r="G937" s="157"/>
      <c r="H937" s="157"/>
      <c r="I937" s="206"/>
      <c r="J937" s="195"/>
      <c r="K937" s="147"/>
      <c r="L937" s="210"/>
      <c r="M937" s="147"/>
    </row>
    <row r="938" spans="1:13" s="148" customFormat="1" ht="16.5" hidden="1" customHeight="1">
      <c r="A938" s="110"/>
      <c r="B938" s="147"/>
      <c r="C938" s="183">
        <v>1</v>
      </c>
      <c r="D938" s="205" t="s">
        <v>268</v>
      </c>
      <c r="E938" s="156">
        <v>1</v>
      </c>
      <c r="F938" s="157">
        <v>10.45</v>
      </c>
      <c r="G938" s="157">
        <v>12</v>
      </c>
      <c r="H938" s="157">
        <v>0</v>
      </c>
      <c r="I938" s="207">
        <f>ROUND(IF(AND(F938:H938),C938*E938*F938*G938*H938,IF(AND(F938,G938),C938*E938*F938*G938,IF(AND(F938,H938),C938*E938*F938*H938,IF(AND(G938,H938),C938*E938*G938*H938,IF(F938,C938*E938*F938,IF(G938,C938*E938*G938,IF(H938,C938*E938*H938,C938*E938))))))),2)</f>
        <v>125.4</v>
      </c>
      <c r="J938" s="195" t="s">
        <v>102</v>
      </c>
      <c r="K938" s="147"/>
      <c r="L938" s="210"/>
      <c r="M938" s="147"/>
    </row>
    <row r="939" spans="1:13" s="148" customFormat="1" ht="16.5" hidden="1" customHeight="1">
      <c r="A939" s="110"/>
      <c r="B939" s="147"/>
      <c r="C939" s="183">
        <v>1</v>
      </c>
      <c r="D939" s="205" t="s">
        <v>268</v>
      </c>
      <c r="E939" s="156">
        <v>1</v>
      </c>
      <c r="F939" s="157">
        <v>3.52</v>
      </c>
      <c r="G939" s="157">
        <v>0.92</v>
      </c>
      <c r="H939" s="157">
        <v>0</v>
      </c>
      <c r="I939" s="207">
        <f>ROUND(IF(AND(F939:H939),C939*E939*F939*G939*H939,IF(AND(F939,G939),C939*E939*F939*G939,IF(AND(F939,H939),C939*E939*F939*H939,IF(AND(G939,H939),C939*E939*G939*H939,IF(F939,C939*E939*F939,IF(G939,C939*E939*G939,IF(H939,C939*E939*H939,C939*E939))))))),2)</f>
        <v>3.24</v>
      </c>
      <c r="J939" s="195" t="s">
        <v>102</v>
      </c>
      <c r="K939" s="147"/>
      <c r="L939" s="210"/>
      <c r="M939" s="147"/>
    </row>
    <row r="940" spans="1:13" s="148" customFormat="1" ht="16.5" hidden="1" customHeight="1">
      <c r="A940" s="110"/>
      <c r="B940" s="149"/>
      <c r="C940" s="150"/>
      <c r="D940" s="151"/>
      <c r="E940" s="152"/>
      <c r="F940" s="153"/>
      <c r="G940" s="153"/>
      <c r="H940" s="153"/>
      <c r="I940" s="185"/>
      <c r="J940" s="195"/>
      <c r="K940" s="147"/>
      <c r="L940" s="210"/>
      <c r="M940" s="147"/>
    </row>
    <row r="941" spans="1:13" hidden="1">
      <c r="A941" s="110"/>
      <c r="B941" s="147"/>
      <c r="C941" s="154"/>
      <c r="D941" s="155"/>
      <c r="E941" s="156"/>
      <c r="F941" s="157"/>
      <c r="G941" s="158"/>
      <c r="H941" s="110"/>
      <c r="I941" s="185"/>
      <c r="J941" s="195" t="s">
        <v>102</v>
      </c>
      <c r="K941" s="12">
        <f>'DATA 2025-26'!G626</f>
        <v>521.59</v>
      </c>
      <c r="L941" s="210" t="s">
        <v>270</v>
      </c>
      <c r="M941" s="11">
        <f>ROUND(I941*K941,0)</f>
        <v>0</v>
      </c>
    </row>
    <row r="942" spans="1:13" ht="69.75" hidden="1" customHeight="1">
      <c r="A942" s="110">
        <v>15</v>
      </c>
      <c r="B942" s="964" t="s">
        <v>301</v>
      </c>
      <c r="C942" s="964"/>
      <c r="D942" s="964"/>
      <c r="E942" s="964"/>
      <c r="F942" s="964"/>
      <c r="G942" s="964"/>
      <c r="H942" s="964"/>
      <c r="I942" s="183"/>
      <c r="J942" s="186"/>
      <c r="K942" s="110"/>
      <c r="L942" s="210"/>
      <c r="M942" s="139"/>
    </row>
    <row r="943" spans="1:13" s="148" customFormat="1" ht="16.5" hidden="1" customHeight="1">
      <c r="A943" s="110"/>
      <c r="B943" s="147" t="s">
        <v>1290</v>
      </c>
      <c r="C943" s="183"/>
      <c r="D943" s="205"/>
      <c r="E943" s="156"/>
      <c r="F943" s="157"/>
      <c r="G943" s="157"/>
      <c r="H943" s="157"/>
      <c r="I943" s="206"/>
      <c r="J943" s="195"/>
      <c r="K943" s="147"/>
      <c r="L943" s="210"/>
      <c r="M943" s="147"/>
    </row>
    <row r="944" spans="1:13" s="148" customFormat="1" ht="16.5" hidden="1" customHeight="1">
      <c r="A944" s="110"/>
      <c r="B944" s="147" t="s">
        <v>752</v>
      </c>
      <c r="C944" s="183">
        <v>1</v>
      </c>
      <c r="D944" s="205" t="s">
        <v>268</v>
      </c>
      <c r="E944" s="156">
        <v>1</v>
      </c>
      <c r="F944" s="157">
        <v>12.73</v>
      </c>
      <c r="G944" s="157">
        <v>0.45</v>
      </c>
      <c r="H944" s="157">
        <v>1.3</v>
      </c>
      <c r="I944" s="207">
        <f>ROUND(IF(AND(F944:H944),C944*E944*F944*G944*H944,IF(AND(F944,G944),C944*E944*F944*G944,IF(AND(F944,H944),C944*E944*F944*H944,IF(AND(G944,H944),C944*E944*G944*H944,IF(F944,C944*E944*F944,IF(G944,C944*E944*G944,IF(H944,C944*E944*H944,C944*E944))))))),2)</f>
        <v>7.45</v>
      </c>
      <c r="J944" s="195" t="s">
        <v>5</v>
      </c>
      <c r="K944" s="147"/>
      <c r="L944" s="210"/>
      <c r="M944" s="147"/>
    </row>
    <row r="945" spans="1:13" s="148" customFormat="1" ht="16.5" hidden="1" customHeight="1">
      <c r="A945" s="110"/>
      <c r="B945" s="147" t="s">
        <v>949</v>
      </c>
      <c r="C945" s="183">
        <v>1</v>
      </c>
      <c r="D945" s="205" t="s">
        <v>268</v>
      </c>
      <c r="E945" s="156">
        <v>1</v>
      </c>
      <c r="F945" s="157">
        <v>12.73</v>
      </c>
      <c r="G945" s="157">
        <v>0.45</v>
      </c>
      <c r="H945" s="157">
        <v>1.3</v>
      </c>
      <c r="I945" s="207">
        <f>ROUND(IF(AND(F945:H945),C945*E945*F945*G945*H945,IF(AND(F945,G945),C945*E945*F945*G945,IF(AND(F945,H945),C945*E945*F945*H945,IF(AND(G945,H945),C945*E945*G945*H945,IF(F945,C945*E945*F945,IF(G945,C945*E945*G945,IF(H945,C945*E945*H945,C945*E945))))))),2)</f>
        <v>7.45</v>
      </c>
      <c r="J945" s="195" t="s">
        <v>5</v>
      </c>
      <c r="K945" s="147"/>
      <c r="L945" s="210"/>
      <c r="M945" s="147"/>
    </row>
    <row r="946" spans="1:13" s="148" customFormat="1" ht="16.5" hidden="1" customHeight="1">
      <c r="A946" s="110"/>
      <c r="B946" s="147" t="s">
        <v>753</v>
      </c>
      <c r="C946" s="183">
        <v>1</v>
      </c>
      <c r="D946" s="205" t="s">
        <v>268</v>
      </c>
      <c r="E946" s="156">
        <v>1</v>
      </c>
      <c r="F946" s="157">
        <v>8.3800000000000008</v>
      </c>
      <c r="G946" s="157">
        <v>0.45</v>
      </c>
      <c r="H946" s="157">
        <v>1.3</v>
      </c>
      <c r="I946" s="207">
        <f>ROUND(IF(AND(F946:H946),C946*E946*F946*G946*H946,IF(AND(F946,G946),C946*E946*F946*G946,IF(AND(F946,H946),C946*E946*F946*H946,IF(AND(G946,H946),C946*E946*G946*H946,IF(F946,C946*E946*F946,IF(G946,C946*E946*G946,IF(H946,C946*E946*H946,C946*E946))))))),2)</f>
        <v>4.9000000000000004</v>
      </c>
      <c r="J946" s="195" t="s">
        <v>5</v>
      </c>
      <c r="K946" s="147"/>
      <c r="L946" s="210"/>
      <c r="M946" s="147"/>
    </row>
    <row r="947" spans="1:13" s="148" customFormat="1" ht="16.5" hidden="1" customHeight="1">
      <c r="A947" s="110"/>
      <c r="B947" s="147" t="s">
        <v>754</v>
      </c>
      <c r="C947" s="183">
        <v>1</v>
      </c>
      <c r="D947" s="205" t="s">
        <v>268</v>
      </c>
      <c r="E947" s="156">
        <v>1</v>
      </c>
      <c r="F947" s="157">
        <v>8.3800000000000008</v>
      </c>
      <c r="G947" s="157">
        <v>0.45</v>
      </c>
      <c r="H947" s="157">
        <v>1.3</v>
      </c>
      <c r="I947" s="207">
        <f>ROUND(IF(AND(F947:H947),C947*E947*F947*G947*H947,IF(AND(F947,G947),C947*E947*F947*G947,IF(AND(F947,H947),C947*E947*F947*H947,IF(AND(G947,H947),C947*E947*G947*H947,IF(F947,C947*E947*F947,IF(G947,C947*E947*G947,IF(H947,C947*E947*H947,C947*E947))))))),2)</f>
        <v>4.9000000000000004</v>
      </c>
      <c r="J947" s="195" t="s">
        <v>5</v>
      </c>
      <c r="K947" s="147"/>
      <c r="L947" s="210"/>
      <c r="M947" s="147"/>
    </row>
    <row r="948" spans="1:13" s="148" customFormat="1" ht="16.5" hidden="1" customHeight="1">
      <c r="A948" s="110"/>
      <c r="B948" s="147" t="s">
        <v>279</v>
      </c>
      <c r="C948" s="183">
        <v>1</v>
      </c>
      <c r="D948" s="205" t="s">
        <v>268</v>
      </c>
      <c r="E948" s="156">
        <v>8</v>
      </c>
      <c r="F948" s="157">
        <v>0.23</v>
      </c>
      <c r="G948" s="157">
        <v>0.38</v>
      </c>
      <c r="H948" s="157">
        <v>1.3</v>
      </c>
      <c r="I948" s="207">
        <f>-ROUND(IF(AND(F948:H948),C948*E948*F948*G948*H948,IF(AND(F948,G948),C948*E948*F948*G948,IF(AND(F948,H948),C948*E948*F948*H948,IF(AND(G948,H948),C948*E948*G948*H948,IF(F948,C948*E948*F948,IF(G948,C948*E948*G948,IF(H948,C948*E948*H948,C948*E948))))))),2)</f>
        <v>-0.91</v>
      </c>
      <c r="J948" s="195" t="s">
        <v>5</v>
      </c>
      <c r="K948" s="147"/>
      <c r="L948" s="210"/>
      <c r="M948" s="147"/>
    </row>
    <row r="949" spans="1:13" s="148" customFormat="1" ht="16.5" hidden="1" customHeight="1">
      <c r="A949" s="110"/>
      <c r="B949" s="147" t="s">
        <v>1308</v>
      </c>
      <c r="C949" s="183"/>
      <c r="D949" s="205"/>
      <c r="E949" s="156"/>
      <c r="F949" s="157"/>
      <c r="G949" s="157"/>
      <c r="H949" s="157"/>
      <c r="I949" s="206"/>
      <c r="J949" s="195"/>
      <c r="K949" s="147"/>
      <c r="L949" s="210"/>
      <c r="M949" s="147"/>
    </row>
    <row r="950" spans="1:13" s="148" customFormat="1" ht="16.5" hidden="1" customHeight="1">
      <c r="A950" s="110"/>
      <c r="B950" s="147" t="s">
        <v>755</v>
      </c>
      <c r="C950" s="183">
        <v>1</v>
      </c>
      <c r="D950" s="205" t="s">
        <v>268</v>
      </c>
      <c r="E950" s="156">
        <v>1</v>
      </c>
      <c r="F950" s="157">
        <v>5.45</v>
      </c>
      <c r="G950" s="157">
        <v>0.23</v>
      </c>
      <c r="H950" s="157">
        <v>1.05</v>
      </c>
      <c r="I950" s="207">
        <f t="shared" ref="I950:I956" si="83">ROUND(IF(AND(F950:H950),C950*E950*F950*G950*H950,IF(AND(F950,G950),C950*E950*F950*G950,IF(AND(F950,H950),C950*E950*F950*H950,IF(AND(G950,H950),C950*E950*G950*H950,IF(F950,C950*E950*F950,IF(G950,C950*E950*G950,IF(H950,C950*E950*H950,C950*E950))))))),2)</f>
        <v>1.32</v>
      </c>
      <c r="J950" s="195" t="s">
        <v>5</v>
      </c>
      <c r="K950" s="147"/>
      <c r="L950" s="210"/>
      <c r="M950" s="147"/>
    </row>
    <row r="951" spans="1:13" s="148" customFormat="1" ht="16.5" hidden="1" customHeight="1">
      <c r="A951" s="110"/>
      <c r="B951" s="147" t="s">
        <v>756</v>
      </c>
      <c r="C951" s="183">
        <v>1</v>
      </c>
      <c r="D951" s="205" t="s">
        <v>268</v>
      </c>
      <c r="E951" s="156">
        <v>1</v>
      </c>
      <c r="F951" s="157">
        <v>2.17</v>
      </c>
      <c r="G951" s="157">
        <v>0.23</v>
      </c>
      <c r="H951" s="157">
        <v>1.05</v>
      </c>
      <c r="I951" s="207">
        <f t="shared" si="83"/>
        <v>0.52</v>
      </c>
      <c r="J951" s="195" t="s">
        <v>5</v>
      </c>
      <c r="K951" s="147"/>
      <c r="L951" s="210"/>
      <c r="M951" s="147"/>
    </row>
    <row r="952" spans="1:13" s="148" customFormat="1" ht="16.5" hidden="1" customHeight="1">
      <c r="A952" s="110"/>
      <c r="B952" s="147"/>
      <c r="C952" s="183">
        <v>1</v>
      </c>
      <c r="D952" s="205" t="s">
        <v>268</v>
      </c>
      <c r="E952" s="156">
        <v>1</v>
      </c>
      <c r="F952" s="157">
        <v>2.17</v>
      </c>
      <c r="G952" s="157">
        <v>0.23</v>
      </c>
      <c r="H952" s="157">
        <v>1.05</v>
      </c>
      <c r="I952" s="207">
        <f t="shared" si="83"/>
        <v>0.52</v>
      </c>
      <c r="J952" s="195" t="s">
        <v>5</v>
      </c>
      <c r="K952" s="147"/>
      <c r="L952" s="210"/>
      <c r="M952" s="147"/>
    </row>
    <row r="953" spans="1:13" s="148" customFormat="1" ht="16.5" hidden="1" customHeight="1">
      <c r="A953" s="110"/>
      <c r="B953" s="147" t="s">
        <v>639</v>
      </c>
      <c r="C953" s="183">
        <v>1</v>
      </c>
      <c r="D953" s="205" t="s">
        <v>268</v>
      </c>
      <c r="E953" s="156">
        <v>1</v>
      </c>
      <c r="F953" s="157">
        <v>4</v>
      </c>
      <c r="G953" s="157">
        <v>0.23</v>
      </c>
      <c r="H953" s="157">
        <f>(1.05+0.4)/2</f>
        <v>0.72500000000000009</v>
      </c>
      <c r="I953" s="207">
        <f t="shared" si="83"/>
        <v>0.67</v>
      </c>
      <c r="J953" s="195" t="s">
        <v>5</v>
      </c>
      <c r="K953" s="147"/>
      <c r="L953" s="210"/>
      <c r="M953" s="147"/>
    </row>
    <row r="954" spans="1:13" s="148" customFormat="1" ht="16.5" hidden="1" customHeight="1">
      <c r="A954" s="110"/>
      <c r="B954" s="147" t="s">
        <v>757</v>
      </c>
      <c r="C954" s="183">
        <v>1</v>
      </c>
      <c r="D954" s="205" t="s">
        <v>268</v>
      </c>
      <c r="E954" s="156">
        <v>1</v>
      </c>
      <c r="F954" s="157">
        <v>5.45</v>
      </c>
      <c r="G954" s="157">
        <v>0.9</v>
      </c>
      <c r="H954" s="157">
        <v>0.35</v>
      </c>
      <c r="I954" s="207">
        <f t="shared" si="83"/>
        <v>1.72</v>
      </c>
      <c r="J954" s="195" t="s">
        <v>5</v>
      </c>
      <c r="K954" s="147"/>
      <c r="L954" s="210"/>
      <c r="M954" s="147"/>
    </row>
    <row r="955" spans="1:13" s="148" customFormat="1" ht="16.5" hidden="1" customHeight="1">
      <c r="A955" s="110"/>
      <c r="B955" s="147" t="s">
        <v>758</v>
      </c>
      <c r="C955" s="183">
        <v>1</v>
      </c>
      <c r="D955" s="205" t="s">
        <v>268</v>
      </c>
      <c r="E955" s="156">
        <v>1</v>
      </c>
      <c r="F955" s="157">
        <v>5.45</v>
      </c>
      <c r="G955" s="157">
        <v>0.6</v>
      </c>
      <c r="H955" s="157">
        <v>0.15</v>
      </c>
      <c r="I955" s="207">
        <f t="shared" si="83"/>
        <v>0.49</v>
      </c>
      <c r="J955" s="195" t="s">
        <v>5</v>
      </c>
      <c r="K955" s="147"/>
      <c r="L955" s="210"/>
      <c r="M955" s="147"/>
    </row>
    <row r="956" spans="1:13" s="148" customFormat="1" ht="16.5" hidden="1" customHeight="1">
      <c r="A956" s="110"/>
      <c r="B956" s="147" t="s">
        <v>759</v>
      </c>
      <c r="C956" s="183">
        <v>1</v>
      </c>
      <c r="D956" s="205" t="s">
        <v>268</v>
      </c>
      <c r="E956" s="156">
        <v>1</v>
      </c>
      <c r="F956" s="157">
        <v>5.45</v>
      </c>
      <c r="G956" s="157">
        <v>0.3</v>
      </c>
      <c r="H956" s="157">
        <v>0.15</v>
      </c>
      <c r="I956" s="207">
        <f t="shared" si="83"/>
        <v>0.25</v>
      </c>
      <c r="J956" s="195" t="s">
        <v>5</v>
      </c>
      <c r="K956" s="147"/>
      <c r="L956" s="210"/>
      <c r="M956" s="147"/>
    </row>
    <row r="957" spans="1:13" s="148" customFormat="1" ht="16.5" hidden="1" customHeight="1">
      <c r="A957" s="110"/>
      <c r="B957" s="149"/>
      <c r="C957" s="150"/>
      <c r="D957" s="151"/>
      <c r="E957" s="152"/>
      <c r="F957" s="153"/>
      <c r="G957" s="153"/>
      <c r="H957" s="153"/>
      <c r="I957" s="185"/>
      <c r="J957" s="195"/>
      <c r="K957" s="147"/>
      <c r="L957" s="210"/>
      <c r="M957" s="147"/>
    </row>
    <row r="958" spans="1:13" hidden="1">
      <c r="A958" s="110"/>
      <c r="B958" s="147"/>
      <c r="C958" s="154"/>
      <c r="D958" s="155"/>
      <c r="E958" s="156"/>
      <c r="F958" s="157"/>
      <c r="G958" s="158"/>
      <c r="H958" s="110"/>
      <c r="I958" s="185"/>
      <c r="J958" s="195" t="s">
        <v>5</v>
      </c>
      <c r="K958" s="12">
        <f>'DATA 2025-26'!G430</f>
        <v>9134.5899999999983</v>
      </c>
      <c r="L958" s="210" t="s">
        <v>269</v>
      </c>
      <c r="M958" s="11">
        <f>ROUND(I958*K958,0)</f>
        <v>0</v>
      </c>
    </row>
    <row r="959" spans="1:13" ht="69.75" hidden="1" customHeight="1">
      <c r="A959" s="110">
        <v>4</v>
      </c>
      <c r="B959" s="964" t="s">
        <v>637</v>
      </c>
      <c r="C959" s="964"/>
      <c r="D959" s="964"/>
      <c r="E959" s="964"/>
      <c r="F959" s="964"/>
      <c r="G959" s="964"/>
      <c r="H959" s="964"/>
      <c r="I959" s="183"/>
      <c r="J959" s="186"/>
      <c r="K959" s="110"/>
      <c r="L959" s="210"/>
      <c r="M959" s="139"/>
    </row>
    <row r="960" spans="1:13" s="148" customFormat="1" ht="16.5" hidden="1" customHeight="1">
      <c r="A960" s="110"/>
      <c r="B960" s="147" t="s">
        <v>1389</v>
      </c>
      <c r="C960" s="183"/>
      <c r="D960" s="205"/>
      <c r="E960" s="156"/>
      <c r="F960" s="157"/>
      <c r="G960" s="157"/>
      <c r="H960" s="157"/>
      <c r="I960" s="206"/>
      <c r="J960" s="195"/>
      <c r="K960" s="147"/>
      <c r="L960" s="110"/>
      <c r="M960" s="147"/>
    </row>
    <row r="961" spans="1:13" s="148" customFormat="1" ht="16.5" hidden="1" customHeight="1">
      <c r="A961" s="110"/>
      <c r="B961" s="147" t="s">
        <v>1386</v>
      </c>
      <c r="C961" s="183">
        <v>1</v>
      </c>
      <c r="D961" s="205" t="s">
        <v>268</v>
      </c>
      <c r="E961" s="156">
        <v>1</v>
      </c>
      <c r="F961" s="157">
        <v>12.68</v>
      </c>
      <c r="G961" s="157">
        <v>0.23</v>
      </c>
      <c r="H961" s="157">
        <v>2.4</v>
      </c>
      <c r="I961" s="207">
        <f>ROUND(IF(AND(F961:H961),C961*E961*F961*G961*H961,IF(AND(F961,G961),C961*E961*F961*G961,IF(AND(F961,H961),C961*E961*F961*H961,IF(AND(G961,H961),C961*E961*G961*H961,IF(F961,C961*E961*F961,IF(G961,C961*E961*G961,IF(H961,C961*E961*H961,C961*E961))))))),2)</f>
        <v>7</v>
      </c>
      <c r="J961" s="357" t="s">
        <v>5</v>
      </c>
      <c r="K961" s="147"/>
      <c r="L961" s="110"/>
      <c r="M961" s="147"/>
    </row>
    <row r="962" spans="1:13" s="148" customFormat="1" ht="16.5" hidden="1" customHeight="1">
      <c r="A962" s="110"/>
      <c r="B962" s="147" t="s">
        <v>1387</v>
      </c>
      <c r="C962" s="183">
        <v>1</v>
      </c>
      <c r="D962" s="205" t="s">
        <v>268</v>
      </c>
      <c r="E962" s="156">
        <v>4</v>
      </c>
      <c r="F962" s="157">
        <v>0.38</v>
      </c>
      <c r="G962" s="157">
        <v>0.23</v>
      </c>
      <c r="H962" s="157">
        <v>2.4</v>
      </c>
      <c r="I962" s="207">
        <f>-ROUND(IF(AND(F962:H962),C962*E962*F962*G962*H962,IF(AND(F962,G962),C962*E962*F962*G962,IF(AND(F962,H962),C962*E962*F962*H962,IF(AND(G962,H962),C962*E962*G962*H962,IF(F962,C962*E962*F962,IF(G962,C962*E962*G962,IF(H962,C962*E962*H962,C962*E962))))))),2)</f>
        <v>-0.84</v>
      </c>
      <c r="J962" s="357" t="s">
        <v>5</v>
      </c>
      <c r="K962" s="147"/>
      <c r="L962" s="110"/>
      <c r="M962" s="147"/>
    </row>
    <row r="963" spans="1:13" s="148" customFormat="1" ht="16.5" hidden="1" customHeight="1">
      <c r="A963" s="110"/>
      <c r="B963" s="147" t="s">
        <v>1388</v>
      </c>
      <c r="C963" s="183">
        <v>1</v>
      </c>
      <c r="D963" s="205" t="s">
        <v>268</v>
      </c>
      <c r="E963" s="156">
        <v>1</v>
      </c>
      <c r="F963" s="157">
        <v>1.2</v>
      </c>
      <c r="G963" s="157">
        <v>0.23</v>
      </c>
      <c r="H963" s="157">
        <v>2.4</v>
      </c>
      <c r="I963" s="207">
        <f>-ROUND(IF(AND(F963:H963),C963*E963*F963*G963*H963,IF(AND(F963,G963),C963*E963*F963*G963,IF(AND(F963,H963),C963*E963*F963*H963,IF(AND(G963,H963),C963*E963*G963*H963,IF(F963,C963*E963*F963,IF(G963,C963*E963*G963,IF(H963,C963*E963*H963,C963*E963))))))),2)</f>
        <v>-0.66</v>
      </c>
      <c r="J963" s="357" t="s">
        <v>5</v>
      </c>
      <c r="K963" s="147"/>
      <c r="L963" s="110"/>
      <c r="M963" s="147"/>
    </row>
    <row r="964" spans="1:13" s="148" customFormat="1" ht="16.5" hidden="1" customHeight="1">
      <c r="A964" s="110"/>
      <c r="B964" s="147" t="s">
        <v>1406</v>
      </c>
      <c r="C964" s="183"/>
      <c r="D964" s="205"/>
      <c r="E964" s="156"/>
      <c r="F964" s="157"/>
      <c r="G964" s="157"/>
      <c r="H964" s="157"/>
      <c r="I964" s="206"/>
      <c r="J964" s="195"/>
      <c r="K964" s="147"/>
      <c r="L964" s="110"/>
      <c r="M964" s="147"/>
    </row>
    <row r="965" spans="1:13" s="148" customFormat="1" ht="16.5" hidden="1" customHeight="1">
      <c r="A965" s="110"/>
      <c r="B965" s="147" t="s">
        <v>1366</v>
      </c>
      <c r="C965" s="183">
        <v>1</v>
      </c>
      <c r="D965" s="205" t="s">
        <v>268</v>
      </c>
      <c r="E965" s="156">
        <v>1</v>
      </c>
      <c r="F965" s="157">
        <v>7.2</v>
      </c>
      <c r="G965" s="157">
        <v>0.115</v>
      </c>
      <c r="H965" s="157">
        <v>1.8</v>
      </c>
      <c r="I965" s="207">
        <f>ROUND(IF(AND(F965:H965),C965*E965*F965*G965*H965,IF(AND(F965,G965),C965*E965*F965*G965,IF(AND(F965,H965),C965*E965*F965*H965,IF(AND(G965,H965),C965*E965*G965*H965,IF(F965,C965*E965*F965,IF(G965,C965*E965*G965,IF(H965,C965*E965*H965,C965*E965))))))),2)</f>
        <v>1.49</v>
      </c>
      <c r="J965" s="357" t="s">
        <v>5</v>
      </c>
      <c r="K965" s="147"/>
      <c r="L965" s="110"/>
      <c r="M965" s="147"/>
    </row>
    <row r="966" spans="1:13" s="148" customFormat="1" ht="16.5" hidden="1" customHeight="1">
      <c r="A966" s="110"/>
      <c r="B966" s="149"/>
      <c r="C966" s="150"/>
      <c r="D966" s="151"/>
      <c r="E966" s="152"/>
      <c r="F966" s="153"/>
      <c r="G966" s="153"/>
      <c r="H966" s="153"/>
      <c r="I966" s="185"/>
      <c r="J966" s="195"/>
      <c r="K966" s="147"/>
      <c r="L966" s="210"/>
      <c r="M966" s="147"/>
    </row>
    <row r="967" spans="1:13" hidden="1">
      <c r="A967" s="110"/>
      <c r="B967" s="147"/>
      <c r="C967" s="154"/>
      <c r="D967" s="155"/>
      <c r="E967" s="156"/>
      <c r="F967" s="157"/>
      <c r="G967" s="158"/>
      <c r="H967" s="110"/>
      <c r="I967" s="185"/>
      <c r="J967" s="195" t="s">
        <v>5</v>
      </c>
      <c r="K967" s="12">
        <f>'DATA 2025-26'!G412</f>
        <v>8090.57</v>
      </c>
      <c r="L967" s="210" t="s">
        <v>269</v>
      </c>
      <c r="M967" s="11">
        <f>ROUND(I967*K967,0)</f>
        <v>0</v>
      </c>
    </row>
    <row r="968" spans="1:13" ht="132.75" hidden="1" customHeight="1">
      <c r="A968" s="110">
        <v>5</v>
      </c>
      <c r="B968" s="964" t="s">
        <v>853</v>
      </c>
      <c r="C968" s="964"/>
      <c r="D968" s="964"/>
      <c r="E968" s="964"/>
      <c r="F968" s="964"/>
      <c r="G968" s="964"/>
      <c r="H968" s="964"/>
      <c r="I968" s="183"/>
      <c r="J968" s="186"/>
      <c r="K968" s="110"/>
      <c r="L968" s="210"/>
      <c r="M968" s="139"/>
    </row>
    <row r="969" spans="1:13" s="148" customFormat="1" ht="16.5" hidden="1" customHeight="1">
      <c r="A969" s="110"/>
      <c r="B969" s="147" t="s">
        <v>1391</v>
      </c>
      <c r="C969" s="183"/>
      <c r="D969" s="205"/>
      <c r="E969" s="156"/>
      <c r="F969" s="157"/>
      <c r="G969" s="157"/>
      <c r="H969" s="157"/>
      <c r="I969" s="206"/>
      <c r="J969" s="195"/>
      <c r="K969" s="147"/>
      <c r="L969" s="210"/>
      <c r="M969" s="147"/>
    </row>
    <row r="970" spans="1:13" s="148" customFormat="1" ht="16.5" hidden="1" customHeight="1">
      <c r="A970" s="110"/>
      <c r="B970" s="147" t="s">
        <v>1392</v>
      </c>
      <c r="C970" s="183">
        <v>1</v>
      </c>
      <c r="D970" s="205" t="s">
        <v>268</v>
      </c>
      <c r="E970" s="156">
        <v>1</v>
      </c>
      <c r="F970" s="157">
        <v>41.75</v>
      </c>
      <c r="G970" s="157">
        <v>0</v>
      </c>
      <c r="H970" s="157">
        <v>0.75</v>
      </c>
      <c r="I970" s="207">
        <f>ROUND(IF(AND(F970:H970),C970*E970*F970*G970*H970,IF(AND(F970,G970),C970*E970*F970*G970,IF(AND(F970,H970),C970*E970*F970*H970,IF(AND(G970,H970),C970*E970*G970*H970,IF(F970,C970*E970*F970,IF(G970,C970*E970*G970,IF(H970,C970*E970*H970,C970*E970))))))),2)</f>
        <v>31.31</v>
      </c>
      <c r="J970" s="195" t="s">
        <v>102</v>
      </c>
      <c r="K970" s="147"/>
      <c r="L970" s="210"/>
      <c r="M970" s="147"/>
    </row>
    <row r="971" spans="1:13" s="148" customFormat="1" ht="16.5" hidden="1" customHeight="1">
      <c r="A971" s="110"/>
      <c r="B971" s="147"/>
      <c r="C971" s="183"/>
      <c r="D971" s="205"/>
      <c r="E971" s="156"/>
      <c r="F971" s="157"/>
      <c r="G971" s="157"/>
      <c r="H971" s="157"/>
      <c r="I971" s="207"/>
      <c r="J971" s="195"/>
      <c r="K971" s="147"/>
      <c r="L971" s="210"/>
      <c r="M971" s="147"/>
    </row>
    <row r="972" spans="1:13" hidden="1">
      <c r="A972" s="110"/>
      <c r="B972" s="147"/>
      <c r="C972" s="154"/>
      <c r="D972" s="155"/>
      <c r="E972" s="156"/>
      <c r="F972" s="157"/>
      <c r="G972" s="158"/>
      <c r="H972" s="110"/>
      <c r="I972" s="185"/>
      <c r="J972" s="195" t="s">
        <v>102</v>
      </c>
      <c r="K972" s="12">
        <f>'DATA 2025-26'!G448</f>
        <v>1096.72</v>
      </c>
      <c r="L972" s="210" t="s">
        <v>270</v>
      </c>
      <c r="M972" s="11">
        <f>ROUND(I972*K972/1,0)</f>
        <v>0</v>
      </c>
    </row>
    <row r="973" spans="1:13" ht="79.5" hidden="1" customHeight="1">
      <c r="A973" s="110">
        <v>20</v>
      </c>
      <c r="B973" s="964" t="s">
        <v>975</v>
      </c>
      <c r="C973" s="964"/>
      <c r="D973" s="964"/>
      <c r="E973" s="964"/>
      <c r="F973" s="964"/>
      <c r="G973" s="964"/>
      <c r="H973" s="964"/>
      <c r="I973" s="183"/>
      <c r="J973" s="186"/>
      <c r="K973" s="110"/>
      <c r="L973" s="210"/>
      <c r="M973" s="139"/>
    </row>
    <row r="974" spans="1:13" s="148" customFormat="1" ht="16.5" hidden="1" customHeight="1">
      <c r="A974" s="110"/>
      <c r="B974" s="147" t="s">
        <v>1309</v>
      </c>
      <c r="C974" s="183"/>
      <c r="D974" s="205"/>
      <c r="E974" s="156"/>
      <c r="F974" s="157"/>
      <c r="G974" s="157"/>
      <c r="H974" s="157"/>
      <c r="I974" s="206"/>
      <c r="J974" s="195"/>
      <c r="K974" s="147"/>
      <c r="L974" s="210"/>
      <c r="M974" s="147"/>
    </row>
    <row r="975" spans="1:13" s="148" customFormat="1" ht="16.5" hidden="1" customHeight="1">
      <c r="A975" s="110"/>
      <c r="B975" s="147" t="s">
        <v>1028</v>
      </c>
      <c r="C975" s="183">
        <v>1</v>
      </c>
      <c r="D975" s="205" t="s">
        <v>268</v>
      </c>
      <c r="E975" s="156">
        <v>2</v>
      </c>
      <c r="F975" s="157">
        <v>0.75</v>
      </c>
      <c r="G975" s="157">
        <v>0.15</v>
      </c>
      <c r="H975" s="157">
        <v>1.05</v>
      </c>
      <c r="I975" s="207">
        <f t="shared" ref="I975:I981" si="84">ROUND(IF(AND(F975:H975),C975*E975*F975*G975*H975,IF(AND(F975,G975),C975*E975*F975*G975,IF(AND(F975,H975),C975*E975*F975*H975,IF(AND(G975,H975),C975*E975*G975*H975,IF(F975,C975*E975*F975,IF(G975,C975*E975*G975,IF(H975,C975*E975*H975,C975*E975))))))),2)</f>
        <v>0.24</v>
      </c>
      <c r="J975" s="195" t="s">
        <v>5</v>
      </c>
      <c r="K975" s="147"/>
      <c r="L975" s="210"/>
      <c r="M975" s="147"/>
    </row>
    <row r="976" spans="1:13" s="148" customFormat="1" ht="16.5" hidden="1" customHeight="1">
      <c r="A976" s="110"/>
      <c r="B976" s="147"/>
      <c r="C976" s="183">
        <v>1</v>
      </c>
      <c r="D976" s="205" t="s">
        <v>268</v>
      </c>
      <c r="E976" s="156">
        <v>1</v>
      </c>
      <c r="F976" s="157">
        <v>1.2</v>
      </c>
      <c r="G976" s="157">
        <v>0.15</v>
      </c>
      <c r="H976" s="157">
        <v>0.75</v>
      </c>
      <c r="I976" s="207">
        <f t="shared" si="84"/>
        <v>0.14000000000000001</v>
      </c>
      <c r="J976" s="195" t="s">
        <v>5</v>
      </c>
      <c r="K976" s="147"/>
      <c r="L976" s="210"/>
      <c r="M976" s="147"/>
    </row>
    <row r="977" spans="1:13" s="148" customFormat="1" ht="16.5" hidden="1" customHeight="1">
      <c r="A977" s="110"/>
      <c r="B977" s="147"/>
      <c r="C977" s="183">
        <v>1</v>
      </c>
      <c r="D977" s="205" t="s">
        <v>268</v>
      </c>
      <c r="E977" s="156">
        <v>0.5</v>
      </c>
      <c r="F977" s="157">
        <v>2.7</v>
      </c>
      <c r="G977" s="157">
        <v>0.15</v>
      </c>
      <c r="H977" s="157">
        <v>1.8</v>
      </c>
      <c r="I977" s="207">
        <f t="shared" si="84"/>
        <v>0.36</v>
      </c>
      <c r="J977" s="195" t="s">
        <v>5</v>
      </c>
      <c r="K977" s="147"/>
      <c r="L977" s="210"/>
      <c r="M977" s="147"/>
    </row>
    <row r="978" spans="1:13" s="148" customFormat="1" ht="16.5" hidden="1" customHeight="1">
      <c r="A978" s="110"/>
      <c r="B978" s="147"/>
      <c r="C978" s="183">
        <v>1</v>
      </c>
      <c r="D978" s="205" t="s">
        <v>268</v>
      </c>
      <c r="E978" s="156">
        <v>1</v>
      </c>
      <c r="F978" s="157">
        <v>1</v>
      </c>
      <c r="G978" s="157">
        <v>0.15</v>
      </c>
      <c r="H978" s="157">
        <v>1.4</v>
      </c>
      <c r="I978" s="207">
        <f t="shared" si="84"/>
        <v>0.21</v>
      </c>
      <c r="J978" s="195" t="s">
        <v>5</v>
      </c>
      <c r="K978" s="147"/>
      <c r="L978" s="210"/>
      <c r="M978" s="147"/>
    </row>
    <row r="979" spans="1:13" s="148" customFormat="1" ht="16.5" hidden="1" customHeight="1">
      <c r="A979" s="110"/>
      <c r="B979" s="147"/>
      <c r="C979" s="183">
        <v>1</v>
      </c>
      <c r="D979" s="205" t="s">
        <v>268</v>
      </c>
      <c r="E979" s="156">
        <v>1</v>
      </c>
      <c r="F979" s="157">
        <v>1.73</v>
      </c>
      <c r="G979" s="157">
        <v>0.15</v>
      </c>
      <c r="H979" s="157">
        <v>1.8</v>
      </c>
      <c r="I979" s="207">
        <f t="shared" si="84"/>
        <v>0.47</v>
      </c>
      <c r="J979" s="195" t="s">
        <v>5</v>
      </c>
      <c r="K979" s="147"/>
      <c r="L979" s="210"/>
      <c r="M979" s="147"/>
    </row>
    <row r="980" spans="1:13" s="148" customFormat="1" ht="16.5" hidden="1" customHeight="1">
      <c r="A980" s="110"/>
      <c r="B980" s="147"/>
      <c r="C980" s="183">
        <v>1</v>
      </c>
      <c r="D980" s="205" t="s">
        <v>268</v>
      </c>
      <c r="E980" s="156">
        <v>1</v>
      </c>
      <c r="F980" s="157">
        <v>2.65</v>
      </c>
      <c r="G980" s="157">
        <v>0.15</v>
      </c>
      <c r="H980" s="157">
        <v>1.2</v>
      </c>
      <c r="I980" s="207">
        <f t="shared" si="84"/>
        <v>0.48</v>
      </c>
      <c r="J980" s="195" t="s">
        <v>5</v>
      </c>
      <c r="K980" s="147"/>
      <c r="L980" s="210"/>
      <c r="M980" s="147"/>
    </row>
    <row r="981" spans="1:13" s="148" customFormat="1" ht="16.5" hidden="1" customHeight="1">
      <c r="A981" s="110"/>
      <c r="B981" s="147"/>
      <c r="C981" s="183">
        <v>1</v>
      </c>
      <c r="D981" s="205" t="s">
        <v>268</v>
      </c>
      <c r="E981" s="156">
        <v>1</v>
      </c>
      <c r="F981" s="157">
        <v>2.85</v>
      </c>
      <c r="G981" s="157">
        <v>0.15</v>
      </c>
      <c r="H981" s="157">
        <v>1.2</v>
      </c>
      <c r="I981" s="207">
        <f t="shared" si="84"/>
        <v>0.51</v>
      </c>
      <c r="J981" s="195" t="s">
        <v>5</v>
      </c>
      <c r="K981" s="147"/>
      <c r="L981" s="210"/>
      <c r="M981" s="147"/>
    </row>
    <row r="982" spans="1:13" s="148" customFormat="1" ht="16.5" hidden="1" customHeight="1">
      <c r="A982" s="110"/>
      <c r="B982" s="149"/>
      <c r="C982" s="150"/>
      <c r="D982" s="151"/>
      <c r="E982" s="152"/>
      <c r="F982" s="153"/>
      <c r="G982" s="153"/>
      <c r="H982" s="153"/>
      <c r="I982" s="185"/>
      <c r="J982" s="195"/>
      <c r="K982" s="147"/>
      <c r="L982" s="210"/>
      <c r="M982" s="147"/>
    </row>
    <row r="983" spans="1:13" hidden="1">
      <c r="A983" s="110"/>
      <c r="B983" s="147"/>
      <c r="C983" s="154"/>
      <c r="D983" s="155"/>
      <c r="E983" s="156"/>
      <c r="F983" s="157"/>
      <c r="G983" s="158"/>
      <c r="H983" s="110"/>
      <c r="I983" s="185"/>
      <c r="J983" s="195" t="s">
        <v>5</v>
      </c>
      <c r="K983" s="12">
        <f>'DATA 2025-26'!G465</f>
        <v>7690.3600000000006</v>
      </c>
      <c r="L983" s="210" t="s">
        <v>269</v>
      </c>
      <c r="M983" s="11">
        <f>ROUND(I983*K983,0)</f>
        <v>0</v>
      </c>
    </row>
    <row r="984" spans="1:13" ht="54.75" hidden="1" customHeight="1">
      <c r="A984" s="110">
        <v>21</v>
      </c>
      <c r="B984" s="964" t="s">
        <v>123</v>
      </c>
      <c r="C984" s="964"/>
      <c r="D984" s="964"/>
      <c r="E984" s="964"/>
      <c r="F984" s="964"/>
      <c r="G984" s="964"/>
      <c r="H984" s="964"/>
      <c r="I984" s="183"/>
      <c r="J984" s="186"/>
      <c r="K984" s="110"/>
      <c r="L984" s="210"/>
      <c r="M984" s="139"/>
    </row>
    <row r="985" spans="1:13" s="148" customFormat="1" ht="16.5" hidden="1" customHeight="1">
      <c r="A985" s="110"/>
      <c r="B985" s="147" t="s">
        <v>1319</v>
      </c>
      <c r="C985" s="183"/>
      <c r="D985" s="205"/>
      <c r="E985" s="156"/>
      <c r="F985" s="157"/>
      <c r="G985" s="157"/>
      <c r="H985" s="157"/>
      <c r="I985" s="206"/>
      <c r="J985" s="195"/>
      <c r="K985" s="147"/>
      <c r="L985" s="210"/>
      <c r="M985" s="147"/>
    </row>
    <row r="986" spans="1:13" s="148" customFormat="1" ht="16.5" hidden="1" customHeight="1">
      <c r="A986" s="110"/>
      <c r="B986" s="147" t="s">
        <v>1317</v>
      </c>
      <c r="C986" s="183">
        <v>1</v>
      </c>
      <c r="D986" s="205" t="s">
        <v>268</v>
      </c>
      <c r="E986" s="156">
        <v>1</v>
      </c>
      <c r="F986" s="157">
        <v>2.96</v>
      </c>
      <c r="G986" s="157">
        <v>0.86</v>
      </c>
      <c r="H986" s="157">
        <v>0</v>
      </c>
      <c r="I986" s="207">
        <f t="shared" ref="I986:I991" si="85">ROUND(IF(AND(F986:H986),C986*E986*F986*G986*H986,IF(AND(F986,G986),C986*E986*F986*G986,IF(AND(F986,H986),C986*E986*F986*H986,IF(AND(G986,H986),C986*E986*G986*H986,IF(F986,C986*E986*F986,IF(G986,C986*E986*G986,IF(H986,C986*E986*H986,C986*E986))))))),2)</f>
        <v>2.5499999999999998</v>
      </c>
      <c r="J986" s="195" t="s">
        <v>102</v>
      </c>
      <c r="K986" s="147"/>
      <c r="L986" s="210"/>
      <c r="M986" s="147"/>
    </row>
    <row r="987" spans="1:13" s="148" customFormat="1" ht="16.5" hidden="1" customHeight="1">
      <c r="A987" s="110"/>
      <c r="B987" s="147" t="s">
        <v>1031</v>
      </c>
      <c r="C987" s="183">
        <v>1</v>
      </c>
      <c r="D987" s="205" t="s">
        <v>268</v>
      </c>
      <c r="E987" s="156">
        <v>2</v>
      </c>
      <c r="F987" s="157">
        <v>2.7</v>
      </c>
      <c r="G987" s="157">
        <v>0</v>
      </c>
      <c r="H987" s="157">
        <v>0.3</v>
      </c>
      <c r="I987" s="207">
        <f t="shared" si="85"/>
        <v>1.62</v>
      </c>
      <c r="J987" s="195" t="s">
        <v>102</v>
      </c>
      <c r="K987" s="147"/>
      <c r="L987" s="210"/>
      <c r="M987" s="147"/>
    </row>
    <row r="988" spans="1:13" s="148" customFormat="1" ht="16.5" hidden="1" customHeight="1">
      <c r="A988" s="110"/>
      <c r="B988" s="147" t="s">
        <v>1320</v>
      </c>
      <c r="C988" s="183">
        <v>1</v>
      </c>
      <c r="D988" s="205" t="s">
        <v>268</v>
      </c>
      <c r="E988" s="156">
        <v>1</v>
      </c>
      <c r="F988" s="157">
        <v>3.37</v>
      </c>
      <c r="G988" s="157">
        <v>2.69</v>
      </c>
      <c r="H988" s="157">
        <v>0</v>
      </c>
      <c r="I988" s="207">
        <f t="shared" si="85"/>
        <v>9.07</v>
      </c>
      <c r="J988" s="195" t="s">
        <v>102</v>
      </c>
      <c r="K988" s="147"/>
      <c r="L988" s="210"/>
      <c r="M988" s="147"/>
    </row>
    <row r="989" spans="1:13" s="148" customFormat="1" ht="16.5" hidden="1" customHeight="1">
      <c r="A989" s="110"/>
      <c r="B989" s="147" t="s">
        <v>576</v>
      </c>
      <c r="C989" s="183">
        <v>1</v>
      </c>
      <c r="D989" s="205" t="s">
        <v>268</v>
      </c>
      <c r="E989" s="156">
        <v>1</v>
      </c>
      <c r="F989" s="157">
        <v>0.75</v>
      </c>
      <c r="G989" s="157">
        <v>3.24</v>
      </c>
      <c r="H989" s="157">
        <v>0</v>
      </c>
      <c r="I989" s="207">
        <f t="shared" si="85"/>
        <v>2.4300000000000002</v>
      </c>
      <c r="J989" s="195" t="s">
        <v>102</v>
      </c>
      <c r="K989" s="147"/>
      <c r="L989" s="210"/>
      <c r="M989" s="147"/>
    </row>
    <row r="990" spans="1:13" s="148" customFormat="1" ht="16.5" hidden="1" customHeight="1">
      <c r="A990" s="110"/>
      <c r="B990" s="147" t="s">
        <v>1031</v>
      </c>
      <c r="C990" s="183">
        <v>1</v>
      </c>
      <c r="D990" s="205" t="s">
        <v>268</v>
      </c>
      <c r="E990" s="156">
        <v>2</v>
      </c>
      <c r="F990" s="157">
        <v>0.78</v>
      </c>
      <c r="G990" s="157">
        <v>0</v>
      </c>
      <c r="H990" s="157">
        <v>0.3</v>
      </c>
      <c r="I990" s="207">
        <f t="shared" si="85"/>
        <v>0.47</v>
      </c>
      <c r="J990" s="195" t="s">
        <v>102</v>
      </c>
      <c r="K990" s="147"/>
      <c r="L990" s="210"/>
      <c r="M990" s="147"/>
    </row>
    <row r="991" spans="1:13" s="148" customFormat="1" ht="16.5" hidden="1" customHeight="1">
      <c r="A991" s="110"/>
      <c r="B991" s="147" t="s">
        <v>1321</v>
      </c>
      <c r="C991" s="183">
        <v>1</v>
      </c>
      <c r="D991" s="205" t="s">
        <v>268</v>
      </c>
      <c r="E991" s="156">
        <v>2</v>
      </c>
      <c r="F991" s="157">
        <v>4.5999999999999996</v>
      </c>
      <c r="G991" s="157">
        <v>0.88</v>
      </c>
      <c r="H991" s="157">
        <v>0</v>
      </c>
      <c r="I991" s="207">
        <f t="shared" si="85"/>
        <v>8.1</v>
      </c>
      <c r="J991" s="195" t="s">
        <v>102</v>
      </c>
      <c r="K991" s="147"/>
      <c r="L991" s="210"/>
      <c r="M991" s="147"/>
    </row>
    <row r="992" spans="1:13" s="148" customFormat="1" ht="16.5" hidden="1" customHeight="1">
      <c r="A992" s="110"/>
      <c r="B992" s="149"/>
      <c r="C992" s="150"/>
      <c r="D992" s="151"/>
      <c r="E992" s="152"/>
      <c r="F992" s="153"/>
      <c r="G992" s="153"/>
      <c r="H992" s="153"/>
      <c r="I992" s="185"/>
      <c r="J992" s="195"/>
      <c r="K992" s="147"/>
      <c r="L992" s="210"/>
      <c r="M992" s="147"/>
    </row>
    <row r="993" spans="1:13" hidden="1">
      <c r="A993" s="110"/>
      <c r="B993" s="147"/>
      <c r="C993" s="154"/>
      <c r="D993" s="155"/>
      <c r="E993" s="156"/>
      <c r="F993" s="157"/>
      <c r="G993" s="158"/>
      <c r="H993" s="110"/>
      <c r="I993" s="185"/>
      <c r="J993" s="195" t="s">
        <v>102</v>
      </c>
      <c r="K993" s="12">
        <f>'DATA 2025-26'!G482</f>
        <v>478.44</v>
      </c>
      <c r="L993" s="210" t="s">
        <v>270</v>
      </c>
      <c r="M993" s="11">
        <f>ROUND(I993*K993,0)</f>
        <v>0</v>
      </c>
    </row>
    <row r="994" spans="1:13" ht="42" hidden="1" customHeight="1">
      <c r="A994" s="110">
        <v>19</v>
      </c>
      <c r="B994" s="964" t="s">
        <v>124</v>
      </c>
      <c r="C994" s="964"/>
      <c r="D994" s="964"/>
      <c r="E994" s="964"/>
      <c r="F994" s="964"/>
      <c r="G994" s="964"/>
      <c r="H994" s="964"/>
      <c r="I994" s="183"/>
      <c r="J994" s="186"/>
      <c r="K994" s="110"/>
      <c r="L994" s="210"/>
      <c r="M994" s="139"/>
    </row>
    <row r="995" spans="1:13" s="148" customFormat="1" ht="16.5" hidden="1" customHeight="1">
      <c r="A995" s="110"/>
      <c r="B995" s="174" t="s">
        <v>1297</v>
      </c>
      <c r="C995" s="141"/>
      <c r="D995" s="142"/>
      <c r="E995" s="143"/>
      <c r="F995" s="144"/>
      <c r="G995" s="144"/>
      <c r="H995" s="145"/>
      <c r="I995" s="184"/>
      <c r="J995" s="195"/>
      <c r="K995" s="147"/>
      <c r="L995" s="210"/>
      <c r="M995" s="147"/>
    </row>
    <row r="996" spans="1:13" s="148" customFormat="1" ht="16.5" hidden="1" customHeight="1">
      <c r="A996" s="110"/>
      <c r="B996" s="149"/>
      <c r="C996" s="150">
        <v>1</v>
      </c>
      <c r="D996" s="151" t="s">
        <v>268</v>
      </c>
      <c r="E996" s="152">
        <v>1</v>
      </c>
      <c r="F996" s="153">
        <v>30.18</v>
      </c>
      <c r="G996" s="153">
        <v>0</v>
      </c>
      <c r="H996" s="153">
        <v>3.46</v>
      </c>
      <c r="I996" s="185">
        <f t="shared" ref="I996:I1002" si="86">ROUND(IF(AND(F996:H996),C996*E996*F996*G996*H996,IF(AND(F996,G996),C996*E996*F996*G996,IF(AND(F996,H996),C996*E996*F996*H996,IF(AND(G996,H996),C996*E996*G996*H996,IF(F996,C996*E996*F996,IF(G996,C996*E996*G996,IF(H996,C996*E996*H996,C996*E996))))))),2)</f>
        <v>104.42</v>
      </c>
      <c r="J996" s="195" t="s">
        <v>102</v>
      </c>
      <c r="K996" s="147"/>
      <c r="L996" s="210"/>
      <c r="M996" s="147"/>
    </row>
    <row r="997" spans="1:13" s="148" customFormat="1" ht="16.5" hidden="1" customHeight="1">
      <c r="A997" s="110"/>
      <c r="B997" s="149"/>
      <c r="C997" s="150">
        <v>1</v>
      </c>
      <c r="D997" s="151" t="s">
        <v>268</v>
      </c>
      <c r="E997" s="152">
        <v>2</v>
      </c>
      <c r="F997" s="153">
        <v>14.6</v>
      </c>
      <c r="G997" s="153">
        <v>0</v>
      </c>
      <c r="H997" s="153">
        <v>3.46</v>
      </c>
      <c r="I997" s="185">
        <f t="shared" si="86"/>
        <v>101.03</v>
      </c>
      <c r="J997" s="195" t="s">
        <v>102</v>
      </c>
      <c r="K997" s="147"/>
      <c r="L997" s="210"/>
      <c r="M997" s="147"/>
    </row>
    <row r="998" spans="1:13" s="148" customFormat="1" ht="16.5" hidden="1" customHeight="1">
      <c r="A998" s="110"/>
      <c r="B998" s="149"/>
      <c r="C998" s="150">
        <v>1</v>
      </c>
      <c r="D998" s="151" t="s">
        <v>268</v>
      </c>
      <c r="E998" s="152">
        <v>1</v>
      </c>
      <c r="F998" s="153">
        <v>14.6</v>
      </c>
      <c r="G998" s="153">
        <v>0</v>
      </c>
      <c r="H998" s="153">
        <v>3.46</v>
      </c>
      <c r="I998" s="185">
        <f t="shared" si="86"/>
        <v>50.52</v>
      </c>
      <c r="J998" s="195" t="s">
        <v>102</v>
      </c>
      <c r="K998" s="147"/>
      <c r="L998" s="210"/>
      <c r="M998" s="147"/>
    </row>
    <row r="999" spans="1:13" s="148" customFormat="1" ht="16.5" hidden="1" customHeight="1">
      <c r="A999" s="110"/>
      <c r="B999" s="149"/>
      <c r="C999" s="150">
        <v>2</v>
      </c>
      <c r="D999" s="151" t="s">
        <v>268</v>
      </c>
      <c r="E999" s="152">
        <v>2</v>
      </c>
      <c r="F999" s="153">
        <v>5.73</v>
      </c>
      <c r="G999" s="153">
        <v>0</v>
      </c>
      <c r="H999" s="153">
        <v>0.38</v>
      </c>
      <c r="I999" s="185">
        <f t="shared" si="86"/>
        <v>8.7100000000000009</v>
      </c>
      <c r="J999" s="195" t="s">
        <v>102</v>
      </c>
      <c r="K999" s="147"/>
      <c r="L999" s="210"/>
      <c r="M999" s="147"/>
    </row>
    <row r="1000" spans="1:13" s="148" customFormat="1" ht="16.5" hidden="1" customHeight="1">
      <c r="A1000" s="110"/>
      <c r="B1000" s="149"/>
      <c r="C1000" s="150">
        <v>2</v>
      </c>
      <c r="D1000" s="151" t="s">
        <v>268</v>
      </c>
      <c r="E1000" s="152">
        <v>2</v>
      </c>
      <c r="F1000" s="153">
        <v>0.84</v>
      </c>
      <c r="G1000" s="153">
        <v>0</v>
      </c>
      <c r="H1000" s="153">
        <v>0.3</v>
      </c>
      <c r="I1000" s="185">
        <f t="shared" si="86"/>
        <v>1.01</v>
      </c>
      <c r="J1000" s="195" t="s">
        <v>102</v>
      </c>
      <c r="K1000" s="147"/>
      <c r="L1000" s="210"/>
      <c r="M1000" s="147"/>
    </row>
    <row r="1001" spans="1:13" s="148" customFormat="1" ht="16.5" hidden="1" customHeight="1">
      <c r="A1001" s="110"/>
      <c r="B1001" s="149"/>
      <c r="C1001" s="150">
        <v>2</v>
      </c>
      <c r="D1001" s="151" t="s">
        <v>268</v>
      </c>
      <c r="E1001" s="152">
        <v>2</v>
      </c>
      <c r="F1001" s="153">
        <v>1.77</v>
      </c>
      <c r="G1001" s="153">
        <v>0</v>
      </c>
      <c r="H1001" s="153">
        <v>0.3</v>
      </c>
      <c r="I1001" s="185">
        <f t="shared" si="86"/>
        <v>2.12</v>
      </c>
      <c r="J1001" s="195" t="s">
        <v>102</v>
      </c>
      <c r="K1001" s="147"/>
      <c r="L1001" s="210"/>
      <c r="M1001" s="147"/>
    </row>
    <row r="1002" spans="1:13" s="148" customFormat="1" ht="16.5" hidden="1" customHeight="1">
      <c r="A1002" s="110"/>
      <c r="B1002" s="149"/>
      <c r="C1002" s="150">
        <v>1</v>
      </c>
      <c r="D1002" s="151" t="s">
        <v>268</v>
      </c>
      <c r="E1002" s="152">
        <v>2</v>
      </c>
      <c r="F1002" s="153">
        <v>10.45</v>
      </c>
      <c r="G1002" s="153">
        <v>0</v>
      </c>
      <c r="H1002" s="153">
        <v>0.3</v>
      </c>
      <c r="I1002" s="185">
        <f t="shared" si="86"/>
        <v>6.27</v>
      </c>
      <c r="J1002" s="195" t="s">
        <v>102</v>
      </c>
      <c r="K1002" s="147"/>
      <c r="L1002" s="210"/>
      <c r="M1002" s="147"/>
    </row>
    <row r="1003" spans="1:13" s="148" customFormat="1" ht="16.5" hidden="1" customHeight="1">
      <c r="A1003" s="110"/>
      <c r="B1003" s="149"/>
      <c r="C1003" s="150">
        <v>1</v>
      </c>
      <c r="D1003" s="151" t="s">
        <v>268</v>
      </c>
      <c r="E1003" s="152">
        <v>11</v>
      </c>
      <c r="F1003" s="153">
        <v>1.2</v>
      </c>
      <c r="G1003" s="153">
        <v>0</v>
      </c>
      <c r="H1003" s="153">
        <v>1.2</v>
      </c>
      <c r="I1003" s="185">
        <f>-ROUND(IF(AND(F1003:H1003),C1003*E1003*F1003*G1003*H1003,IF(AND(F1003,G1003),C1003*E1003*F1003*G1003,IF(AND(F1003,H1003),C1003*E1003*F1003*H1003,IF(AND(G1003,H1003),C1003*E1003*G1003*H1003,IF(F1003,C1003*E1003*F1003,IF(G1003,C1003*E1003*G1003,IF(H1003,C1003*E1003*H1003,C1003*E1003))))))),2)</f>
        <v>-15.84</v>
      </c>
      <c r="J1003" s="195" t="s">
        <v>102</v>
      </c>
      <c r="K1003" s="147"/>
      <c r="L1003" s="210"/>
      <c r="M1003" s="147"/>
    </row>
    <row r="1004" spans="1:13" s="148" customFormat="1" ht="16.5" hidden="1" customHeight="1">
      <c r="A1004" s="110"/>
      <c r="B1004" s="149"/>
      <c r="C1004" s="150">
        <v>1</v>
      </c>
      <c r="D1004" s="151" t="s">
        <v>268</v>
      </c>
      <c r="E1004" s="152">
        <v>0.2</v>
      </c>
      <c r="F1004" s="153">
        <v>1.2</v>
      </c>
      <c r="G1004" s="153">
        <v>0</v>
      </c>
      <c r="H1004" s="153">
        <v>2.1</v>
      </c>
      <c r="I1004" s="185">
        <f>-ROUND(IF(AND(F1004:H1004),C1004*E1004*F1004*G1004*H1004,IF(AND(F1004,G1004),C1004*E1004*F1004*G1004,IF(AND(F1004,H1004),C1004*E1004*F1004*H1004,IF(AND(G1004,H1004),C1004*E1004*G1004*H1004,IF(F1004,C1004*E1004*F1004,IF(G1004,C1004*E1004*G1004,IF(H1004,C1004*E1004*H1004,C1004*E1004))))))),2)</f>
        <v>-0.5</v>
      </c>
      <c r="J1004" s="195" t="s">
        <v>102</v>
      </c>
      <c r="K1004" s="147"/>
      <c r="L1004" s="210"/>
      <c r="M1004" s="147"/>
    </row>
    <row r="1005" spans="1:13" s="148" customFormat="1" ht="16.5" hidden="1" customHeight="1">
      <c r="A1005" s="110"/>
      <c r="B1005" s="149"/>
      <c r="C1005" s="150">
        <v>1</v>
      </c>
      <c r="D1005" s="151" t="s">
        <v>268</v>
      </c>
      <c r="E1005" s="152">
        <v>0.2</v>
      </c>
      <c r="F1005" s="153">
        <v>1.05</v>
      </c>
      <c r="G1005" s="153">
        <v>0</v>
      </c>
      <c r="H1005" s="153">
        <v>2.1</v>
      </c>
      <c r="I1005" s="185">
        <f>-ROUND(IF(AND(F1005:H1005),C1005*E1005*F1005*G1005*H1005,IF(AND(F1005,G1005),C1005*E1005*F1005*G1005,IF(AND(F1005,H1005),C1005*E1005*F1005*H1005,IF(AND(G1005,H1005),C1005*E1005*G1005*H1005,IF(F1005,C1005*E1005*F1005,IF(G1005,C1005*E1005*G1005,IF(H1005,C1005*E1005*H1005,C1005*E1005))))))),2)</f>
        <v>-0.44</v>
      </c>
      <c r="J1005" s="195" t="s">
        <v>102</v>
      </c>
      <c r="K1005" s="147"/>
      <c r="L1005" s="210"/>
      <c r="M1005" s="147"/>
    </row>
    <row r="1006" spans="1:13" s="148" customFormat="1" ht="16.5" hidden="1" customHeight="1">
      <c r="A1006" s="110"/>
      <c r="B1006" s="149"/>
      <c r="C1006" s="150">
        <v>1</v>
      </c>
      <c r="D1006" s="151" t="s">
        <v>268</v>
      </c>
      <c r="E1006" s="152">
        <v>11</v>
      </c>
      <c r="F1006" s="153">
        <v>0.45</v>
      </c>
      <c r="G1006" s="153">
        <v>0</v>
      </c>
      <c r="H1006" s="153">
        <v>0.3</v>
      </c>
      <c r="I1006" s="185">
        <f>-ROUND(IF(AND(F1006:H1006),C1006*E1006*F1006*G1006*H1006,IF(AND(F1006,G1006),C1006*E1006*F1006*G1006,IF(AND(F1006,H1006),C1006*E1006*F1006*H1006,IF(AND(G1006,H1006),C1006*E1006*G1006*H1006,IF(F1006,C1006*E1006*F1006,IF(G1006,C1006*E1006*G1006,IF(H1006,C1006*E1006*H1006,C1006*E1006))))))),2)</f>
        <v>-1.49</v>
      </c>
      <c r="J1006" s="195" t="s">
        <v>102</v>
      </c>
      <c r="K1006" s="147"/>
      <c r="L1006" s="210"/>
      <c r="M1006" s="147"/>
    </row>
    <row r="1007" spans="1:13" s="148" customFormat="1" ht="16.5" hidden="1" customHeight="1">
      <c r="A1007" s="110"/>
      <c r="B1007" s="149"/>
      <c r="C1007" s="150">
        <v>1</v>
      </c>
      <c r="D1007" s="151" t="s">
        <v>268</v>
      </c>
      <c r="E1007" s="152">
        <v>1</v>
      </c>
      <c r="F1007" s="153">
        <v>0.6</v>
      </c>
      <c r="G1007" s="153">
        <v>0</v>
      </c>
      <c r="H1007" s="153">
        <v>0.3</v>
      </c>
      <c r="I1007" s="185">
        <f>-ROUND(IF(AND(F1007:H1007),C1007*E1007*F1007*G1007*H1007,IF(AND(F1007,G1007),C1007*E1007*F1007*G1007,IF(AND(F1007,H1007),C1007*E1007*F1007*H1007,IF(AND(G1007,H1007),C1007*E1007*G1007*H1007,IF(F1007,C1007*E1007*F1007,IF(G1007,C1007*E1007*G1007,IF(H1007,C1007*E1007*H1007,C1007*E1007))))))),2)</f>
        <v>-0.18</v>
      </c>
      <c r="J1007" s="195" t="s">
        <v>102</v>
      </c>
      <c r="K1007" s="147"/>
      <c r="L1007" s="210"/>
      <c r="M1007" s="147"/>
    </row>
    <row r="1008" spans="1:13" s="148" customFormat="1" ht="16.5" hidden="1" customHeight="1">
      <c r="A1008" s="110"/>
      <c r="B1008" s="149"/>
      <c r="C1008" s="150">
        <v>1</v>
      </c>
      <c r="D1008" s="151" t="s">
        <v>268</v>
      </c>
      <c r="E1008" s="152">
        <v>1</v>
      </c>
      <c r="F1008" s="153">
        <v>10.45</v>
      </c>
      <c r="G1008" s="153">
        <v>0</v>
      </c>
      <c r="H1008" s="153">
        <v>1.94</v>
      </c>
      <c r="I1008" s="185">
        <f t="shared" ref="I1008:I1027" si="87">ROUND(IF(AND(F1008:H1008),C1008*E1008*F1008*G1008*H1008,IF(AND(F1008,G1008),C1008*E1008*F1008*G1008,IF(AND(F1008,H1008),C1008*E1008*F1008*H1008,IF(AND(G1008,H1008),C1008*E1008*G1008*H1008,IF(F1008,C1008*E1008*F1008,IF(G1008,C1008*E1008*G1008,IF(H1008,C1008*E1008*H1008,C1008*E1008))))))),2)</f>
        <v>20.27</v>
      </c>
      <c r="J1008" s="195" t="s">
        <v>102</v>
      </c>
      <c r="K1008" s="147"/>
      <c r="L1008" s="210"/>
      <c r="M1008" s="147"/>
    </row>
    <row r="1009" spans="1:13" s="148" customFormat="1" ht="16.5" hidden="1" customHeight="1">
      <c r="A1009" s="110"/>
      <c r="B1009" s="149"/>
      <c r="C1009" s="150">
        <v>2</v>
      </c>
      <c r="D1009" s="151" t="s">
        <v>268</v>
      </c>
      <c r="E1009" s="152">
        <v>2</v>
      </c>
      <c r="F1009" s="153">
        <v>10.65</v>
      </c>
      <c r="G1009" s="153">
        <v>0</v>
      </c>
      <c r="H1009" s="153">
        <v>1.94</v>
      </c>
      <c r="I1009" s="185">
        <f t="shared" si="87"/>
        <v>82.64</v>
      </c>
      <c r="J1009" s="195" t="s">
        <v>102</v>
      </c>
      <c r="K1009" s="147"/>
      <c r="L1009" s="210"/>
      <c r="M1009" s="147"/>
    </row>
    <row r="1010" spans="1:13" s="148" customFormat="1" ht="16.5" hidden="1" customHeight="1">
      <c r="A1010" s="110"/>
      <c r="B1010" s="149"/>
      <c r="C1010" s="150">
        <v>1</v>
      </c>
      <c r="D1010" s="151" t="s">
        <v>268</v>
      </c>
      <c r="E1010" s="152">
        <v>2</v>
      </c>
      <c r="F1010" s="153">
        <v>3.4</v>
      </c>
      <c r="G1010" s="153">
        <v>0</v>
      </c>
      <c r="H1010" s="153">
        <v>2.63</v>
      </c>
      <c r="I1010" s="185">
        <f t="shared" si="87"/>
        <v>17.88</v>
      </c>
      <c r="J1010" s="195" t="s">
        <v>102</v>
      </c>
      <c r="K1010" s="147"/>
      <c r="L1010" s="210"/>
      <c r="M1010" s="147"/>
    </row>
    <row r="1011" spans="1:13" s="148" customFormat="1" ht="16.5" hidden="1" customHeight="1">
      <c r="A1011" s="110"/>
      <c r="B1011" s="149"/>
      <c r="C1011" s="150">
        <v>1</v>
      </c>
      <c r="D1011" s="151" t="s">
        <v>268</v>
      </c>
      <c r="E1011" s="152">
        <v>1</v>
      </c>
      <c r="F1011" s="153">
        <v>3.62</v>
      </c>
      <c r="G1011" s="153">
        <v>0</v>
      </c>
      <c r="H1011" s="153">
        <v>0.9</v>
      </c>
      <c r="I1011" s="185">
        <f t="shared" si="87"/>
        <v>3.26</v>
      </c>
      <c r="J1011" s="195" t="s">
        <v>102</v>
      </c>
      <c r="K1011" s="147"/>
      <c r="L1011" s="210"/>
      <c r="M1011" s="147"/>
    </row>
    <row r="1012" spans="1:13" s="148" customFormat="1" ht="16.5" hidden="1" customHeight="1">
      <c r="A1012" s="110"/>
      <c r="B1012" s="149"/>
      <c r="C1012" s="150">
        <v>1</v>
      </c>
      <c r="D1012" s="151" t="s">
        <v>268</v>
      </c>
      <c r="E1012" s="159">
        <v>0.5</v>
      </c>
      <c r="F1012" s="153">
        <v>3.44</v>
      </c>
      <c r="G1012" s="153">
        <v>0</v>
      </c>
      <c r="H1012" s="153">
        <v>0.89</v>
      </c>
      <c r="I1012" s="185">
        <f t="shared" si="87"/>
        <v>1.53</v>
      </c>
      <c r="J1012" s="195" t="s">
        <v>102</v>
      </c>
      <c r="K1012" s="147"/>
      <c r="L1012" s="210"/>
      <c r="M1012" s="147"/>
    </row>
    <row r="1013" spans="1:13" s="148" customFormat="1" ht="16.5" hidden="1" customHeight="1">
      <c r="A1013" s="110"/>
      <c r="B1013" s="149"/>
      <c r="C1013" s="150">
        <v>1</v>
      </c>
      <c r="D1013" s="151" t="s">
        <v>268</v>
      </c>
      <c r="E1013" s="152">
        <v>1</v>
      </c>
      <c r="F1013" s="153">
        <v>1.9</v>
      </c>
      <c r="G1013" s="153">
        <v>0</v>
      </c>
      <c r="H1013" s="153">
        <v>1.78</v>
      </c>
      <c r="I1013" s="185">
        <f t="shared" si="87"/>
        <v>3.38</v>
      </c>
      <c r="J1013" s="195" t="s">
        <v>102</v>
      </c>
      <c r="K1013" s="147"/>
      <c r="L1013" s="210"/>
      <c r="M1013" s="147"/>
    </row>
    <row r="1014" spans="1:13" s="148" customFormat="1" ht="16.5" hidden="1" customHeight="1">
      <c r="A1014" s="110"/>
      <c r="B1014" s="149"/>
      <c r="C1014" s="150">
        <v>2</v>
      </c>
      <c r="D1014" s="151" t="s">
        <v>268</v>
      </c>
      <c r="E1014" s="159">
        <v>0.5</v>
      </c>
      <c r="F1014" s="153">
        <v>1.18</v>
      </c>
      <c r="G1014" s="153">
        <v>0</v>
      </c>
      <c r="H1014" s="153">
        <v>1.2</v>
      </c>
      <c r="I1014" s="185">
        <f t="shared" si="87"/>
        <v>1.42</v>
      </c>
      <c r="J1014" s="195" t="s">
        <v>102</v>
      </c>
      <c r="K1014" s="147"/>
      <c r="L1014" s="210"/>
      <c r="M1014" s="147"/>
    </row>
    <row r="1015" spans="1:13" s="148" customFormat="1" ht="16.5" hidden="1" customHeight="1">
      <c r="A1015" s="110"/>
      <c r="B1015" s="149"/>
      <c r="C1015" s="150">
        <v>2</v>
      </c>
      <c r="D1015" s="151" t="s">
        <v>268</v>
      </c>
      <c r="E1015" s="159">
        <v>0.5</v>
      </c>
      <c r="F1015" s="153">
        <v>1.1299999999999999</v>
      </c>
      <c r="G1015" s="153">
        <v>0</v>
      </c>
      <c r="H1015" s="153">
        <v>1.1599999999999999</v>
      </c>
      <c r="I1015" s="185">
        <f t="shared" si="87"/>
        <v>1.31</v>
      </c>
      <c r="J1015" s="195" t="s">
        <v>102</v>
      </c>
      <c r="K1015" s="147"/>
      <c r="L1015" s="210"/>
      <c r="M1015" s="147"/>
    </row>
    <row r="1016" spans="1:13" s="148" customFormat="1" ht="16.5" hidden="1" customHeight="1">
      <c r="A1016" s="110"/>
      <c r="B1016" s="149"/>
      <c r="C1016" s="150">
        <v>1</v>
      </c>
      <c r="D1016" s="151" t="s">
        <v>268</v>
      </c>
      <c r="E1016" s="152">
        <v>2</v>
      </c>
      <c r="F1016" s="153">
        <v>3.6</v>
      </c>
      <c r="G1016" s="153">
        <v>1.1299999999999999</v>
      </c>
      <c r="H1016" s="153">
        <v>0</v>
      </c>
      <c r="I1016" s="185">
        <f t="shared" si="87"/>
        <v>8.14</v>
      </c>
      <c r="J1016" s="195" t="s">
        <v>102</v>
      </c>
      <c r="K1016" s="147"/>
      <c r="L1016" s="210"/>
      <c r="M1016" s="147"/>
    </row>
    <row r="1017" spans="1:13" s="148" customFormat="1" ht="16.5" hidden="1" customHeight="1">
      <c r="A1017" s="110"/>
      <c r="B1017" s="149"/>
      <c r="C1017" s="150">
        <v>2</v>
      </c>
      <c r="D1017" s="151" t="s">
        <v>268</v>
      </c>
      <c r="E1017" s="159">
        <v>0.5</v>
      </c>
      <c r="F1017" s="153">
        <v>0.96</v>
      </c>
      <c r="G1017" s="153">
        <v>1</v>
      </c>
      <c r="H1017" s="153">
        <v>0</v>
      </c>
      <c r="I1017" s="185">
        <f t="shared" si="87"/>
        <v>0.96</v>
      </c>
      <c r="J1017" s="195" t="s">
        <v>102</v>
      </c>
      <c r="K1017" s="147"/>
      <c r="L1017" s="210"/>
      <c r="M1017" s="147"/>
    </row>
    <row r="1018" spans="1:13" s="148" customFormat="1" ht="16.5" hidden="1" customHeight="1">
      <c r="A1018" s="110"/>
      <c r="B1018" s="149"/>
      <c r="C1018" s="150">
        <v>1</v>
      </c>
      <c r="D1018" s="151" t="s">
        <v>268</v>
      </c>
      <c r="E1018" s="152">
        <v>2</v>
      </c>
      <c r="F1018" s="153">
        <v>1.33</v>
      </c>
      <c r="G1018" s="153">
        <v>2.1</v>
      </c>
      <c r="H1018" s="153">
        <v>0</v>
      </c>
      <c r="I1018" s="185">
        <f t="shared" si="87"/>
        <v>5.59</v>
      </c>
      <c r="J1018" s="195" t="s">
        <v>102</v>
      </c>
      <c r="K1018" s="147"/>
      <c r="L1018" s="210"/>
      <c r="M1018" s="147"/>
    </row>
    <row r="1019" spans="1:13" s="148" customFormat="1" ht="16.5" hidden="1" customHeight="1">
      <c r="A1019" s="110"/>
      <c r="B1019" s="149"/>
      <c r="C1019" s="150">
        <v>4</v>
      </c>
      <c r="D1019" s="151" t="s">
        <v>268</v>
      </c>
      <c r="E1019" s="194">
        <v>3.14</v>
      </c>
      <c r="F1019" s="153">
        <v>0.23</v>
      </c>
      <c r="G1019" s="153">
        <v>0</v>
      </c>
      <c r="H1019" s="153">
        <v>3.17</v>
      </c>
      <c r="I1019" s="185">
        <f t="shared" si="87"/>
        <v>9.16</v>
      </c>
      <c r="J1019" s="195" t="s">
        <v>102</v>
      </c>
      <c r="K1019" s="147"/>
      <c r="L1019" s="210"/>
      <c r="M1019" s="147"/>
    </row>
    <row r="1020" spans="1:13" s="148" customFormat="1" ht="16.5" hidden="1" customHeight="1">
      <c r="A1020" s="110"/>
      <c r="B1020" s="149"/>
      <c r="C1020" s="150">
        <v>1</v>
      </c>
      <c r="D1020" s="151" t="s">
        <v>268</v>
      </c>
      <c r="E1020" s="152">
        <v>2</v>
      </c>
      <c r="F1020" s="153">
        <v>1.47</v>
      </c>
      <c r="G1020" s="153">
        <v>0</v>
      </c>
      <c r="H1020" s="153">
        <v>0.9</v>
      </c>
      <c r="I1020" s="185">
        <f t="shared" si="87"/>
        <v>2.65</v>
      </c>
      <c r="J1020" s="195" t="s">
        <v>102</v>
      </c>
      <c r="K1020" s="147"/>
      <c r="L1020" s="210"/>
      <c r="M1020" s="147"/>
    </row>
    <row r="1021" spans="1:13" s="148" customFormat="1" ht="16.5" hidden="1" customHeight="1">
      <c r="A1021" s="110"/>
      <c r="B1021" s="149"/>
      <c r="C1021" s="150">
        <v>1</v>
      </c>
      <c r="D1021" s="151" t="s">
        <v>268</v>
      </c>
      <c r="E1021" s="152">
        <v>10</v>
      </c>
      <c r="F1021" s="153">
        <v>1.2</v>
      </c>
      <c r="G1021" s="153">
        <v>0</v>
      </c>
      <c r="H1021" s="153">
        <v>0.9</v>
      </c>
      <c r="I1021" s="185">
        <f t="shared" si="87"/>
        <v>10.8</v>
      </c>
      <c r="J1021" s="195" t="s">
        <v>102</v>
      </c>
      <c r="K1021" s="147"/>
      <c r="L1021" s="210"/>
      <c r="M1021" s="147"/>
    </row>
    <row r="1022" spans="1:13" s="148" customFormat="1" ht="16.5" hidden="1" customHeight="1">
      <c r="A1022" s="110"/>
      <c r="B1022" s="149"/>
      <c r="C1022" s="150">
        <v>1</v>
      </c>
      <c r="D1022" s="151" t="s">
        <v>268</v>
      </c>
      <c r="E1022" s="152">
        <v>2</v>
      </c>
      <c r="F1022" s="153">
        <v>0.92</v>
      </c>
      <c r="G1022" s="153">
        <v>0</v>
      </c>
      <c r="H1022" s="153">
        <v>0.9</v>
      </c>
      <c r="I1022" s="185">
        <f t="shared" si="87"/>
        <v>1.66</v>
      </c>
      <c r="J1022" s="195" t="s">
        <v>102</v>
      </c>
      <c r="K1022" s="147"/>
      <c r="L1022" s="210"/>
      <c r="M1022" s="147"/>
    </row>
    <row r="1023" spans="1:13" s="148" customFormat="1" ht="16.5" hidden="1" customHeight="1">
      <c r="A1023" s="110"/>
      <c r="B1023" s="149"/>
      <c r="C1023" s="150">
        <v>1</v>
      </c>
      <c r="D1023" s="151" t="s">
        <v>268</v>
      </c>
      <c r="E1023" s="152">
        <v>11</v>
      </c>
      <c r="F1023" s="153">
        <v>5.2</v>
      </c>
      <c r="G1023" s="153">
        <v>0.1</v>
      </c>
      <c r="H1023" s="153">
        <v>0</v>
      </c>
      <c r="I1023" s="185">
        <f t="shared" si="87"/>
        <v>5.72</v>
      </c>
      <c r="J1023" s="195" t="s">
        <v>102</v>
      </c>
      <c r="K1023" s="147"/>
      <c r="L1023" s="210"/>
      <c r="M1023" s="147"/>
    </row>
    <row r="1024" spans="1:13" s="148" customFormat="1" ht="16.5" hidden="1" customHeight="1">
      <c r="A1024" s="110"/>
      <c r="B1024" s="149"/>
      <c r="C1024" s="150">
        <v>1</v>
      </c>
      <c r="D1024" s="151" t="s">
        <v>268</v>
      </c>
      <c r="E1024" s="152">
        <v>11</v>
      </c>
      <c r="F1024" s="153">
        <v>1.5</v>
      </c>
      <c r="G1024" s="153">
        <v>3.7999999999999999E-2</v>
      </c>
      <c r="H1024" s="153">
        <v>0</v>
      </c>
      <c r="I1024" s="185">
        <f t="shared" si="87"/>
        <v>0.63</v>
      </c>
      <c r="J1024" s="195" t="s">
        <v>102</v>
      </c>
      <c r="K1024" s="147"/>
      <c r="L1024" s="210"/>
      <c r="M1024" s="147"/>
    </row>
    <row r="1025" spans="1:13" s="148" customFormat="1" ht="16.5" hidden="1" customHeight="1">
      <c r="A1025" s="110"/>
      <c r="B1025" s="149"/>
      <c r="C1025" s="150">
        <v>1</v>
      </c>
      <c r="D1025" s="151" t="s">
        <v>268</v>
      </c>
      <c r="E1025" s="152">
        <v>1</v>
      </c>
      <c r="F1025" s="153">
        <v>1.8</v>
      </c>
      <c r="G1025" s="153">
        <v>3.7999999999999999E-2</v>
      </c>
      <c r="H1025" s="153">
        <v>0</v>
      </c>
      <c r="I1025" s="185">
        <f t="shared" si="87"/>
        <v>7.0000000000000007E-2</v>
      </c>
      <c r="J1025" s="195" t="s">
        <v>102</v>
      </c>
      <c r="K1025" s="147"/>
      <c r="L1025" s="210"/>
      <c r="M1025" s="147"/>
    </row>
    <row r="1026" spans="1:13" s="148" customFormat="1" ht="16.5" hidden="1" customHeight="1">
      <c r="A1026" s="110"/>
      <c r="B1026" s="149"/>
      <c r="C1026" s="150">
        <v>1</v>
      </c>
      <c r="D1026" s="151" t="s">
        <v>268</v>
      </c>
      <c r="E1026" s="152">
        <v>9</v>
      </c>
      <c r="F1026" s="153">
        <v>2.85</v>
      </c>
      <c r="G1026" s="153">
        <v>3.2000000000000001E-2</v>
      </c>
      <c r="H1026" s="153">
        <v>0</v>
      </c>
      <c r="I1026" s="185">
        <f t="shared" si="87"/>
        <v>0.82</v>
      </c>
      <c r="J1026" s="195" t="s">
        <v>102</v>
      </c>
      <c r="K1026" s="147"/>
      <c r="L1026" s="210"/>
      <c r="M1026" s="147"/>
    </row>
    <row r="1027" spans="1:13" s="148" customFormat="1" ht="16.5" hidden="1" customHeight="1">
      <c r="A1027" s="110"/>
      <c r="B1027" s="149"/>
      <c r="C1027" s="150">
        <v>1</v>
      </c>
      <c r="D1027" s="151" t="s">
        <v>268</v>
      </c>
      <c r="E1027" s="152">
        <v>1</v>
      </c>
      <c r="F1027" s="153">
        <v>39.25</v>
      </c>
      <c r="G1027" s="153">
        <v>7.0000000000000007E-2</v>
      </c>
      <c r="H1027" s="153">
        <v>0</v>
      </c>
      <c r="I1027" s="185">
        <f t="shared" si="87"/>
        <v>2.75</v>
      </c>
      <c r="J1027" s="195" t="s">
        <v>102</v>
      </c>
      <c r="K1027" s="147"/>
      <c r="L1027" s="210"/>
      <c r="M1027" s="147"/>
    </row>
    <row r="1028" spans="1:13" s="148" customFormat="1" ht="16.5" hidden="1" customHeight="1">
      <c r="A1028" s="110"/>
      <c r="B1028" s="174" t="s">
        <v>1298</v>
      </c>
      <c r="C1028" s="141"/>
      <c r="D1028" s="142"/>
      <c r="E1028" s="143"/>
      <c r="F1028" s="144"/>
      <c r="G1028" s="144"/>
      <c r="H1028" s="145"/>
      <c r="I1028" s="184"/>
      <c r="J1028" s="195"/>
      <c r="K1028" s="147"/>
      <c r="L1028" s="210"/>
      <c r="M1028" s="147"/>
    </row>
    <row r="1029" spans="1:13" s="148" customFormat="1" ht="16.5" hidden="1" customHeight="1">
      <c r="A1029" s="110"/>
      <c r="B1029" s="149"/>
      <c r="C1029" s="150">
        <v>1</v>
      </c>
      <c r="D1029" s="151" t="s">
        <v>268</v>
      </c>
      <c r="E1029" s="152">
        <v>2</v>
      </c>
      <c r="F1029" s="153">
        <v>3.77</v>
      </c>
      <c r="G1029" s="153">
        <v>0</v>
      </c>
      <c r="H1029" s="153">
        <v>0.64</v>
      </c>
      <c r="I1029" s="185">
        <f>ROUND(IF(AND(F1029:H1029),C1029*E1029*F1029*G1029*H1029,IF(AND(F1029,G1029),C1029*E1029*F1029*G1029,IF(AND(F1029,H1029),C1029*E1029*F1029*H1029,IF(AND(G1029,H1029),C1029*E1029*G1029*H1029,IF(F1029,C1029*E1029*F1029,IF(G1029,C1029*E1029*G1029,IF(H1029,C1029*E1029*H1029,C1029*E1029))))))),2)</f>
        <v>4.83</v>
      </c>
      <c r="J1029" s="195" t="s">
        <v>102</v>
      </c>
      <c r="K1029" s="147"/>
      <c r="L1029" s="210"/>
      <c r="M1029" s="147"/>
    </row>
    <row r="1030" spans="1:13" s="148" customFormat="1" ht="16.5" hidden="1" customHeight="1">
      <c r="A1030" s="110"/>
      <c r="B1030" s="149"/>
      <c r="C1030" s="150">
        <v>1</v>
      </c>
      <c r="D1030" s="151" t="s">
        <v>268</v>
      </c>
      <c r="E1030" s="152">
        <v>1</v>
      </c>
      <c r="F1030" s="153">
        <v>3.66</v>
      </c>
      <c r="G1030" s="153">
        <v>0</v>
      </c>
      <c r="H1030" s="153">
        <v>1.74</v>
      </c>
      <c r="I1030" s="185">
        <f>ROUND(IF(AND(F1030:H1030),C1030*E1030*F1030*G1030*H1030,IF(AND(F1030,G1030),C1030*E1030*F1030*G1030,IF(AND(F1030,H1030),C1030*E1030*F1030*H1030,IF(AND(G1030,H1030),C1030*E1030*G1030*H1030,IF(F1030,C1030*E1030*F1030,IF(G1030,C1030*E1030*G1030,IF(H1030,C1030*E1030*H1030,C1030*E1030))))))),2)</f>
        <v>6.37</v>
      </c>
      <c r="J1030" s="195" t="s">
        <v>102</v>
      </c>
      <c r="K1030" s="147"/>
      <c r="L1030" s="210"/>
      <c r="M1030" s="147"/>
    </row>
    <row r="1031" spans="1:13" s="148" customFormat="1" ht="16.5" hidden="1" customHeight="1">
      <c r="A1031" s="110"/>
      <c r="B1031" s="149"/>
      <c r="C1031" s="150">
        <v>1</v>
      </c>
      <c r="D1031" s="151" t="s">
        <v>268</v>
      </c>
      <c r="E1031" s="152">
        <v>6</v>
      </c>
      <c r="F1031" s="153">
        <v>0.43</v>
      </c>
      <c r="G1031" s="153">
        <v>0</v>
      </c>
      <c r="H1031" s="153">
        <v>0.87</v>
      </c>
      <c r="I1031" s="185">
        <f>ROUND(IF(AND(F1031:H1031),C1031*E1031*F1031*G1031*H1031,IF(AND(F1031,G1031),C1031*E1031*F1031*G1031,IF(AND(F1031,H1031),C1031*E1031*F1031*H1031,IF(AND(G1031,H1031),C1031*E1031*G1031*H1031,IF(F1031,C1031*E1031*F1031,IF(G1031,C1031*E1031*G1031,IF(H1031,C1031*E1031*H1031,C1031*E1031))))))),2)</f>
        <v>2.2400000000000002</v>
      </c>
      <c r="J1031" s="195" t="s">
        <v>102</v>
      </c>
      <c r="K1031" s="147"/>
      <c r="L1031" s="210"/>
      <c r="M1031" s="147"/>
    </row>
    <row r="1032" spans="1:13" s="148" customFormat="1" ht="16.5" hidden="1" customHeight="1">
      <c r="A1032" s="110"/>
      <c r="B1032" s="149"/>
      <c r="C1032" s="150">
        <v>1</v>
      </c>
      <c r="D1032" s="151" t="s">
        <v>268</v>
      </c>
      <c r="E1032" s="152">
        <v>4</v>
      </c>
      <c r="F1032" s="153">
        <v>0.43</v>
      </c>
      <c r="G1032" s="153">
        <v>0</v>
      </c>
      <c r="H1032" s="153">
        <v>0.94</v>
      </c>
      <c r="I1032" s="185">
        <f>ROUND(IF(AND(F1032:H1032),C1032*E1032*F1032*G1032*H1032,IF(AND(F1032,G1032),C1032*E1032*F1032*G1032,IF(AND(F1032,H1032),C1032*E1032*F1032*H1032,IF(AND(G1032,H1032),C1032*E1032*G1032*H1032,IF(F1032,C1032*E1032*F1032,IF(G1032,C1032*E1032*G1032,IF(H1032,C1032*E1032*H1032,C1032*E1032))))))),2)</f>
        <v>1.62</v>
      </c>
      <c r="J1032" s="195" t="s">
        <v>102</v>
      </c>
      <c r="K1032" s="147"/>
      <c r="L1032" s="210"/>
      <c r="M1032" s="147"/>
    </row>
    <row r="1033" spans="1:13" s="148" customFormat="1" ht="16.5" hidden="1" customHeight="1">
      <c r="A1033" s="110"/>
      <c r="B1033" s="149"/>
      <c r="C1033" s="150"/>
      <c r="D1033" s="151"/>
      <c r="E1033" s="152"/>
      <c r="F1033" s="153"/>
      <c r="G1033" s="153"/>
      <c r="H1033" s="153"/>
      <c r="I1033" s="185"/>
      <c r="J1033" s="195"/>
      <c r="K1033" s="147"/>
      <c r="L1033" s="210"/>
      <c r="M1033" s="147"/>
    </row>
    <row r="1034" spans="1:13" hidden="1">
      <c r="A1034" s="110"/>
      <c r="B1034" s="147"/>
      <c r="C1034" s="154"/>
      <c r="D1034" s="155"/>
      <c r="E1034" s="156"/>
      <c r="F1034" s="157"/>
      <c r="G1034" s="158"/>
      <c r="H1034" s="110"/>
      <c r="I1034" s="185"/>
      <c r="J1034" s="195" t="s">
        <v>102</v>
      </c>
      <c r="K1034" s="12">
        <f>'DATA 2025-26'!G499</f>
        <v>389.04</v>
      </c>
      <c r="L1034" s="210" t="s">
        <v>270</v>
      </c>
      <c r="M1034" s="11">
        <f>ROUND(I1034*K1034,0)</f>
        <v>0</v>
      </c>
    </row>
    <row r="1035" spans="1:13" ht="52.5" hidden="1" customHeight="1">
      <c r="A1035" s="110">
        <v>16</v>
      </c>
      <c r="B1035" s="964" t="s">
        <v>586</v>
      </c>
      <c r="C1035" s="964"/>
      <c r="D1035" s="964"/>
      <c r="E1035" s="964"/>
      <c r="F1035" s="964"/>
      <c r="G1035" s="964"/>
      <c r="H1035" s="964"/>
      <c r="I1035" s="183"/>
      <c r="J1035" s="186"/>
      <c r="K1035" s="110"/>
      <c r="L1035" s="210"/>
      <c r="M1035" s="139"/>
    </row>
    <row r="1036" spans="1:13" s="148" customFormat="1" ht="16.5" hidden="1" customHeight="1">
      <c r="A1036" s="110"/>
      <c r="B1036" s="174" t="s">
        <v>1299</v>
      </c>
      <c r="C1036" s="141"/>
      <c r="D1036" s="142"/>
      <c r="E1036" s="143"/>
      <c r="F1036" s="144"/>
      <c r="G1036" s="144"/>
      <c r="H1036" s="145"/>
      <c r="I1036" s="184"/>
      <c r="J1036" s="195"/>
      <c r="K1036" s="147"/>
      <c r="L1036" s="210"/>
      <c r="M1036" s="147"/>
    </row>
    <row r="1037" spans="1:13" s="148" customFormat="1" ht="16.5" hidden="1" customHeight="1">
      <c r="A1037" s="110"/>
      <c r="B1037" s="149" t="s">
        <v>575</v>
      </c>
      <c r="C1037" s="150">
        <v>1</v>
      </c>
      <c r="D1037" s="151" t="s">
        <v>268</v>
      </c>
      <c r="E1037" s="152">
        <v>1</v>
      </c>
      <c r="F1037" s="153">
        <v>40.82</v>
      </c>
      <c r="G1037" s="153">
        <v>0</v>
      </c>
      <c r="H1037" s="153">
        <v>3.8</v>
      </c>
      <c r="I1037" s="185">
        <f>ROUND(IF(AND(F1037:H1037),C1037*E1037*F1037*G1037*H1037,IF(AND(F1037,G1037),C1037*E1037*F1037*G1037,IF(AND(F1037,H1037),C1037*E1037*F1037*H1037,IF(AND(G1037,H1037),C1037*E1037*G1037*H1037,IF(F1037,C1037*E1037*F1037,IF(G1037,C1037*E1037*G1037,IF(H1037,C1037*E1037*H1037,C1037*E1037))))))),2)</f>
        <v>155.12</v>
      </c>
      <c r="J1037" s="195" t="s">
        <v>102</v>
      </c>
      <c r="K1037" s="147"/>
      <c r="L1037" s="210"/>
      <c r="M1037" s="147"/>
    </row>
    <row r="1038" spans="1:13" s="148" customFormat="1" ht="16.5" hidden="1" customHeight="1">
      <c r="A1038" s="110"/>
      <c r="B1038" s="149"/>
      <c r="C1038" s="150"/>
      <c r="D1038" s="151"/>
      <c r="E1038" s="152"/>
      <c r="F1038" s="153"/>
      <c r="G1038" s="153"/>
      <c r="H1038" s="153"/>
      <c r="I1038" s="185"/>
      <c r="J1038" s="195"/>
      <c r="K1038" s="147"/>
      <c r="L1038" s="210"/>
      <c r="M1038" s="147"/>
    </row>
    <row r="1039" spans="1:13" hidden="1">
      <c r="A1039" s="110"/>
      <c r="B1039" s="147"/>
      <c r="C1039" s="154"/>
      <c r="D1039" s="155"/>
      <c r="E1039" s="156"/>
      <c r="F1039" s="157"/>
      <c r="G1039" s="158"/>
      <c r="H1039" s="110"/>
      <c r="I1039" s="185"/>
      <c r="J1039" s="195" t="s">
        <v>102</v>
      </c>
      <c r="K1039" s="12">
        <f>'DATA 2025-26'!G516</f>
        <v>404.6</v>
      </c>
      <c r="L1039" s="210" t="s">
        <v>270</v>
      </c>
      <c r="M1039" s="11">
        <f>ROUND(I1039*K1039,0)</f>
        <v>0</v>
      </c>
    </row>
    <row r="1040" spans="1:13" ht="71.25" hidden="1" customHeight="1">
      <c r="A1040" s="110">
        <v>6</v>
      </c>
      <c r="B1040" s="964" t="s">
        <v>751</v>
      </c>
      <c r="C1040" s="964"/>
      <c r="D1040" s="964"/>
      <c r="E1040" s="964"/>
      <c r="F1040" s="964"/>
      <c r="G1040" s="964"/>
      <c r="H1040" s="964"/>
      <c r="I1040" s="183"/>
      <c r="J1040" s="186"/>
      <c r="K1040" s="110"/>
      <c r="L1040" s="210"/>
      <c r="M1040" s="139"/>
    </row>
    <row r="1041" spans="1:13" s="148" customFormat="1" ht="16.5" hidden="1" customHeight="1">
      <c r="A1041" s="110"/>
      <c r="B1041" s="147" t="s">
        <v>1407</v>
      </c>
      <c r="C1041" s="183"/>
      <c r="D1041" s="205"/>
      <c r="E1041" s="156"/>
      <c r="F1041" s="157"/>
      <c r="G1041" s="157"/>
      <c r="H1041" s="157"/>
      <c r="I1041" s="206"/>
      <c r="J1041" s="195"/>
      <c r="K1041" s="147"/>
      <c r="L1041" s="110"/>
      <c r="M1041" s="147"/>
    </row>
    <row r="1042" spans="1:13" s="148" customFormat="1" ht="16.5" hidden="1" customHeight="1">
      <c r="A1042" s="110"/>
      <c r="B1042" s="147"/>
      <c r="C1042" s="183">
        <v>1</v>
      </c>
      <c r="D1042" s="205" t="s">
        <v>268</v>
      </c>
      <c r="E1042" s="156">
        <v>1</v>
      </c>
      <c r="F1042" s="157">
        <v>7.2</v>
      </c>
      <c r="G1042" s="157">
        <v>0</v>
      </c>
      <c r="H1042" s="157">
        <v>1.8</v>
      </c>
      <c r="I1042" s="207">
        <f>ROUND(IF(AND(F1042:H1042),C1042*E1042*F1042*G1042*H1042,IF(AND(F1042,G1042),C1042*E1042*F1042*G1042,IF(AND(F1042,H1042),C1042*E1042*F1042*H1042,IF(AND(G1042,H1042),C1042*E1042*G1042*H1042,IF(F1042,C1042*E1042*F1042,IF(G1042,C1042*E1042*G1042,IF(H1042,C1042*E1042*H1042,C1042*E1042))))))),2)</f>
        <v>12.96</v>
      </c>
      <c r="J1042" s="195" t="s">
        <v>102</v>
      </c>
      <c r="K1042" s="147"/>
      <c r="L1042" s="110"/>
      <c r="M1042" s="147"/>
    </row>
    <row r="1043" spans="1:13" s="148" customFormat="1" ht="16.5" hidden="1" customHeight="1">
      <c r="A1043" s="110"/>
      <c r="B1043" s="147"/>
      <c r="C1043" s="183">
        <v>1</v>
      </c>
      <c r="D1043" s="205" t="s">
        <v>268</v>
      </c>
      <c r="E1043" s="156">
        <v>1</v>
      </c>
      <c r="F1043" s="157">
        <v>7.2</v>
      </c>
      <c r="G1043" s="157">
        <v>0</v>
      </c>
      <c r="H1043" s="157">
        <v>2</v>
      </c>
      <c r="I1043" s="207">
        <f>ROUND(IF(AND(F1043:H1043),C1043*E1043*F1043*G1043*H1043,IF(AND(F1043,G1043),C1043*E1043*F1043*G1043,IF(AND(F1043,H1043),C1043*E1043*F1043*H1043,IF(AND(G1043,H1043),C1043*E1043*G1043*H1043,IF(F1043,C1043*E1043*F1043,IF(G1043,C1043*E1043*G1043,IF(H1043,C1043*E1043*H1043,C1043*E1043))))))),2)</f>
        <v>14.4</v>
      </c>
      <c r="J1043" s="195" t="s">
        <v>102</v>
      </c>
      <c r="K1043" s="147"/>
      <c r="L1043" s="110"/>
      <c r="M1043" s="147"/>
    </row>
    <row r="1044" spans="1:13" s="148" customFormat="1" ht="16.5" hidden="1" customHeight="1">
      <c r="A1044" s="110"/>
      <c r="B1044" s="147"/>
      <c r="C1044" s="183">
        <v>1</v>
      </c>
      <c r="D1044" s="205" t="s">
        <v>268</v>
      </c>
      <c r="E1044" s="156">
        <v>1</v>
      </c>
      <c r="F1044" s="157">
        <v>1.8</v>
      </c>
      <c r="G1044" s="157">
        <v>1.8</v>
      </c>
      <c r="H1044" s="157">
        <v>0</v>
      </c>
      <c r="I1044" s="207">
        <f>ROUND(IF(AND(F1044:H1044),C1044*E1044*F1044*G1044*H1044,IF(AND(F1044,G1044),C1044*E1044*F1044*G1044,IF(AND(F1044,H1044),C1044*E1044*F1044*H1044,IF(AND(G1044,H1044),C1044*E1044*G1044*H1044,IF(F1044,C1044*E1044*F1044,IF(G1044,C1044*E1044*G1044,IF(H1044,C1044*E1044*H1044,C1044*E1044))))))),2)</f>
        <v>3.24</v>
      </c>
      <c r="J1044" s="195" t="s">
        <v>102</v>
      </c>
      <c r="K1044" s="147"/>
      <c r="L1044" s="110"/>
      <c r="M1044" s="147"/>
    </row>
    <row r="1045" spans="1:13" s="148" customFormat="1" ht="16.5" hidden="1" customHeight="1">
      <c r="A1045" s="110"/>
      <c r="B1045" s="149"/>
      <c r="C1045" s="150"/>
      <c r="D1045" s="151"/>
      <c r="E1045" s="152"/>
      <c r="F1045" s="153"/>
      <c r="G1045" s="153"/>
      <c r="H1045" s="153"/>
      <c r="I1045" s="185"/>
      <c r="J1045" s="195"/>
      <c r="K1045" s="147"/>
      <c r="L1045" s="210"/>
      <c r="M1045" s="147"/>
    </row>
    <row r="1046" spans="1:13" hidden="1">
      <c r="A1046" s="110"/>
      <c r="B1046" s="147"/>
      <c r="C1046" s="154"/>
      <c r="D1046" s="155"/>
      <c r="E1046" s="156"/>
      <c r="F1046" s="157"/>
      <c r="G1046" s="158"/>
      <c r="H1046" s="110"/>
      <c r="I1046" s="185"/>
      <c r="J1046" s="195" t="s">
        <v>102</v>
      </c>
      <c r="K1046" s="12">
        <f>'DATA 2025-26'!G553</f>
        <v>545.52</v>
      </c>
      <c r="L1046" s="210" t="s">
        <v>270</v>
      </c>
      <c r="M1046" s="11">
        <f>ROUND(I1046*K1046,0)</f>
        <v>0</v>
      </c>
    </row>
    <row r="1047" spans="1:13" ht="71.25" hidden="1" customHeight="1">
      <c r="A1047" s="110">
        <v>23</v>
      </c>
      <c r="B1047" s="964" t="s">
        <v>310</v>
      </c>
      <c r="C1047" s="964"/>
      <c r="D1047" s="964"/>
      <c r="E1047" s="964"/>
      <c r="F1047" s="964"/>
      <c r="G1047" s="964"/>
      <c r="H1047" s="964"/>
      <c r="I1047" s="183"/>
      <c r="J1047" s="186"/>
      <c r="K1047" s="110"/>
      <c r="L1047" s="210"/>
      <c r="M1047" s="139"/>
    </row>
    <row r="1048" spans="1:13" s="148" customFormat="1" ht="16.5" hidden="1" customHeight="1">
      <c r="A1048" s="110"/>
      <c r="B1048" s="147" t="s">
        <v>1322</v>
      </c>
      <c r="C1048" s="183"/>
      <c r="D1048" s="205"/>
      <c r="E1048" s="156"/>
      <c r="F1048" s="157"/>
      <c r="G1048" s="157"/>
      <c r="H1048" s="157"/>
      <c r="I1048" s="206"/>
      <c r="J1048" s="195"/>
      <c r="K1048" s="147"/>
      <c r="L1048" s="210"/>
      <c r="M1048" s="147"/>
    </row>
    <row r="1049" spans="1:13" s="148" customFormat="1" ht="18.75" hidden="1" customHeight="1">
      <c r="A1049" s="110"/>
      <c r="B1049" s="147"/>
      <c r="C1049" s="183">
        <v>1</v>
      </c>
      <c r="D1049" s="205" t="s">
        <v>268</v>
      </c>
      <c r="E1049" s="156">
        <v>2</v>
      </c>
      <c r="F1049" s="157">
        <v>3.24</v>
      </c>
      <c r="G1049" s="157">
        <v>0</v>
      </c>
      <c r="H1049" s="157">
        <v>2.4</v>
      </c>
      <c r="I1049" s="207">
        <f>ROUND(IF(AND(F1049:H1049),C1049*E1049*F1049*G1049*H1049,IF(AND(F1049,G1049),C1049*E1049*F1049*G1049,IF(AND(F1049,H1049),C1049*E1049*F1049*H1049,IF(AND(G1049,H1049),C1049*E1049*G1049*H1049,IF(F1049,C1049*E1049*F1049,IF(G1049,C1049*E1049*G1049,IF(H1049,C1049*E1049*H1049,C1049*E1049))))))),2)</f>
        <v>15.55</v>
      </c>
      <c r="J1049" s="195" t="s">
        <v>102</v>
      </c>
      <c r="K1049" s="147"/>
      <c r="L1049" s="210"/>
      <c r="M1049" s="147"/>
    </row>
    <row r="1050" spans="1:13" s="148" customFormat="1" ht="18.75" hidden="1" customHeight="1">
      <c r="A1050" s="110"/>
      <c r="B1050" s="147"/>
      <c r="C1050" s="183">
        <v>1</v>
      </c>
      <c r="D1050" s="205" t="s">
        <v>268</v>
      </c>
      <c r="E1050" s="156">
        <v>2</v>
      </c>
      <c r="F1050" s="157">
        <v>4.6900000000000004</v>
      </c>
      <c r="G1050" s="157">
        <v>0</v>
      </c>
      <c r="H1050" s="157">
        <v>2.4</v>
      </c>
      <c r="I1050" s="207">
        <f>ROUND(IF(AND(F1050:H1050),C1050*E1050*F1050*G1050*H1050,IF(AND(F1050,G1050),C1050*E1050*F1050*G1050,IF(AND(F1050,H1050),C1050*E1050*F1050*H1050,IF(AND(G1050,H1050),C1050*E1050*G1050*H1050,IF(F1050,C1050*E1050*F1050,IF(G1050,C1050*E1050*G1050,IF(H1050,C1050*E1050*H1050,C1050*E1050))))))),2)</f>
        <v>22.51</v>
      </c>
      <c r="J1050" s="195" t="s">
        <v>102</v>
      </c>
      <c r="K1050" s="147"/>
      <c r="L1050" s="210"/>
      <c r="M1050" s="147"/>
    </row>
    <row r="1051" spans="1:13" s="148" customFormat="1" ht="18.75" hidden="1" customHeight="1">
      <c r="A1051" s="110"/>
      <c r="B1051" s="147" t="s">
        <v>1260</v>
      </c>
      <c r="C1051" s="183">
        <v>1</v>
      </c>
      <c r="D1051" s="205" t="s">
        <v>268</v>
      </c>
      <c r="E1051" s="156">
        <v>1</v>
      </c>
      <c r="F1051" s="157">
        <v>38.71</v>
      </c>
      <c r="G1051" s="157">
        <v>0</v>
      </c>
      <c r="H1051" s="157">
        <v>1.92</v>
      </c>
      <c r="I1051" s="207">
        <f>ROUND(IF(AND(F1051:H1051),C1051*E1051*F1051*G1051*H1051,IF(AND(F1051,G1051),C1051*E1051*F1051*G1051,IF(AND(F1051,H1051),C1051*E1051*F1051*H1051,IF(AND(G1051,H1051),C1051*E1051*G1051*H1051,IF(F1051,C1051*E1051*F1051,IF(G1051,C1051*E1051*G1051,IF(H1051,C1051*E1051*H1051,C1051*E1051))))))),2)</f>
        <v>74.319999999999993</v>
      </c>
      <c r="J1051" s="195" t="s">
        <v>102</v>
      </c>
      <c r="K1051" s="147"/>
      <c r="L1051" s="210"/>
      <c r="M1051" s="147"/>
    </row>
    <row r="1052" spans="1:13" s="148" customFormat="1" ht="18.75" hidden="1" customHeight="1">
      <c r="A1052" s="110"/>
      <c r="B1052" s="147" t="s">
        <v>567</v>
      </c>
      <c r="C1052" s="183">
        <v>1</v>
      </c>
      <c r="D1052" s="205" t="s">
        <v>268</v>
      </c>
      <c r="E1052" s="156">
        <v>1</v>
      </c>
      <c r="F1052" s="157">
        <v>1.05</v>
      </c>
      <c r="G1052" s="157">
        <v>0</v>
      </c>
      <c r="H1052" s="157">
        <v>2.1</v>
      </c>
      <c r="I1052" s="207">
        <f>-ROUND(IF(AND(F1052:H1052),C1052*E1052*F1052*G1052*H1052,IF(AND(F1052,G1052),C1052*E1052*F1052*G1052,IF(AND(F1052,H1052),C1052*E1052*F1052*H1052,IF(AND(G1052,H1052),C1052*E1052*G1052*H1052,IF(F1052,C1052*E1052*F1052,IF(G1052,C1052*E1052*G1052,IF(H1052,C1052*E1052*H1052,C1052*E1052))))))),2)</f>
        <v>-2.21</v>
      </c>
      <c r="J1052" s="195" t="s">
        <v>102</v>
      </c>
      <c r="K1052" s="147"/>
      <c r="L1052" s="210"/>
      <c r="M1052" s="147"/>
    </row>
    <row r="1053" spans="1:13" s="148" customFormat="1" ht="18.75" hidden="1" customHeight="1">
      <c r="A1053" s="110"/>
      <c r="B1053" s="147" t="s">
        <v>277</v>
      </c>
      <c r="C1053" s="183">
        <v>1</v>
      </c>
      <c r="D1053" s="205" t="s">
        <v>268</v>
      </c>
      <c r="E1053" s="156">
        <v>1</v>
      </c>
      <c r="F1053" s="157">
        <v>1.53</v>
      </c>
      <c r="G1053" s="157">
        <v>0</v>
      </c>
      <c r="H1053" s="157">
        <v>1.28</v>
      </c>
      <c r="I1053" s="207">
        <f>-ROUND(IF(AND(F1053:H1053),C1053*E1053*F1053*G1053*H1053,IF(AND(F1053,G1053),C1053*E1053*F1053*G1053,IF(AND(F1053,H1053),C1053*E1053*F1053*H1053,IF(AND(G1053,H1053),C1053*E1053*G1053*H1053,IF(F1053,C1053*E1053*F1053,IF(G1053,C1053*E1053*G1053,IF(H1053,C1053*E1053*H1053,C1053*E1053))))))),2)</f>
        <v>-1.96</v>
      </c>
      <c r="J1053" s="195" t="s">
        <v>102</v>
      </c>
      <c r="K1053" s="147"/>
      <c r="L1053" s="210"/>
      <c r="M1053" s="147"/>
    </row>
    <row r="1054" spans="1:13" s="148" customFormat="1" ht="16.5" hidden="1" customHeight="1">
      <c r="A1054" s="110"/>
      <c r="B1054" s="149"/>
      <c r="C1054" s="150"/>
      <c r="D1054" s="151"/>
      <c r="E1054" s="152"/>
      <c r="F1054" s="153"/>
      <c r="G1054" s="153"/>
      <c r="H1054" s="153"/>
      <c r="I1054" s="185"/>
      <c r="J1054" s="195"/>
      <c r="K1054" s="147"/>
      <c r="L1054" s="210"/>
      <c r="M1054" s="147"/>
    </row>
    <row r="1055" spans="1:13" hidden="1">
      <c r="A1055" s="110"/>
      <c r="B1055" s="147"/>
      <c r="C1055" s="154"/>
      <c r="D1055" s="155"/>
      <c r="E1055" s="156"/>
      <c r="F1055" s="157"/>
      <c r="G1055" s="158"/>
      <c r="H1055" s="110"/>
      <c r="I1055" s="185"/>
      <c r="J1055" s="195" t="s">
        <v>102</v>
      </c>
      <c r="K1055" s="12">
        <f>'DATA 2025-26'!G574</f>
        <v>558.20000000000005</v>
      </c>
      <c r="L1055" s="210" t="s">
        <v>270</v>
      </c>
      <c r="M1055" s="11">
        <f>ROUND(I1055*K1055,0)</f>
        <v>0</v>
      </c>
    </row>
    <row r="1056" spans="1:13" ht="92.25" hidden="1" customHeight="1">
      <c r="A1056" s="110">
        <v>13</v>
      </c>
      <c r="B1056" s="964" t="s">
        <v>1232</v>
      </c>
      <c r="C1056" s="964"/>
      <c r="D1056" s="964"/>
      <c r="E1056" s="964"/>
      <c r="F1056" s="964"/>
      <c r="G1056" s="964"/>
      <c r="H1056" s="964"/>
      <c r="I1056" s="183"/>
      <c r="J1056" s="186"/>
      <c r="K1056" s="110"/>
      <c r="L1056" s="210"/>
      <c r="M1056" s="139"/>
    </row>
    <row r="1057" spans="1:13" s="148" customFormat="1" ht="16.5" hidden="1" customHeight="1">
      <c r="A1057" s="110"/>
      <c r="B1057" s="140" t="s">
        <v>584</v>
      </c>
      <c r="C1057" s="141"/>
      <c r="D1057" s="142"/>
      <c r="E1057" s="143"/>
      <c r="F1057" s="144"/>
      <c r="G1057" s="144"/>
      <c r="H1057" s="145"/>
      <c r="I1057" s="184"/>
      <c r="J1057" s="195"/>
      <c r="K1057" s="147"/>
      <c r="L1057" s="210"/>
      <c r="M1057" s="147"/>
    </row>
    <row r="1058" spans="1:13" s="148" customFormat="1" ht="16.5" hidden="1" customHeight="1">
      <c r="A1058" s="110"/>
      <c r="B1058" s="149"/>
      <c r="C1058" s="150">
        <v>11</v>
      </c>
      <c r="D1058" s="151" t="s">
        <v>268</v>
      </c>
      <c r="E1058" s="159">
        <v>0.5</v>
      </c>
      <c r="F1058" s="153">
        <v>1.8</v>
      </c>
      <c r="G1058" s="153">
        <v>0.3</v>
      </c>
      <c r="H1058" s="153">
        <v>0.15</v>
      </c>
      <c r="I1058" s="185">
        <f>ROUND(IF(AND(F1058:H1058),C1058*E1058*F1058*G1058*H1058,IF(AND(F1058,G1058),C1058*E1058*F1058*G1058,IF(AND(F1058,H1058),C1058*E1058*F1058*H1058,IF(AND(G1058,H1058),C1058*E1058*G1058*H1058,IF(F1058,C1058*E1058*F1058,IF(G1058,C1058*E1058*G1058,IF(H1058,C1058*E1058*H1058,C1058*E1058))))))),2)</f>
        <v>0.45</v>
      </c>
      <c r="J1058" s="195" t="s">
        <v>5</v>
      </c>
      <c r="K1058" s="147"/>
      <c r="L1058" s="210"/>
      <c r="M1058" s="147"/>
    </row>
    <row r="1059" spans="1:13" s="148" customFormat="1" ht="16.5" hidden="1" customHeight="1">
      <c r="A1059" s="110"/>
      <c r="B1059" s="140" t="s">
        <v>585</v>
      </c>
      <c r="C1059" s="141"/>
      <c r="D1059" s="142"/>
      <c r="E1059" s="143"/>
      <c r="F1059" s="144"/>
      <c r="G1059" s="144"/>
      <c r="H1059" s="145"/>
      <c r="I1059" s="184"/>
      <c r="J1059" s="195"/>
      <c r="K1059" s="147"/>
      <c r="L1059" s="210"/>
      <c r="M1059" s="147"/>
    </row>
    <row r="1060" spans="1:13" s="148" customFormat="1" ht="16.5" hidden="1" customHeight="1">
      <c r="A1060" s="110"/>
      <c r="B1060" s="149"/>
      <c r="C1060" s="150">
        <v>11</v>
      </c>
      <c r="D1060" s="151" t="s">
        <v>268</v>
      </c>
      <c r="E1060" s="159">
        <v>0.5</v>
      </c>
      <c r="F1060" s="153">
        <v>1.8</v>
      </c>
      <c r="G1060" s="153">
        <v>0.3</v>
      </c>
      <c r="H1060" s="153">
        <v>0.15</v>
      </c>
      <c r="I1060" s="185">
        <f>ROUND(IF(AND(F1060:H1060),C1060*E1060*F1060*G1060*H1060,IF(AND(F1060,G1060),C1060*E1060*F1060*G1060,IF(AND(F1060,H1060),C1060*E1060*F1060*H1060,IF(AND(G1060,H1060),C1060*E1060*G1060*H1060,IF(F1060,C1060*E1060*F1060,IF(G1060,C1060*E1060*G1060,IF(H1060,C1060*E1060*H1060,C1060*E1060))))))),2)</f>
        <v>0.45</v>
      </c>
      <c r="J1060" s="195" t="s">
        <v>5</v>
      </c>
      <c r="K1060" s="147"/>
      <c r="L1060" s="210"/>
      <c r="M1060" s="147"/>
    </row>
    <row r="1061" spans="1:13" hidden="1">
      <c r="A1061" s="110"/>
      <c r="B1061" s="147"/>
      <c r="C1061" s="154"/>
      <c r="D1061" s="155"/>
      <c r="E1061" s="156"/>
      <c r="F1061" s="157"/>
      <c r="G1061" s="158"/>
      <c r="H1061" s="110"/>
      <c r="I1061" s="185"/>
      <c r="J1061" s="195" t="s">
        <v>5</v>
      </c>
      <c r="K1061" s="12">
        <f>'DATA 2025-26'!G295</f>
        <v>6912.8</v>
      </c>
      <c r="L1061" s="210" t="s">
        <v>269</v>
      </c>
      <c r="M1061" s="11">
        <f>ROUND(I1061*K1061,0)</f>
        <v>0</v>
      </c>
    </row>
    <row r="1062" spans="1:13" ht="106.5" hidden="1" customHeight="1">
      <c r="A1062" s="110">
        <v>24</v>
      </c>
      <c r="B1062" s="964" t="s">
        <v>212</v>
      </c>
      <c r="C1062" s="964"/>
      <c r="D1062" s="964"/>
      <c r="E1062" s="964"/>
      <c r="F1062" s="964"/>
      <c r="G1062" s="964"/>
      <c r="H1062" s="964"/>
      <c r="I1062" s="183"/>
      <c r="J1062" s="186"/>
      <c r="K1062" s="110"/>
      <c r="L1062" s="210"/>
      <c r="M1062" s="139"/>
    </row>
    <row r="1063" spans="1:13" s="148" customFormat="1" ht="16.5" hidden="1" customHeight="1">
      <c r="A1063" s="110"/>
      <c r="B1063" s="147" t="s">
        <v>1017</v>
      </c>
      <c r="C1063" s="141"/>
      <c r="D1063" s="142"/>
      <c r="E1063" s="143"/>
      <c r="F1063" s="144"/>
      <c r="G1063" s="144"/>
      <c r="H1063" s="145"/>
      <c r="I1063" s="184"/>
      <c r="J1063" s="195"/>
      <c r="K1063" s="147"/>
      <c r="L1063" s="210"/>
      <c r="M1063" s="147"/>
    </row>
    <row r="1064" spans="1:13" s="148" customFormat="1" ht="16.5" hidden="1" customHeight="1">
      <c r="A1064" s="110"/>
      <c r="B1064" s="149" t="s">
        <v>745</v>
      </c>
      <c r="C1064" s="150">
        <v>1</v>
      </c>
      <c r="D1064" s="151" t="s">
        <v>268</v>
      </c>
      <c r="E1064" s="152">
        <v>1</v>
      </c>
      <c r="F1064" s="153">
        <v>8.51</v>
      </c>
      <c r="G1064" s="153">
        <v>4.96</v>
      </c>
      <c r="H1064" s="153">
        <v>0</v>
      </c>
      <c r="I1064" s="185">
        <f>ROUND(IF(AND(F1064:H1064),C1064*E1064*F1064*G1064*H1064,IF(AND(F1064,G1064),C1064*E1064*F1064*G1064,IF(AND(F1064,H1064),C1064*E1064*F1064*H1064,IF(AND(G1064,H1064),C1064*E1064*G1064*H1064,IF(F1064,C1064*E1064*F1064,IF(G1064,C1064*E1064*G1064,IF(H1064,C1064*E1064*H1064,C1064*E1064))))))),2)</f>
        <v>42.21</v>
      </c>
      <c r="J1064" s="195" t="s">
        <v>102</v>
      </c>
      <c r="K1064" s="147"/>
      <c r="L1064" s="210"/>
      <c r="M1064" s="147"/>
    </row>
    <row r="1065" spans="1:13" s="148" customFormat="1" ht="16.5" hidden="1" customHeight="1">
      <c r="A1065" s="110"/>
      <c r="B1065" s="149" t="s">
        <v>1034</v>
      </c>
      <c r="C1065" s="150">
        <v>1</v>
      </c>
      <c r="D1065" s="151" t="s">
        <v>268</v>
      </c>
      <c r="E1065" s="152">
        <v>1</v>
      </c>
      <c r="F1065" s="153">
        <v>2.8</v>
      </c>
      <c r="G1065" s="153">
        <v>3.24</v>
      </c>
      <c r="H1065" s="153">
        <v>0</v>
      </c>
      <c r="I1065" s="185">
        <f>ROUND(IF(AND(F1065:H1065),C1065*E1065*F1065*G1065*H1065,IF(AND(F1065,G1065),C1065*E1065*F1065*G1065,IF(AND(F1065,H1065),C1065*E1065*F1065*H1065,IF(AND(G1065,H1065),C1065*E1065*G1065*H1065,IF(F1065,C1065*E1065*F1065,IF(G1065,C1065*E1065*G1065,IF(H1065,C1065*E1065*H1065,C1065*E1065))))))),2)</f>
        <v>9.07</v>
      </c>
      <c r="J1065" s="195" t="s">
        <v>102</v>
      </c>
      <c r="K1065" s="147"/>
      <c r="L1065" s="210"/>
      <c r="M1065" s="147"/>
    </row>
    <row r="1066" spans="1:13" s="148" customFormat="1" ht="16.5" hidden="1" customHeight="1">
      <c r="A1066" s="110"/>
      <c r="B1066" s="149" t="s">
        <v>638</v>
      </c>
      <c r="C1066" s="150">
        <v>1</v>
      </c>
      <c r="D1066" s="151" t="s">
        <v>268</v>
      </c>
      <c r="E1066" s="152">
        <v>1</v>
      </c>
      <c r="F1066" s="153">
        <v>2.74</v>
      </c>
      <c r="G1066" s="153">
        <v>3.26</v>
      </c>
      <c r="H1066" s="153">
        <v>0</v>
      </c>
      <c r="I1066" s="185">
        <f>ROUND(IF(AND(F1066:H1066),C1066*E1066*F1066*G1066*H1066,IF(AND(F1066,G1066),C1066*E1066*F1066*G1066,IF(AND(F1066,H1066),C1066*E1066*F1066*H1066,IF(AND(G1066,H1066),C1066*E1066*G1066*H1066,IF(F1066,C1066*E1066*F1066,IF(G1066,C1066*E1066*G1066,IF(H1066,C1066*E1066*H1066,C1066*E1066))))))),2)</f>
        <v>8.93</v>
      </c>
      <c r="J1066" s="195" t="s">
        <v>102</v>
      </c>
      <c r="K1066" s="147"/>
      <c r="L1066" s="210"/>
      <c r="M1066" s="147"/>
    </row>
    <row r="1067" spans="1:13" s="148" customFormat="1" ht="16.5" hidden="1" customHeight="1">
      <c r="A1067" s="110"/>
      <c r="B1067" s="149" t="s">
        <v>649</v>
      </c>
      <c r="C1067" s="150">
        <v>1</v>
      </c>
      <c r="D1067" s="151" t="s">
        <v>268</v>
      </c>
      <c r="E1067" s="152">
        <v>1</v>
      </c>
      <c r="F1067" s="153">
        <v>8.35</v>
      </c>
      <c r="G1067" s="153">
        <v>3.2</v>
      </c>
      <c r="H1067" s="153">
        <v>0</v>
      </c>
      <c r="I1067" s="185">
        <f>ROUND(IF(AND(F1067:H1067),C1067*E1067*F1067*G1067*H1067,IF(AND(F1067,G1067),C1067*E1067*F1067*G1067,IF(AND(F1067,H1067),C1067*E1067*F1067*H1067,IF(AND(G1067,H1067),C1067*E1067*G1067*H1067,IF(F1067,C1067*E1067*F1067,IF(G1067,C1067*E1067*G1067,IF(H1067,C1067*E1067*H1067,C1067*E1067))))))),2)</f>
        <v>26.72</v>
      </c>
      <c r="J1067" s="195" t="s">
        <v>102</v>
      </c>
      <c r="K1067" s="147"/>
      <c r="L1067" s="210"/>
      <c r="M1067" s="147"/>
    </row>
    <row r="1068" spans="1:13" s="148" customFormat="1" ht="16.5" hidden="1" customHeight="1">
      <c r="A1068" s="110"/>
      <c r="B1068" s="149" t="s">
        <v>1035</v>
      </c>
      <c r="C1068" s="150">
        <v>1</v>
      </c>
      <c r="D1068" s="151" t="s">
        <v>268</v>
      </c>
      <c r="E1068" s="152">
        <v>1</v>
      </c>
      <c r="F1068" s="153">
        <v>3.4</v>
      </c>
      <c r="G1068" s="153">
        <v>2.7</v>
      </c>
      <c r="H1068" s="153">
        <v>0</v>
      </c>
      <c r="I1068" s="185">
        <f>ROUND(IF(AND(F1068:H1068),C1068*E1068*F1068*G1068*H1068,IF(AND(F1068,G1068),C1068*E1068*F1068*G1068,IF(AND(F1068,H1068),C1068*E1068*F1068*H1068,IF(AND(G1068,H1068),C1068*E1068*G1068*H1068,IF(F1068,C1068*E1068*F1068,IF(G1068,C1068*E1068*G1068,IF(H1068,C1068*E1068*H1068,C1068*E1068))))))),2)</f>
        <v>9.18</v>
      </c>
      <c r="J1068" s="195" t="s">
        <v>102</v>
      </c>
      <c r="K1068" s="147"/>
      <c r="L1068" s="210"/>
      <c r="M1068" s="147"/>
    </row>
    <row r="1069" spans="1:13" s="148" customFormat="1" ht="16.5" hidden="1" customHeight="1">
      <c r="A1069" s="110"/>
      <c r="B1069" s="149" t="s">
        <v>1036</v>
      </c>
      <c r="C1069" s="150">
        <v>1</v>
      </c>
      <c r="D1069" s="151" t="s">
        <v>268</v>
      </c>
      <c r="E1069" s="152">
        <v>2</v>
      </c>
      <c r="F1069" s="153">
        <v>0.3</v>
      </c>
      <c r="G1069" s="153">
        <v>1.3</v>
      </c>
      <c r="H1069" s="153">
        <v>0</v>
      </c>
      <c r="I1069" s="185">
        <f>-ROUND(IF(AND(F1069:H1069),C1069*E1069*F1069*G1069*H1069,IF(AND(F1069,G1069),C1069*E1069*F1069*G1069,IF(AND(F1069,H1069),C1069*E1069*F1069*H1069,IF(AND(G1069,H1069),C1069*E1069*G1069*H1069,IF(F1069,C1069*E1069*F1069,IF(G1069,C1069*E1069*G1069,IF(H1069,C1069*E1069*H1069,C1069*E1069))))))),2)</f>
        <v>-0.78</v>
      </c>
      <c r="J1069" s="195" t="s">
        <v>102</v>
      </c>
      <c r="K1069" s="147"/>
      <c r="L1069" s="210"/>
      <c r="M1069" s="147"/>
    </row>
    <row r="1070" spans="1:13" s="148" customFormat="1" ht="16.5" hidden="1" customHeight="1">
      <c r="A1070" s="110"/>
      <c r="B1070" s="149"/>
      <c r="C1070" s="150"/>
      <c r="D1070" s="151"/>
      <c r="E1070" s="152"/>
      <c r="F1070" s="153"/>
      <c r="G1070" s="153"/>
      <c r="H1070" s="153"/>
      <c r="I1070" s="185"/>
      <c r="J1070" s="195"/>
      <c r="K1070" s="147"/>
      <c r="L1070" s="210"/>
      <c r="M1070" s="147"/>
    </row>
    <row r="1071" spans="1:13" hidden="1">
      <c r="A1071" s="110"/>
      <c r="B1071" s="147"/>
      <c r="C1071" s="154"/>
      <c r="D1071" s="155"/>
      <c r="E1071" s="156"/>
      <c r="F1071" s="157"/>
      <c r="G1071" s="158"/>
      <c r="H1071" s="110"/>
      <c r="I1071" s="185"/>
      <c r="J1071" s="195" t="s">
        <v>102</v>
      </c>
      <c r="K1071" s="12">
        <f>'DATA 2025-26'!G726</f>
        <v>1353.71</v>
      </c>
      <c r="L1071" s="210" t="s">
        <v>270</v>
      </c>
      <c r="M1071" s="11">
        <f>ROUND(I1071*K1071,0)</f>
        <v>0</v>
      </c>
    </row>
    <row r="1072" spans="1:13" ht="79.5" hidden="1" customHeight="1">
      <c r="A1072" s="110">
        <v>25</v>
      </c>
      <c r="B1072" s="964" t="s">
        <v>213</v>
      </c>
      <c r="C1072" s="964"/>
      <c r="D1072" s="964"/>
      <c r="E1072" s="964"/>
      <c r="F1072" s="964"/>
      <c r="G1072" s="964"/>
      <c r="H1072" s="964"/>
      <c r="I1072" s="183"/>
      <c r="J1072" s="186"/>
      <c r="K1072" s="110"/>
      <c r="L1072" s="210"/>
      <c r="M1072" s="139"/>
    </row>
    <row r="1073" spans="1:13" s="148" customFormat="1" ht="16.5" hidden="1" customHeight="1">
      <c r="A1073" s="110"/>
      <c r="B1073" s="147" t="s">
        <v>1018</v>
      </c>
      <c r="C1073" s="141"/>
      <c r="D1073" s="142"/>
      <c r="E1073" s="143"/>
      <c r="F1073" s="144"/>
      <c r="G1073" s="144"/>
      <c r="H1073" s="145"/>
      <c r="I1073" s="184"/>
      <c r="J1073" s="195"/>
      <c r="K1073" s="147"/>
      <c r="L1073" s="210"/>
      <c r="M1073" s="147"/>
    </row>
    <row r="1074" spans="1:13" s="148" customFormat="1" ht="16.5" hidden="1" customHeight="1">
      <c r="A1074" s="110"/>
      <c r="B1074" s="149" t="s">
        <v>1037</v>
      </c>
      <c r="C1074" s="150">
        <v>1</v>
      </c>
      <c r="D1074" s="151" t="s">
        <v>268</v>
      </c>
      <c r="E1074" s="152">
        <v>1</v>
      </c>
      <c r="F1074" s="153">
        <v>26.94</v>
      </c>
      <c r="G1074" s="153">
        <v>0</v>
      </c>
      <c r="H1074" s="153">
        <v>0.1</v>
      </c>
      <c r="I1074" s="185">
        <f>ROUND(IF(AND(F1074:H1074),C1074*E1074*F1074*G1074*H1074,IF(AND(F1074,G1074),C1074*E1074*F1074*G1074,IF(AND(F1074,H1074),C1074*E1074*F1074*H1074,IF(AND(G1074,H1074),C1074*E1074*G1074*H1074,IF(F1074,C1074*E1074*F1074,IF(G1074,C1074*E1074*G1074,IF(H1074,C1074*E1074*H1074,C1074*E1074))))))),2)</f>
        <v>2.69</v>
      </c>
      <c r="J1074" s="195" t="s">
        <v>102</v>
      </c>
      <c r="K1074" s="147"/>
      <c r="L1074" s="210"/>
      <c r="M1074" s="147"/>
    </row>
    <row r="1075" spans="1:13" s="148" customFormat="1" ht="16.5" hidden="1" customHeight="1">
      <c r="A1075" s="110"/>
      <c r="B1075" s="149" t="s">
        <v>1034</v>
      </c>
      <c r="C1075" s="150">
        <v>1</v>
      </c>
      <c r="D1075" s="151" t="s">
        <v>268</v>
      </c>
      <c r="E1075" s="152">
        <v>1</v>
      </c>
      <c r="F1075" s="153">
        <v>12.08</v>
      </c>
      <c r="G1075" s="153">
        <v>0</v>
      </c>
      <c r="H1075" s="153">
        <v>0.1</v>
      </c>
      <c r="I1075" s="185">
        <f>ROUND(IF(AND(F1075:H1075),C1075*E1075*F1075*G1075*H1075,IF(AND(F1075,G1075),C1075*E1075*F1075*G1075,IF(AND(F1075,H1075),C1075*E1075*F1075*H1075,IF(AND(G1075,H1075),C1075*E1075*G1075*H1075,IF(F1075,C1075*E1075*F1075,IF(G1075,C1075*E1075*G1075,IF(H1075,C1075*E1075*H1075,C1075*E1075))))))),2)</f>
        <v>1.21</v>
      </c>
      <c r="J1075" s="195" t="s">
        <v>102</v>
      </c>
      <c r="K1075" s="147"/>
      <c r="L1075" s="210"/>
      <c r="M1075" s="147"/>
    </row>
    <row r="1076" spans="1:13" s="148" customFormat="1" ht="16.5" hidden="1" customHeight="1">
      <c r="A1076" s="110"/>
      <c r="B1076" s="149" t="s">
        <v>638</v>
      </c>
      <c r="C1076" s="150">
        <v>1</v>
      </c>
      <c r="D1076" s="151" t="s">
        <v>268</v>
      </c>
      <c r="E1076" s="152">
        <v>1</v>
      </c>
      <c r="F1076" s="153">
        <v>12</v>
      </c>
      <c r="G1076" s="153">
        <v>0</v>
      </c>
      <c r="H1076" s="153">
        <v>0.1</v>
      </c>
      <c r="I1076" s="185">
        <f>ROUND(IF(AND(F1076:H1076),C1076*E1076*F1076*G1076*H1076,IF(AND(F1076,G1076),C1076*E1076*F1076*G1076,IF(AND(F1076,H1076),C1076*E1076*F1076*H1076,IF(AND(G1076,H1076),C1076*E1076*G1076*H1076,IF(F1076,C1076*E1076*F1076,IF(G1076,C1076*E1076*G1076,IF(H1076,C1076*E1076*H1076,C1076*E1076))))))),2)</f>
        <v>1.2</v>
      </c>
      <c r="J1076" s="195" t="s">
        <v>102</v>
      </c>
      <c r="K1076" s="147"/>
      <c r="L1076" s="210"/>
      <c r="M1076" s="147"/>
    </row>
    <row r="1077" spans="1:13" s="148" customFormat="1" ht="16.5" hidden="1" customHeight="1">
      <c r="A1077" s="110"/>
      <c r="B1077" s="149" t="s">
        <v>649</v>
      </c>
      <c r="C1077" s="150">
        <v>1</v>
      </c>
      <c r="D1077" s="151" t="s">
        <v>268</v>
      </c>
      <c r="E1077" s="152">
        <v>1</v>
      </c>
      <c r="F1077" s="153">
        <v>23.1</v>
      </c>
      <c r="G1077" s="153">
        <v>0</v>
      </c>
      <c r="H1077" s="153">
        <v>0.1</v>
      </c>
      <c r="I1077" s="185">
        <f>ROUND(IF(AND(F1077:H1077),C1077*E1077*F1077*G1077*H1077,IF(AND(F1077,G1077),C1077*E1077*F1077*G1077,IF(AND(F1077,H1077),C1077*E1077*F1077*H1077,IF(AND(G1077,H1077),C1077*E1077*G1077*H1077,IF(F1077,C1077*E1077*F1077,IF(G1077,C1077*E1077*G1077,IF(H1077,C1077*E1077*H1077,C1077*E1077))))))),2)</f>
        <v>2.31</v>
      </c>
      <c r="J1077" s="195" t="s">
        <v>102</v>
      </c>
      <c r="K1077" s="147"/>
      <c r="L1077" s="210"/>
      <c r="M1077" s="147"/>
    </row>
    <row r="1078" spans="1:13" s="148" customFormat="1" ht="16.5" hidden="1" customHeight="1">
      <c r="A1078" s="110"/>
      <c r="B1078" s="149" t="s">
        <v>1035</v>
      </c>
      <c r="C1078" s="150">
        <v>1</v>
      </c>
      <c r="D1078" s="151" t="s">
        <v>268</v>
      </c>
      <c r="E1078" s="152">
        <v>1</v>
      </c>
      <c r="F1078" s="153">
        <v>6.32</v>
      </c>
      <c r="G1078" s="153">
        <v>0</v>
      </c>
      <c r="H1078" s="153">
        <v>0.1</v>
      </c>
      <c r="I1078" s="185">
        <f>ROUND(IF(AND(F1078:H1078),C1078*E1078*F1078*G1078*H1078,IF(AND(F1078,G1078),C1078*E1078*F1078*G1078,IF(AND(F1078,H1078),C1078*E1078*F1078*H1078,IF(AND(G1078,H1078),C1078*E1078*G1078*H1078,IF(F1078,C1078*E1078*F1078,IF(G1078,C1078*E1078*G1078,IF(H1078,C1078*E1078*H1078,C1078*E1078))))))),2)</f>
        <v>0.63</v>
      </c>
      <c r="J1078" s="195" t="s">
        <v>102</v>
      </c>
      <c r="K1078" s="147"/>
      <c r="L1078" s="210"/>
      <c r="M1078" s="147"/>
    </row>
    <row r="1079" spans="1:13" s="148" customFormat="1" ht="16.5" hidden="1" customHeight="1">
      <c r="A1079" s="110"/>
      <c r="B1079" s="149"/>
      <c r="C1079" s="150"/>
      <c r="D1079" s="151"/>
      <c r="E1079" s="152"/>
      <c r="F1079" s="153"/>
      <c r="G1079" s="153"/>
      <c r="H1079" s="153"/>
      <c r="I1079" s="185"/>
      <c r="J1079" s="195"/>
      <c r="K1079" s="147"/>
      <c r="L1079" s="210"/>
      <c r="M1079" s="147"/>
    </row>
    <row r="1080" spans="1:13" hidden="1">
      <c r="A1080" s="110"/>
      <c r="B1080" s="147"/>
      <c r="C1080" s="154"/>
      <c r="D1080" s="155"/>
      <c r="E1080" s="156"/>
      <c r="F1080" s="157"/>
      <c r="G1080" s="158"/>
      <c r="H1080" s="110"/>
      <c r="I1080" s="185"/>
      <c r="J1080" s="195" t="s">
        <v>102</v>
      </c>
      <c r="K1080" s="12">
        <f>'DATA 2025-26'!G745</f>
        <v>1349.6</v>
      </c>
      <c r="L1080" s="210" t="s">
        <v>270</v>
      </c>
      <c r="M1080" s="11">
        <f>ROUND(I1080*K1080,0)</f>
        <v>0</v>
      </c>
    </row>
    <row r="1081" spans="1:13" ht="108" hidden="1" customHeight="1">
      <c r="A1081" s="110">
        <v>23</v>
      </c>
      <c r="B1081" s="964" t="s">
        <v>654</v>
      </c>
      <c r="C1081" s="964"/>
      <c r="D1081" s="964"/>
      <c r="E1081" s="964"/>
      <c r="F1081" s="964"/>
      <c r="G1081" s="964"/>
      <c r="H1081" s="964"/>
      <c r="I1081" s="183"/>
      <c r="J1081" s="186"/>
      <c r="K1081" s="110"/>
      <c r="L1081" s="210"/>
      <c r="M1081" s="139"/>
    </row>
    <row r="1082" spans="1:13" s="148" customFormat="1" ht="16.5" hidden="1" customHeight="1">
      <c r="A1082" s="110"/>
      <c r="B1082" s="147" t="s">
        <v>1310</v>
      </c>
      <c r="C1082" s="141"/>
      <c r="D1082" s="142"/>
      <c r="E1082" s="143"/>
      <c r="F1082" s="144"/>
      <c r="G1082" s="144"/>
      <c r="H1082" s="145"/>
      <c r="I1082" s="184"/>
      <c r="J1082" s="195"/>
      <c r="K1082" s="147"/>
      <c r="L1082" s="210"/>
      <c r="M1082" s="147"/>
    </row>
    <row r="1083" spans="1:13" s="148" customFormat="1" ht="16.5" hidden="1" customHeight="1">
      <c r="A1083" s="110"/>
      <c r="B1083" s="149"/>
      <c r="C1083" s="150">
        <v>1</v>
      </c>
      <c r="D1083" s="151" t="s">
        <v>268</v>
      </c>
      <c r="E1083" s="152">
        <v>2</v>
      </c>
      <c r="F1083" s="153">
        <v>3.1</v>
      </c>
      <c r="G1083" s="153">
        <v>1.08</v>
      </c>
      <c r="H1083" s="153">
        <v>0</v>
      </c>
      <c r="I1083" s="185">
        <f>ROUND(IF(AND(F1083:H1083),C1083*E1083*F1083*G1083*H1083,IF(AND(F1083,G1083),C1083*E1083*F1083*G1083,IF(AND(F1083,H1083),C1083*E1083*F1083*H1083,IF(AND(G1083,H1083),C1083*E1083*G1083*H1083,IF(F1083,C1083*E1083*F1083,IF(G1083,C1083*E1083*G1083,IF(H1083,C1083*E1083*H1083,C1083*E1083))))))),2)</f>
        <v>6.7</v>
      </c>
      <c r="J1083" s="195" t="s">
        <v>102</v>
      </c>
      <c r="K1083" s="147"/>
      <c r="L1083" s="210"/>
      <c r="M1083" s="147"/>
    </row>
    <row r="1084" spans="1:13" s="148" customFormat="1" ht="16.5" hidden="1" customHeight="1">
      <c r="A1084" s="110"/>
      <c r="B1084" s="149"/>
      <c r="C1084" s="150">
        <v>1</v>
      </c>
      <c r="D1084" s="151" t="s">
        <v>268</v>
      </c>
      <c r="E1084" s="152">
        <v>1</v>
      </c>
      <c r="F1084" s="153">
        <v>3.69</v>
      </c>
      <c r="G1084" s="153">
        <v>2</v>
      </c>
      <c r="H1084" s="153">
        <v>0</v>
      </c>
      <c r="I1084" s="185">
        <f>ROUND(IF(AND(F1084:H1084),C1084*E1084*F1084*G1084*H1084,IF(AND(F1084,G1084),C1084*E1084*F1084*G1084,IF(AND(F1084,H1084),C1084*E1084*F1084*H1084,IF(AND(G1084,H1084),C1084*E1084*G1084*H1084,IF(F1084,C1084*E1084*F1084,IF(G1084,C1084*E1084*G1084,IF(H1084,C1084*E1084*H1084,C1084*E1084))))))),2)</f>
        <v>7.38</v>
      </c>
      <c r="J1084" s="195" t="s">
        <v>102</v>
      </c>
      <c r="K1084" s="147"/>
      <c r="L1084" s="210"/>
      <c r="M1084" s="147"/>
    </row>
    <row r="1085" spans="1:13" s="148" customFormat="1" ht="16.5" hidden="1" customHeight="1">
      <c r="A1085" s="110"/>
      <c r="B1085" s="149"/>
      <c r="C1085" s="150">
        <v>4</v>
      </c>
      <c r="D1085" s="151" t="s">
        <v>268</v>
      </c>
      <c r="E1085" s="248">
        <v>0.78500000000000003</v>
      </c>
      <c r="F1085" s="153">
        <v>0.23</v>
      </c>
      <c r="G1085" s="153">
        <v>0.23</v>
      </c>
      <c r="H1085" s="153">
        <v>0</v>
      </c>
      <c r="I1085" s="185">
        <f>-ROUND(IF(AND(F1085:H1085),C1085*E1085*F1085*G1085*H1085,IF(AND(F1085,G1085),C1085*E1085*F1085*G1085,IF(AND(F1085,H1085),C1085*E1085*F1085*H1085,IF(AND(G1085,H1085),C1085*E1085*G1085*H1085,IF(F1085,C1085*E1085*F1085,IF(G1085,C1085*E1085*G1085,IF(H1085,C1085*E1085*H1085,C1085*E1085))))))),2)</f>
        <v>-0.17</v>
      </c>
      <c r="J1085" s="195" t="s">
        <v>102</v>
      </c>
      <c r="K1085" s="147"/>
      <c r="L1085" s="210"/>
      <c r="M1085" s="147"/>
    </row>
    <row r="1086" spans="1:13" s="148" customFormat="1" ht="16.5" hidden="1" customHeight="1">
      <c r="A1086" s="110"/>
      <c r="B1086" s="149"/>
      <c r="C1086" s="150">
        <v>1</v>
      </c>
      <c r="D1086" s="151" t="s">
        <v>268</v>
      </c>
      <c r="E1086" s="152">
        <v>3</v>
      </c>
      <c r="F1086" s="153">
        <v>3.69</v>
      </c>
      <c r="G1086" s="153">
        <v>0.3</v>
      </c>
      <c r="H1086" s="153">
        <v>0</v>
      </c>
      <c r="I1086" s="185">
        <f>ROUND(IF(AND(F1086:H1086),C1086*E1086*F1086*G1086*H1086,IF(AND(F1086,G1086),C1086*E1086*F1086*G1086,IF(AND(F1086,H1086),C1086*E1086*F1086*H1086,IF(AND(G1086,H1086),C1086*E1086*G1086*H1086,IF(F1086,C1086*E1086*F1086,IF(G1086,C1086*E1086*G1086,IF(H1086,C1086*E1086*H1086,C1086*E1086))))))),2)</f>
        <v>3.32</v>
      </c>
      <c r="J1086" s="195" t="s">
        <v>102</v>
      </c>
      <c r="K1086" s="147"/>
      <c r="L1086" s="210"/>
      <c r="M1086" s="147"/>
    </row>
    <row r="1087" spans="1:13" s="148" customFormat="1" ht="16.5" hidden="1" customHeight="1">
      <c r="A1087" s="110"/>
      <c r="B1087" s="149"/>
      <c r="C1087" s="150">
        <v>1</v>
      </c>
      <c r="D1087" s="151" t="s">
        <v>268</v>
      </c>
      <c r="E1087" s="152">
        <v>1</v>
      </c>
      <c r="F1087" s="153">
        <v>3.69</v>
      </c>
      <c r="G1087" s="153">
        <v>0</v>
      </c>
      <c r="H1087" s="153">
        <v>0.1</v>
      </c>
      <c r="I1087" s="185">
        <f>ROUND(IF(AND(F1087:H1087),C1087*E1087*F1087*G1087*H1087,IF(AND(F1087,G1087),C1087*E1087*F1087*G1087,IF(AND(F1087,H1087),C1087*E1087*F1087*H1087,IF(AND(G1087,H1087),C1087*E1087*G1087*H1087,IF(F1087,C1087*E1087*F1087,IF(G1087,C1087*E1087*G1087,IF(H1087,C1087*E1087*H1087,C1087*E1087))))))),2)</f>
        <v>0.37</v>
      </c>
      <c r="J1087" s="195" t="s">
        <v>102</v>
      </c>
      <c r="K1087" s="147"/>
      <c r="L1087" s="210"/>
      <c r="M1087" s="147"/>
    </row>
    <row r="1088" spans="1:13" s="148" customFormat="1" ht="16.5" hidden="1" customHeight="1">
      <c r="A1088" s="110"/>
      <c r="B1088" s="149"/>
      <c r="C1088" s="150">
        <v>1</v>
      </c>
      <c r="D1088" s="151" t="s">
        <v>268</v>
      </c>
      <c r="E1088" s="152">
        <v>2</v>
      </c>
      <c r="F1088" s="153">
        <v>3.69</v>
      </c>
      <c r="G1088" s="153">
        <v>0</v>
      </c>
      <c r="H1088" s="153">
        <v>0.125</v>
      </c>
      <c r="I1088" s="185">
        <f>ROUND(IF(AND(F1088:H1088),C1088*E1088*F1088*G1088*H1088,IF(AND(F1088,G1088),C1088*E1088*F1088*G1088,IF(AND(F1088,H1088),C1088*E1088*F1088*H1088,IF(AND(G1088,H1088),C1088*E1088*G1088*H1088,IF(F1088,C1088*E1088*F1088,IF(G1088,C1088*E1088*G1088,IF(H1088,C1088*E1088*H1088,C1088*E1088))))))),2)</f>
        <v>0.92</v>
      </c>
      <c r="J1088" s="195" t="s">
        <v>102</v>
      </c>
      <c r="K1088" s="147"/>
      <c r="L1088" s="210"/>
      <c r="M1088" s="147"/>
    </row>
    <row r="1089" spans="1:13" s="148" customFormat="1" ht="16.5" hidden="1" customHeight="1">
      <c r="A1089" s="110"/>
      <c r="B1089" s="149"/>
      <c r="C1089" s="150">
        <v>1</v>
      </c>
      <c r="D1089" s="151" t="s">
        <v>268</v>
      </c>
      <c r="E1089" s="152">
        <v>1</v>
      </c>
      <c r="F1089" s="153">
        <v>3.69</v>
      </c>
      <c r="G1089" s="153">
        <v>0</v>
      </c>
      <c r="H1089" s="153">
        <v>0.3</v>
      </c>
      <c r="I1089" s="185">
        <f>ROUND(IF(AND(F1089:H1089),C1089*E1089*F1089*G1089*H1089,IF(AND(F1089,G1089),C1089*E1089*F1089*G1089,IF(AND(F1089,H1089),C1089*E1089*F1089*H1089,IF(AND(G1089,H1089),C1089*E1089*G1089*H1089,IF(F1089,C1089*E1089*F1089,IF(G1089,C1089*E1089*G1089,IF(H1089,C1089*E1089*H1089,C1089*E1089))))))),2)</f>
        <v>1.1100000000000001</v>
      </c>
      <c r="J1089" s="195" t="s">
        <v>102</v>
      </c>
      <c r="K1089" s="147"/>
      <c r="L1089" s="210"/>
      <c r="M1089" s="147"/>
    </row>
    <row r="1090" spans="1:13" s="148" customFormat="1" ht="16.5" hidden="1" customHeight="1">
      <c r="A1090" s="110"/>
      <c r="B1090" s="149"/>
      <c r="C1090" s="150"/>
      <c r="D1090" s="151"/>
      <c r="E1090" s="152"/>
      <c r="F1090" s="153"/>
      <c r="G1090" s="153"/>
      <c r="H1090" s="153"/>
      <c r="I1090" s="185"/>
      <c r="J1090" s="195"/>
      <c r="K1090" s="147"/>
      <c r="L1090" s="210"/>
      <c r="M1090" s="147"/>
    </row>
    <row r="1091" spans="1:13" hidden="1">
      <c r="A1091" s="110"/>
      <c r="B1091" s="147"/>
      <c r="C1091" s="154"/>
      <c r="D1091" s="155"/>
      <c r="E1091" s="156"/>
      <c r="F1091" s="157"/>
      <c r="G1091" s="158"/>
      <c r="H1091" s="110"/>
      <c r="I1091" s="185"/>
      <c r="J1091" s="195" t="s">
        <v>102</v>
      </c>
      <c r="K1091" s="12">
        <f>'DATA 2025-26'!G646</f>
        <v>3200.79</v>
      </c>
      <c r="L1091" s="210" t="s">
        <v>270</v>
      </c>
      <c r="M1091" s="11">
        <f>ROUND(I1091*K1091,0)</f>
        <v>0</v>
      </c>
    </row>
    <row r="1092" spans="1:13" ht="93.75" hidden="1" customHeight="1">
      <c r="A1092" s="110">
        <v>24</v>
      </c>
      <c r="B1092" s="964" t="s">
        <v>660</v>
      </c>
      <c r="C1092" s="964"/>
      <c r="D1092" s="964"/>
      <c r="E1092" s="964"/>
      <c r="F1092" s="964"/>
      <c r="G1092" s="964"/>
      <c r="H1092" s="964"/>
      <c r="I1092" s="183"/>
      <c r="J1092" s="186"/>
      <c r="K1092" s="110"/>
      <c r="L1092" s="210"/>
      <c r="M1092" s="139"/>
    </row>
    <row r="1093" spans="1:13" s="148" customFormat="1" ht="16.5" hidden="1" customHeight="1">
      <c r="A1093" s="110"/>
      <c r="B1093" s="147" t="s">
        <v>1311</v>
      </c>
      <c r="C1093" s="141"/>
      <c r="D1093" s="142"/>
      <c r="E1093" s="143"/>
      <c r="F1093" s="144"/>
      <c r="G1093" s="144"/>
      <c r="H1093" s="145"/>
      <c r="I1093" s="184"/>
      <c r="J1093" s="195"/>
      <c r="K1093" s="147"/>
      <c r="L1093" s="210"/>
      <c r="M1093" s="147"/>
    </row>
    <row r="1094" spans="1:13" s="148" customFormat="1" ht="16.5" hidden="1" customHeight="1">
      <c r="A1094" s="110"/>
      <c r="B1094" s="149" t="s">
        <v>776</v>
      </c>
      <c r="C1094" s="150">
        <v>1</v>
      </c>
      <c r="D1094" s="151" t="s">
        <v>268</v>
      </c>
      <c r="E1094" s="152">
        <v>1</v>
      </c>
      <c r="F1094" s="153">
        <v>6</v>
      </c>
      <c r="G1094" s="153">
        <v>0</v>
      </c>
      <c r="H1094" s="153">
        <v>0.15</v>
      </c>
      <c r="I1094" s="185">
        <f>ROUND(IF(AND(F1094:H1094),C1094*E1094*F1094*G1094*H1094,IF(AND(F1094,G1094),C1094*E1094*F1094*G1094,IF(AND(F1094,H1094),C1094*E1094*F1094*H1094,IF(AND(G1094,H1094),C1094*E1094*G1094*H1094,IF(F1094,C1094*E1094*F1094,IF(G1094,C1094*E1094*G1094,IF(H1094,C1094*E1094*H1094,C1094*E1094))))))),2)</f>
        <v>0.9</v>
      </c>
      <c r="J1094" s="195" t="s">
        <v>102</v>
      </c>
      <c r="K1094" s="147"/>
      <c r="L1094" s="210"/>
      <c r="M1094" s="147"/>
    </row>
    <row r="1095" spans="1:13" s="148" customFormat="1" ht="16.5" hidden="1" customHeight="1">
      <c r="A1095" s="110"/>
      <c r="B1095" s="149"/>
      <c r="C1095" s="150">
        <v>1</v>
      </c>
      <c r="D1095" s="151" t="s">
        <v>268</v>
      </c>
      <c r="E1095" s="152">
        <v>1</v>
      </c>
      <c r="F1095" s="153">
        <v>6</v>
      </c>
      <c r="G1095" s="153">
        <v>0</v>
      </c>
      <c r="H1095" s="153">
        <v>0.15</v>
      </c>
      <c r="I1095" s="185">
        <f>ROUND(IF(AND(F1095:H1095),C1095*E1095*F1095*G1095*H1095,IF(AND(F1095,G1095),C1095*E1095*F1095*G1095,IF(AND(F1095,H1095),C1095*E1095*F1095*H1095,IF(AND(G1095,H1095),C1095*E1095*G1095*H1095,IF(F1095,C1095*E1095*F1095,IF(G1095,C1095*E1095*G1095,IF(H1095,C1095*E1095*H1095,C1095*E1095))))))),2)</f>
        <v>0.9</v>
      </c>
      <c r="J1095" s="195" t="s">
        <v>102</v>
      </c>
      <c r="K1095" s="147"/>
      <c r="L1095" s="210"/>
      <c r="M1095" s="147"/>
    </row>
    <row r="1096" spans="1:13" s="148" customFormat="1" ht="16.5" hidden="1" customHeight="1">
      <c r="A1096" s="110"/>
      <c r="B1096" s="149"/>
      <c r="C1096" s="150">
        <v>1</v>
      </c>
      <c r="D1096" s="151" t="s">
        <v>268</v>
      </c>
      <c r="E1096" s="152">
        <v>1</v>
      </c>
      <c r="F1096" s="153">
        <v>6</v>
      </c>
      <c r="G1096" s="153">
        <v>0</v>
      </c>
      <c r="H1096" s="153">
        <v>0.15</v>
      </c>
      <c r="I1096" s="185">
        <f>ROUND(IF(AND(F1096:H1096),C1096*E1096*F1096*G1096*H1096,IF(AND(F1096,G1096),C1096*E1096*F1096*G1096,IF(AND(F1096,H1096),C1096*E1096*F1096*H1096,IF(AND(G1096,H1096),C1096*E1096*G1096*H1096,IF(F1096,C1096*E1096*F1096,IF(G1096,C1096*E1096*G1096,IF(H1096,C1096*E1096*H1096,C1096*E1096))))))),2)</f>
        <v>0.9</v>
      </c>
      <c r="J1096" s="195" t="s">
        <v>102</v>
      </c>
      <c r="K1096" s="147"/>
      <c r="L1096" s="210"/>
      <c r="M1096" s="147"/>
    </row>
    <row r="1097" spans="1:13" s="148" customFormat="1" ht="16.5" hidden="1" customHeight="1">
      <c r="A1097" s="110"/>
      <c r="B1097" s="149" t="s">
        <v>777</v>
      </c>
      <c r="C1097" s="150">
        <v>1</v>
      </c>
      <c r="D1097" s="151" t="s">
        <v>268</v>
      </c>
      <c r="E1097" s="152">
        <v>11</v>
      </c>
      <c r="F1097" s="153">
        <v>1.35</v>
      </c>
      <c r="G1097" s="153">
        <v>0</v>
      </c>
      <c r="H1097" s="153">
        <v>0.15</v>
      </c>
      <c r="I1097" s="185">
        <f>ROUND(IF(AND(F1097:H1097),C1097*E1097*F1097*G1097*H1097,IF(AND(F1097,G1097),C1097*E1097*F1097*G1097,IF(AND(F1097,H1097),C1097*E1097*F1097*H1097,IF(AND(G1097,H1097),C1097*E1097*G1097*H1097,IF(F1097,C1097*E1097*F1097,IF(G1097,C1097*E1097*G1097,IF(H1097,C1097*E1097*H1097,C1097*E1097))))))),2)</f>
        <v>2.23</v>
      </c>
      <c r="J1097" s="195" t="s">
        <v>102</v>
      </c>
      <c r="K1097" s="147"/>
      <c r="L1097" s="210"/>
      <c r="M1097" s="147"/>
    </row>
    <row r="1098" spans="1:13" s="148" customFormat="1" ht="16.5" hidden="1" customHeight="1">
      <c r="A1098" s="110"/>
      <c r="B1098" s="149" t="s">
        <v>778</v>
      </c>
      <c r="C1098" s="150">
        <v>1</v>
      </c>
      <c r="D1098" s="151" t="s">
        <v>268</v>
      </c>
      <c r="E1098" s="152">
        <v>11</v>
      </c>
      <c r="F1098" s="153">
        <v>1.35</v>
      </c>
      <c r="G1098" s="153">
        <v>0</v>
      </c>
      <c r="H1098" s="153">
        <v>0.15</v>
      </c>
      <c r="I1098" s="185">
        <f>ROUND(IF(AND(F1098:H1098),C1098*E1098*F1098*G1098*H1098,IF(AND(F1098,G1098),C1098*E1098*F1098*G1098,IF(AND(F1098,H1098),C1098*E1098*F1098*H1098,IF(AND(G1098,H1098),C1098*E1098*G1098*H1098,IF(F1098,C1098*E1098*F1098,IF(G1098,C1098*E1098*G1098,IF(H1098,C1098*E1098*H1098,C1098*E1098))))))),2)</f>
        <v>2.23</v>
      </c>
      <c r="J1098" s="195" t="s">
        <v>102</v>
      </c>
      <c r="K1098" s="147"/>
      <c r="L1098" s="210"/>
      <c r="M1098" s="147"/>
    </row>
    <row r="1099" spans="1:13" s="148" customFormat="1" ht="16.5" hidden="1" customHeight="1">
      <c r="A1099" s="110"/>
      <c r="B1099" s="149"/>
      <c r="C1099" s="150"/>
      <c r="D1099" s="151"/>
      <c r="E1099" s="152"/>
      <c r="F1099" s="153"/>
      <c r="G1099" s="153"/>
      <c r="H1099" s="153"/>
      <c r="I1099" s="185"/>
      <c r="J1099" s="195"/>
      <c r="K1099" s="147"/>
      <c r="L1099" s="210"/>
      <c r="M1099" s="147"/>
    </row>
    <row r="1100" spans="1:13" hidden="1">
      <c r="A1100" s="110"/>
      <c r="B1100" s="147"/>
      <c r="C1100" s="154"/>
      <c r="D1100" s="155"/>
      <c r="E1100" s="156"/>
      <c r="F1100" s="157"/>
      <c r="G1100" s="158"/>
      <c r="H1100" s="110"/>
      <c r="I1100" s="185"/>
      <c r="J1100" s="195" t="s">
        <v>102</v>
      </c>
      <c r="K1100" s="12">
        <f>'DATA 2025-26'!G666</f>
        <v>2912.93</v>
      </c>
      <c r="L1100" s="210" t="s">
        <v>270</v>
      </c>
      <c r="M1100" s="11">
        <f>ROUND(I1100*K1100,0)</f>
        <v>0</v>
      </c>
    </row>
    <row r="1101" spans="1:13" ht="90" hidden="1" customHeight="1">
      <c r="A1101" s="110">
        <v>26</v>
      </c>
      <c r="B1101" s="964" t="s">
        <v>661</v>
      </c>
      <c r="C1101" s="964"/>
      <c r="D1101" s="964"/>
      <c r="E1101" s="964"/>
      <c r="F1101" s="964"/>
      <c r="G1101" s="964"/>
      <c r="H1101" s="964"/>
      <c r="I1101" s="183"/>
      <c r="J1101" s="186"/>
      <c r="K1101" s="110"/>
      <c r="L1101" s="210"/>
      <c r="M1101" s="139"/>
    </row>
    <row r="1102" spans="1:13" s="148" customFormat="1" ht="16.5" hidden="1" customHeight="1">
      <c r="A1102" s="110"/>
      <c r="B1102" s="147" t="s">
        <v>1019</v>
      </c>
      <c r="C1102" s="141"/>
      <c r="D1102" s="142"/>
      <c r="E1102" s="143"/>
      <c r="F1102" s="144"/>
      <c r="G1102" s="144"/>
      <c r="H1102" s="145"/>
      <c r="I1102" s="184"/>
      <c r="J1102" s="195"/>
      <c r="K1102" s="147"/>
      <c r="L1102" s="210"/>
      <c r="M1102" s="147"/>
    </row>
    <row r="1103" spans="1:13" s="148" customFormat="1" ht="16.5" hidden="1" customHeight="1">
      <c r="A1103" s="110"/>
      <c r="B1103" s="149" t="s">
        <v>566</v>
      </c>
      <c r="C1103" s="150">
        <v>1</v>
      </c>
      <c r="D1103" s="151" t="s">
        <v>268</v>
      </c>
      <c r="E1103" s="152">
        <v>1</v>
      </c>
      <c r="F1103" s="153">
        <v>9.8699999999999992</v>
      </c>
      <c r="G1103" s="153">
        <v>1.83</v>
      </c>
      <c r="H1103" s="153">
        <v>0</v>
      </c>
      <c r="I1103" s="185">
        <f t="shared" ref="I1103:I1113" si="88">ROUND(IF(AND(F1103:H1103),C1103*E1103*F1103*G1103*H1103,IF(AND(F1103,G1103),C1103*E1103*F1103*G1103,IF(AND(F1103,H1103),C1103*E1103*F1103*H1103,IF(AND(G1103,H1103),C1103*E1103*G1103*H1103,IF(F1103,C1103*E1103*F1103,IF(G1103,C1103*E1103*G1103,IF(H1103,C1103*E1103*H1103,C1103*E1103))))))),2)</f>
        <v>18.059999999999999</v>
      </c>
      <c r="J1103" s="195" t="s">
        <v>102</v>
      </c>
      <c r="K1103" s="147"/>
      <c r="L1103" s="210"/>
      <c r="M1103" s="147"/>
    </row>
    <row r="1104" spans="1:13" s="148" customFormat="1" ht="16.5" hidden="1" customHeight="1">
      <c r="A1104" s="110"/>
      <c r="B1104" s="149" t="s">
        <v>639</v>
      </c>
      <c r="C1104" s="150">
        <v>1</v>
      </c>
      <c r="D1104" s="151" t="s">
        <v>268</v>
      </c>
      <c r="E1104" s="152">
        <v>1</v>
      </c>
      <c r="F1104" s="153">
        <v>2.83</v>
      </c>
      <c r="G1104" s="153">
        <v>1.55</v>
      </c>
      <c r="H1104" s="153">
        <v>0</v>
      </c>
      <c r="I1104" s="185">
        <f t="shared" si="88"/>
        <v>4.3899999999999997</v>
      </c>
      <c r="J1104" s="195" t="s">
        <v>102</v>
      </c>
      <c r="K1104" s="147"/>
      <c r="L1104" s="210"/>
      <c r="M1104" s="147"/>
    </row>
    <row r="1105" spans="1:13" s="148" customFormat="1" ht="16.5" hidden="1" customHeight="1">
      <c r="A1105" s="110"/>
      <c r="B1105" s="149"/>
      <c r="C1105" s="150">
        <v>1</v>
      </c>
      <c r="D1105" s="151" t="s">
        <v>268</v>
      </c>
      <c r="E1105" s="152">
        <v>1</v>
      </c>
      <c r="F1105" s="153">
        <v>2.65</v>
      </c>
      <c r="G1105" s="153">
        <v>0.53</v>
      </c>
      <c r="H1105" s="153">
        <v>0</v>
      </c>
      <c r="I1105" s="185">
        <f t="shared" si="88"/>
        <v>1.4</v>
      </c>
      <c r="J1105" s="195" t="s">
        <v>102</v>
      </c>
      <c r="K1105" s="147"/>
      <c r="L1105" s="210"/>
      <c r="M1105" s="147"/>
    </row>
    <row r="1106" spans="1:13" s="148" customFormat="1" ht="16.5" hidden="1" customHeight="1">
      <c r="A1106" s="110"/>
      <c r="B1106" s="149"/>
      <c r="C1106" s="150">
        <v>1</v>
      </c>
      <c r="D1106" s="151" t="s">
        <v>268</v>
      </c>
      <c r="E1106" s="152">
        <v>1</v>
      </c>
      <c r="F1106" s="153">
        <v>2.65</v>
      </c>
      <c r="G1106" s="153">
        <v>0.9</v>
      </c>
      <c r="H1106" s="153">
        <v>0</v>
      </c>
      <c r="I1106" s="185">
        <f t="shared" si="88"/>
        <v>2.39</v>
      </c>
      <c r="J1106" s="195" t="s">
        <v>102</v>
      </c>
      <c r="K1106" s="147"/>
      <c r="L1106" s="210"/>
      <c r="M1106" s="147"/>
    </row>
    <row r="1107" spans="1:13" s="148" customFormat="1" ht="16.5" hidden="1" customHeight="1">
      <c r="A1107" s="110"/>
      <c r="B1107" s="149" t="s">
        <v>1038</v>
      </c>
      <c r="C1107" s="150">
        <v>1</v>
      </c>
      <c r="D1107" s="151" t="s">
        <v>268</v>
      </c>
      <c r="E1107" s="152">
        <v>2</v>
      </c>
      <c r="F1107" s="153">
        <v>2.65</v>
      </c>
      <c r="G1107" s="153">
        <v>1.1000000000000001</v>
      </c>
      <c r="H1107" s="153">
        <v>0</v>
      </c>
      <c r="I1107" s="185">
        <f t="shared" si="88"/>
        <v>5.83</v>
      </c>
      <c r="J1107" s="195" t="s">
        <v>102</v>
      </c>
      <c r="K1107" s="147"/>
      <c r="L1107" s="210"/>
      <c r="M1107" s="147"/>
    </row>
    <row r="1108" spans="1:13" s="148" customFormat="1" ht="16.5" hidden="1" customHeight="1">
      <c r="A1108" s="110"/>
      <c r="B1108" s="149"/>
      <c r="C1108" s="150">
        <v>1</v>
      </c>
      <c r="D1108" s="151" t="s">
        <v>268</v>
      </c>
      <c r="E1108" s="152">
        <v>1</v>
      </c>
      <c r="F1108" s="153">
        <v>1.3</v>
      </c>
      <c r="G1108" s="153">
        <v>0.56000000000000005</v>
      </c>
      <c r="H1108" s="153">
        <v>0</v>
      </c>
      <c r="I1108" s="185">
        <f t="shared" si="88"/>
        <v>0.73</v>
      </c>
      <c r="J1108" s="195" t="s">
        <v>102</v>
      </c>
      <c r="K1108" s="147"/>
      <c r="L1108" s="210"/>
      <c r="M1108" s="147"/>
    </row>
    <row r="1109" spans="1:13" s="148" customFormat="1" ht="16.5" hidden="1" customHeight="1">
      <c r="A1109" s="110"/>
      <c r="B1109" s="149"/>
      <c r="C1109" s="150">
        <v>1</v>
      </c>
      <c r="D1109" s="151" t="s">
        <v>268</v>
      </c>
      <c r="E1109" s="152">
        <v>1</v>
      </c>
      <c r="F1109" s="153">
        <v>2.8</v>
      </c>
      <c r="G1109" s="153">
        <v>0.53</v>
      </c>
      <c r="H1109" s="153">
        <v>0</v>
      </c>
      <c r="I1109" s="185">
        <f t="shared" si="88"/>
        <v>1.48</v>
      </c>
      <c r="J1109" s="195" t="s">
        <v>102</v>
      </c>
      <c r="K1109" s="147"/>
      <c r="L1109" s="210"/>
      <c r="M1109" s="147"/>
    </row>
    <row r="1110" spans="1:13" s="148" customFormat="1" ht="16.5" hidden="1" customHeight="1">
      <c r="A1110" s="110"/>
      <c r="B1110" s="149"/>
      <c r="C1110" s="150">
        <v>1</v>
      </c>
      <c r="D1110" s="151" t="s">
        <v>268</v>
      </c>
      <c r="E1110" s="152">
        <v>1</v>
      </c>
      <c r="F1110" s="153">
        <v>2.8</v>
      </c>
      <c r="G1110" s="153">
        <v>0.9</v>
      </c>
      <c r="H1110" s="153">
        <v>0</v>
      </c>
      <c r="I1110" s="185">
        <f t="shared" si="88"/>
        <v>2.52</v>
      </c>
      <c r="J1110" s="195" t="s">
        <v>102</v>
      </c>
      <c r="K1110" s="147"/>
      <c r="L1110" s="210"/>
      <c r="M1110" s="147"/>
    </row>
    <row r="1111" spans="1:13" s="148" customFormat="1" ht="16.5" hidden="1" customHeight="1">
      <c r="A1111" s="110"/>
      <c r="B1111" s="149" t="s">
        <v>1039</v>
      </c>
      <c r="C1111" s="150">
        <v>1</v>
      </c>
      <c r="D1111" s="151" t="s">
        <v>268</v>
      </c>
      <c r="E1111" s="152">
        <v>4</v>
      </c>
      <c r="F1111" s="153">
        <v>2.72</v>
      </c>
      <c r="G1111" s="153">
        <v>0.38</v>
      </c>
      <c r="H1111" s="153">
        <v>0</v>
      </c>
      <c r="I1111" s="185">
        <f t="shared" si="88"/>
        <v>4.13</v>
      </c>
      <c r="J1111" s="195" t="s">
        <v>102</v>
      </c>
      <c r="K1111" s="147"/>
      <c r="L1111" s="210"/>
      <c r="M1111" s="147"/>
    </row>
    <row r="1112" spans="1:13" s="148" customFormat="1" ht="16.5" hidden="1" customHeight="1">
      <c r="A1112" s="110"/>
      <c r="B1112" s="149" t="s">
        <v>1040</v>
      </c>
      <c r="C1112" s="150">
        <v>1</v>
      </c>
      <c r="D1112" s="151" t="s">
        <v>268</v>
      </c>
      <c r="E1112" s="152">
        <v>4</v>
      </c>
      <c r="F1112" s="153">
        <v>2.5</v>
      </c>
      <c r="G1112" s="153">
        <v>0.38</v>
      </c>
      <c r="H1112" s="153">
        <v>0</v>
      </c>
      <c r="I1112" s="185">
        <f t="shared" si="88"/>
        <v>3.8</v>
      </c>
      <c r="J1112" s="195" t="s">
        <v>102</v>
      </c>
      <c r="K1112" s="147"/>
      <c r="L1112" s="210"/>
      <c r="M1112" s="147"/>
    </row>
    <row r="1113" spans="1:13" s="148" customFormat="1" ht="16.5" hidden="1" customHeight="1">
      <c r="A1113" s="110"/>
      <c r="B1113" s="149" t="s">
        <v>1041</v>
      </c>
      <c r="C1113" s="150">
        <v>1</v>
      </c>
      <c r="D1113" s="151" t="s">
        <v>268</v>
      </c>
      <c r="E1113" s="152">
        <v>21</v>
      </c>
      <c r="F1113" s="153">
        <v>1.28</v>
      </c>
      <c r="G1113" s="153">
        <v>0.3</v>
      </c>
      <c r="H1113" s="153">
        <v>0</v>
      </c>
      <c r="I1113" s="185">
        <f t="shared" si="88"/>
        <v>8.06</v>
      </c>
      <c r="J1113" s="195" t="s">
        <v>102</v>
      </c>
      <c r="K1113" s="147"/>
      <c r="L1113" s="210"/>
      <c r="M1113" s="147"/>
    </row>
    <row r="1114" spans="1:13" s="148" customFormat="1" ht="16.5" hidden="1" customHeight="1">
      <c r="A1114" s="110"/>
      <c r="B1114" s="149"/>
      <c r="C1114" s="150"/>
      <c r="D1114" s="151"/>
      <c r="E1114" s="152"/>
      <c r="F1114" s="153"/>
      <c r="G1114" s="153"/>
      <c r="H1114" s="153"/>
      <c r="I1114" s="185"/>
      <c r="J1114" s="195"/>
      <c r="K1114" s="147"/>
      <c r="L1114" s="210"/>
      <c r="M1114" s="147"/>
    </row>
    <row r="1115" spans="1:13" hidden="1">
      <c r="A1115" s="110"/>
      <c r="B1115" s="147"/>
      <c r="C1115" s="154"/>
      <c r="D1115" s="155"/>
      <c r="E1115" s="156"/>
      <c r="F1115" s="157"/>
      <c r="G1115" s="158"/>
      <c r="H1115" s="110"/>
      <c r="I1115" s="185"/>
      <c r="J1115" s="195" t="s">
        <v>102</v>
      </c>
      <c r="K1115" s="12">
        <f>'DATA 2025-26'!G687</f>
        <v>861.08</v>
      </c>
      <c r="L1115" s="210" t="s">
        <v>270</v>
      </c>
      <c r="M1115" s="11">
        <f>ROUND(I1115*K1115,0)</f>
        <v>0</v>
      </c>
    </row>
    <row r="1116" spans="1:13" ht="96" hidden="1" customHeight="1">
      <c r="A1116" s="110">
        <v>27</v>
      </c>
      <c r="B1116" s="964" t="s">
        <v>667</v>
      </c>
      <c r="C1116" s="964"/>
      <c r="D1116" s="964"/>
      <c r="E1116" s="964"/>
      <c r="F1116" s="964"/>
      <c r="G1116" s="964"/>
      <c r="H1116" s="964"/>
      <c r="I1116" s="183"/>
      <c r="J1116" s="186"/>
      <c r="K1116" s="110"/>
      <c r="L1116" s="210"/>
      <c r="M1116" s="139"/>
    </row>
    <row r="1117" spans="1:13" s="148" customFormat="1" ht="16.5" hidden="1" customHeight="1">
      <c r="A1117" s="110"/>
      <c r="B1117" s="147" t="s">
        <v>1020</v>
      </c>
      <c r="C1117" s="141"/>
      <c r="D1117" s="142"/>
      <c r="E1117" s="143"/>
      <c r="F1117" s="144"/>
      <c r="G1117" s="144"/>
      <c r="H1117" s="145"/>
      <c r="I1117" s="184"/>
      <c r="J1117" s="195"/>
      <c r="K1117" s="147"/>
      <c r="L1117" s="210"/>
      <c r="M1117" s="147"/>
    </row>
    <row r="1118" spans="1:13" s="148" customFormat="1" ht="16.5" hidden="1" customHeight="1">
      <c r="A1118" s="110"/>
      <c r="B1118" s="149" t="s">
        <v>1038</v>
      </c>
      <c r="C1118" s="150">
        <v>1</v>
      </c>
      <c r="D1118" s="151" t="s">
        <v>268</v>
      </c>
      <c r="E1118" s="152">
        <v>2</v>
      </c>
      <c r="F1118" s="153">
        <v>5.25</v>
      </c>
      <c r="G1118" s="153">
        <v>0</v>
      </c>
      <c r="H1118" s="153">
        <v>0.1</v>
      </c>
      <c r="I1118" s="185">
        <f t="shared" ref="I1118:I1123" si="89">ROUND(IF(AND(F1118:H1118),C1118*E1118*F1118*G1118*H1118,IF(AND(F1118,G1118),C1118*E1118*F1118*G1118,IF(AND(F1118,H1118),C1118*E1118*F1118*H1118,IF(AND(G1118,H1118),C1118*E1118*G1118*H1118,IF(F1118,C1118*E1118*F1118,IF(G1118,C1118*E1118*G1118,IF(H1118,C1118*E1118*H1118,C1118*E1118))))))),2)</f>
        <v>1.05</v>
      </c>
      <c r="J1118" s="195" t="s">
        <v>102</v>
      </c>
      <c r="K1118" s="147"/>
      <c r="L1118" s="210"/>
      <c r="M1118" s="147"/>
    </row>
    <row r="1119" spans="1:13" s="148" customFormat="1" ht="16.5" hidden="1" customHeight="1">
      <c r="A1119" s="110"/>
      <c r="B1119" s="149" t="s">
        <v>566</v>
      </c>
      <c r="C1119" s="150">
        <v>1</v>
      </c>
      <c r="D1119" s="151" t="s">
        <v>268</v>
      </c>
      <c r="E1119" s="152">
        <v>1</v>
      </c>
      <c r="F1119" s="153">
        <v>9.8699999999999992</v>
      </c>
      <c r="G1119" s="153">
        <v>0</v>
      </c>
      <c r="H1119" s="153">
        <v>0.1</v>
      </c>
      <c r="I1119" s="185">
        <f t="shared" si="89"/>
        <v>0.99</v>
      </c>
      <c r="J1119" s="195" t="s">
        <v>102</v>
      </c>
      <c r="K1119" s="147"/>
      <c r="L1119" s="210"/>
      <c r="M1119" s="147"/>
    </row>
    <row r="1120" spans="1:13" s="148" customFormat="1" ht="16.5" hidden="1" customHeight="1">
      <c r="A1120" s="110"/>
      <c r="B1120" s="149" t="s">
        <v>1042</v>
      </c>
      <c r="C1120" s="150">
        <v>1</v>
      </c>
      <c r="D1120" s="151" t="s">
        <v>268</v>
      </c>
      <c r="E1120" s="152">
        <v>5</v>
      </c>
      <c r="F1120" s="153">
        <v>2.72</v>
      </c>
      <c r="G1120" s="153">
        <v>0</v>
      </c>
      <c r="H1120" s="153">
        <v>0.17</v>
      </c>
      <c r="I1120" s="185">
        <f t="shared" si="89"/>
        <v>2.31</v>
      </c>
      <c r="J1120" s="195" t="s">
        <v>102</v>
      </c>
      <c r="K1120" s="147"/>
      <c r="L1120" s="210"/>
      <c r="M1120" s="147"/>
    </row>
    <row r="1121" spans="1:13" s="148" customFormat="1" ht="16.5" hidden="1" customHeight="1">
      <c r="A1121" s="110"/>
      <c r="B1121" s="149" t="s">
        <v>1043</v>
      </c>
      <c r="C1121" s="150">
        <v>1</v>
      </c>
      <c r="D1121" s="151" t="s">
        <v>268</v>
      </c>
      <c r="E1121" s="152">
        <v>5</v>
      </c>
      <c r="F1121" s="153">
        <v>2.5</v>
      </c>
      <c r="G1121" s="153">
        <v>0</v>
      </c>
      <c r="H1121" s="153">
        <v>0.17</v>
      </c>
      <c r="I1121" s="185">
        <f t="shared" si="89"/>
        <v>2.13</v>
      </c>
      <c r="J1121" s="195" t="s">
        <v>102</v>
      </c>
      <c r="K1121" s="147"/>
      <c r="L1121" s="210"/>
      <c r="M1121" s="147"/>
    </row>
    <row r="1122" spans="1:13" s="148" customFormat="1" ht="16.5" hidden="1" customHeight="1">
      <c r="A1122" s="110"/>
      <c r="B1122" s="149" t="s">
        <v>1041</v>
      </c>
      <c r="C1122" s="150">
        <v>1</v>
      </c>
      <c r="D1122" s="151" t="s">
        <v>268</v>
      </c>
      <c r="E1122" s="152">
        <v>22</v>
      </c>
      <c r="F1122" s="153">
        <v>1.28</v>
      </c>
      <c r="G1122" s="153">
        <v>0</v>
      </c>
      <c r="H1122" s="153">
        <v>0.15</v>
      </c>
      <c r="I1122" s="185">
        <f t="shared" si="89"/>
        <v>4.22</v>
      </c>
      <c r="J1122" s="195" t="s">
        <v>102</v>
      </c>
      <c r="K1122" s="147"/>
      <c r="L1122" s="210"/>
      <c r="M1122" s="147"/>
    </row>
    <row r="1123" spans="1:13" s="148" customFormat="1" ht="16.5" hidden="1" customHeight="1">
      <c r="A1123" s="110"/>
      <c r="B1123" s="149" t="s">
        <v>1033</v>
      </c>
      <c r="C1123" s="150">
        <v>1</v>
      </c>
      <c r="D1123" s="151" t="s">
        <v>268</v>
      </c>
      <c r="E1123" s="152">
        <v>1</v>
      </c>
      <c r="F1123" s="153">
        <v>10.53</v>
      </c>
      <c r="G1123" s="153">
        <v>0</v>
      </c>
      <c r="H1123" s="153">
        <v>0.1</v>
      </c>
      <c r="I1123" s="185">
        <f t="shared" si="89"/>
        <v>1.05</v>
      </c>
      <c r="J1123" s="195" t="s">
        <v>102</v>
      </c>
      <c r="K1123" s="147"/>
      <c r="L1123" s="210"/>
      <c r="M1123" s="147"/>
    </row>
    <row r="1124" spans="1:13" s="148" customFormat="1" ht="16.5" hidden="1" customHeight="1">
      <c r="A1124" s="110"/>
      <c r="B1124" s="149"/>
      <c r="C1124" s="150"/>
      <c r="D1124" s="151"/>
      <c r="E1124" s="152"/>
      <c r="F1124" s="153"/>
      <c r="G1124" s="153"/>
      <c r="H1124" s="153"/>
      <c r="I1124" s="185"/>
      <c r="J1124" s="195"/>
      <c r="K1124" s="147"/>
      <c r="L1124" s="210"/>
      <c r="M1124" s="147"/>
    </row>
    <row r="1125" spans="1:13" hidden="1">
      <c r="A1125" s="110"/>
      <c r="B1125" s="147"/>
      <c r="C1125" s="154"/>
      <c r="D1125" s="155"/>
      <c r="E1125" s="156"/>
      <c r="F1125" s="157"/>
      <c r="G1125" s="158"/>
      <c r="H1125" s="110"/>
      <c r="I1125" s="185"/>
      <c r="J1125" s="195" t="s">
        <v>102</v>
      </c>
      <c r="K1125" s="12">
        <f>'DATA 2025-26'!G705</f>
        <v>890.93</v>
      </c>
      <c r="L1125" s="210" t="s">
        <v>270</v>
      </c>
      <c r="M1125" s="11">
        <f>ROUND(I1125*K1125,0)</f>
        <v>0</v>
      </c>
    </row>
    <row r="1126" spans="1:13" ht="94.5" hidden="1" customHeight="1">
      <c r="A1126" s="110">
        <v>19</v>
      </c>
      <c r="B1126" s="964" t="s">
        <v>211</v>
      </c>
      <c r="C1126" s="964"/>
      <c r="D1126" s="964"/>
      <c r="E1126" s="964"/>
      <c r="F1126" s="964"/>
      <c r="G1126" s="964"/>
      <c r="H1126" s="964"/>
      <c r="I1126" s="183"/>
      <c r="J1126" s="186"/>
      <c r="K1126" s="110"/>
      <c r="L1126" s="210"/>
      <c r="M1126" s="139"/>
    </row>
    <row r="1127" spans="1:13" s="148" customFormat="1" ht="16.5" hidden="1" customHeight="1">
      <c r="A1127" s="110"/>
      <c r="B1127" s="174" t="s">
        <v>1300</v>
      </c>
      <c r="C1127" s="141"/>
      <c r="D1127" s="142"/>
      <c r="E1127" s="143"/>
      <c r="F1127" s="144"/>
      <c r="G1127" s="144"/>
      <c r="H1127" s="145"/>
      <c r="I1127" s="184"/>
      <c r="J1127" s="195"/>
      <c r="K1127" s="147"/>
      <c r="L1127" s="210"/>
      <c r="M1127" s="147"/>
    </row>
    <row r="1128" spans="1:13" s="148" customFormat="1" ht="16.5" hidden="1" customHeight="1">
      <c r="A1128" s="110"/>
      <c r="B1128" s="149"/>
      <c r="C1128" s="150">
        <v>1</v>
      </c>
      <c r="D1128" s="151" t="s">
        <v>268</v>
      </c>
      <c r="E1128" s="152">
        <v>1</v>
      </c>
      <c r="F1128" s="153">
        <v>9.86</v>
      </c>
      <c r="G1128" s="153">
        <v>1.1499999999999999</v>
      </c>
      <c r="H1128" s="153">
        <v>0</v>
      </c>
      <c r="I1128" s="185">
        <f t="shared" ref="I1128:I1137" si="90">ROUND(IF(AND(F1128:H1128),C1128*E1128*F1128*G1128*H1128,IF(AND(F1128,G1128),C1128*E1128*F1128*G1128,IF(AND(F1128,H1128),C1128*E1128*F1128*H1128,IF(AND(G1128,H1128),C1128*E1128*G1128*H1128,IF(F1128,C1128*E1128*F1128,IF(G1128,C1128*E1128*G1128,IF(H1128,C1128*E1128*H1128,C1128*E1128))))))),2)</f>
        <v>11.34</v>
      </c>
      <c r="J1128" s="195" t="s">
        <v>102</v>
      </c>
      <c r="K1128" s="147"/>
      <c r="L1128" s="210"/>
      <c r="M1128" s="147"/>
    </row>
    <row r="1129" spans="1:13" s="148" customFormat="1" ht="16.5" hidden="1" customHeight="1">
      <c r="A1129" s="110"/>
      <c r="B1129" s="149"/>
      <c r="C1129" s="150">
        <v>1</v>
      </c>
      <c r="D1129" s="151" t="s">
        <v>268</v>
      </c>
      <c r="E1129" s="152">
        <v>1</v>
      </c>
      <c r="F1129" s="153">
        <v>3.1</v>
      </c>
      <c r="G1129" s="153">
        <v>0.4</v>
      </c>
      <c r="H1129" s="153">
        <v>0</v>
      </c>
      <c r="I1129" s="185">
        <f t="shared" si="90"/>
        <v>1.24</v>
      </c>
      <c r="J1129" s="195" t="s">
        <v>102</v>
      </c>
      <c r="K1129" s="147"/>
      <c r="L1129" s="210"/>
      <c r="M1129" s="147"/>
    </row>
    <row r="1130" spans="1:13" s="148" customFormat="1" ht="16.5" hidden="1" customHeight="1">
      <c r="A1130" s="110"/>
      <c r="B1130" s="149"/>
      <c r="C1130" s="150">
        <v>1</v>
      </c>
      <c r="D1130" s="151" t="s">
        <v>268</v>
      </c>
      <c r="E1130" s="152">
        <v>1</v>
      </c>
      <c r="F1130" s="153">
        <v>3.1</v>
      </c>
      <c r="G1130" s="153">
        <v>1.18</v>
      </c>
      <c r="H1130" s="153">
        <v>0</v>
      </c>
      <c r="I1130" s="185">
        <f t="shared" si="90"/>
        <v>3.66</v>
      </c>
      <c r="J1130" s="195" t="s">
        <v>102</v>
      </c>
      <c r="K1130" s="147"/>
      <c r="L1130" s="210"/>
      <c r="M1130" s="147"/>
    </row>
    <row r="1131" spans="1:13" s="148" customFormat="1" ht="16.5" hidden="1" customHeight="1">
      <c r="A1131" s="110"/>
      <c r="B1131" s="149"/>
      <c r="C1131" s="150">
        <v>1</v>
      </c>
      <c r="D1131" s="151" t="s">
        <v>268</v>
      </c>
      <c r="E1131" s="152">
        <v>1</v>
      </c>
      <c r="F1131" s="153">
        <v>3.15</v>
      </c>
      <c r="G1131" s="153">
        <v>0.4</v>
      </c>
      <c r="H1131" s="153">
        <v>0</v>
      </c>
      <c r="I1131" s="185">
        <f t="shared" si="90"/>
        <v>1.26</v>
      </c>
      <c r="J1131" s="195" t="s">
        <v>102</v>
      </c>
      <c r="K1131" s="147"/>
      <c r="L1131" s="210"/>
      <c r="M1131" s="147"/>
    </row>
    <row r="1132" spans="1:13" s="148" customFormat="1" ht="16.5" hidden="1" customHeight="1">
      <c r="A1132" s="110"/>
      <c r="B1132" s="149"/>
      <c r="C1132" s="150">
        <v>1</v>
      </c>
      <c r="D1132" s="151" t="s">
        <v>268</v>
      </c>
      <c r="E1132" s="152">
        <v>1</v>
      </c>
      <c r="F1132" s="153">
        <v>3.15</v>
      </c>
      <c r="G1132" s="153">
        <v>1.2</v>
      </c>
      <c r="H1132" s="153">
        <v>0</v>
      </c>
      <c r="I1132" s="185">
        <f t="shared" si="90"/>
        <v>3.78</v>
      </c>
      <c r="J1132" s="195" t="s">
        <v>102</v>
      </c>
      <c r="K1132" s="147"/>
      <c r="L1132" s="210"/>
      <c r="M1132" s="147"/>
    </row>
    <row r="1133" spans="1:13" s="148" customFormat="1" ht="16.5" hidden="1" customHeight="1">
      <c r="A1133" s="110"/>
      <c r="B1133" s="149"/>
      <c r="C1133" s="150">
        <v>1</v>
      </c>
      <c r="D1133" s="151" t="s">
        <v>268</v>
      </c>
      <c r="E1133" s="152">
        <v>1</v>
      </c>
      <c r="F1133" s="153">
        <v>3.6</v>
      </c>
      <c r="G1133" s="153">
        <v>0.9</v>
      </c>
      <c r="H1133" s="153">
        <v>0</v>
      </c>
      <c r="I1133" s="185">
        <f t="shared" si="90"/>
        <v>3.24</v>
      </c>
      <c r="J1133" s="195" t="s">
        <v>102</v>
      </c>
      <c r="K1133" s="147"/>
      <c r="L1133" s="210"/>
      <c r="M1133" s="147"/>
    </row>
    <row r="1134" spans="1:13" s="148" customFormat="1" ht="16.5" hidden="1" customHeight="1">
      <c r="A1134" s="110"/>
      <c r="B1134" s="149"/>
      <c r="C1134" s="150">
        <v>1</v>
      </c>
      <c r="D1134" s="151" t="s">
        <v>268</v>
      </c>
      <c r="E1134" s="152">
        <v>1</v>
      </c>
      <c r="F1134" s="153">
        <v>3.6</v>
      </c>
      <c r="G1134" s="153">
        <v>0.3</v>
      </c>
      <c r="H1134" s="153">
        <v>0</v>
      </c>
      <c r="I1134" s="185">
        <f t="shared" si="90"/>
        <v>1.08</v>
      </c>
      <c r="J1134" s="195" t="s">
        <v>102</v>
      </c>
      <c r="K1134" s="147"/>
      <c r="L1134" s="210"/>
      <c r="M1134" s="147"/>
    </row>
    <row r="1135" spans="1:13" s="148" customFormat="1" ht="16.5" hidden="1" customHeight="1">
      <c r="A1135" s="110"/>
      <c r="B1135" s="149"/>
      <c r="C1135" s="150">
        <v>1</v>
      </c>
      <c r="D1135" s="151" t="s">
        <v>268</v>
      </c>
      <c r="E1135" s="152">
        <v>1</v>
      </c>
      <c r="F1135" s="153">
        <v>3.6</v>
      </c>
      <c r="G1135" s="153">
        <v>0.38</v>
      </c>
      <c r="H1135" s="153">
        <v>0</v>
      </c>
      <c r="I1135" s="185">
        <f t="shared" si="90"/>
        <v>1.37</v>
      </c>
      <c r="J1135" s="195" t="s">
        <v>102</v>
      </c>
      <c r="K1135" s="147"/>
      <c r="L1135" s="210"/>
      <c r="M1135" s="147"/>
    </row>
    <row r="1136" spans="1:13" s="148" customFormat="1" ht="16.5" hidden="1" customHeight="1">
      <c r="A1136" s="110"/>
      <c r="B1136" s="149"/>
      <c r="C1136" s="150">
        <v>1</v>
      </c>
      <c r="D1136" s="151" t="s">
        <v>268</v>
      </c>
      <c r="E1136" s="152">
        <v>1</v>
      </c>
      <c r="F1136" s="153">
        <v>3.6</v>
      </c>
      <c r="G1136" s="153">
        <v>0.41</v>
      </c>
      <c r="H1136" s="153">
        <v>0</v>
      </c>
      <c r="I1136" s="185">
        <f t="shared" si="90"/>
        <v>1.48</v>
      </c>
      <c r="J1136" s="195" t="s">
        <v>102</v>
      </c>
      <c r="K1136" s="147"/>
      <c r="L1136" s="210"/>
      <c r="M1136" s="147"/>
    </row>
    <row r="1137" spans="1:13" s="148" customFormat="1" ht="16.5" hidden="1" customHeight="1">
      <c r="A1137" s="110"/>
      <c r="B1137" s="149"/>
      <c r="C1137" s="150">
        <v>1</v>
      </c>
      <c r="D1137" s="151" t="s">
        <v>268</v>
      </c>
      <c r="E1137" s="152">
        <v>1</v>
      </c>
      <c r="F1137" s="153">
        <v>3.6</v>
      </c>
      <c r="G1137" s="153">
        <v>0.37</v>
      </c>
      <c r="H1137" s="153">
        <v>0</v>
      </c>
      <c r="I1137" s="185">
        <f t="shared" si="90"/>
        <v>1.33</v>
      </c>
      <c r="J1137" s="195" t="s">
        <v>102</v>
      </c>
      <c r="K1137" s="147"/>
      <c r="L1137" s="210"/>
      <c r="M1137" s="147"/>
    </row>
    <row r="1138" spans="1:13" s="148" customFormat="1" ht="16.5" hidden="1" customHeight="1">
      <c r="A1138" s="110"/>
      <c r="B1138" s="149"/>
      <c r="C1138" s="150"/>
      <c r="D1138" s="151"/>
      <c r="E1138" s="152"/>
      <c r="F1138" s="153"/>
      <c r="G1138" s="153"/>
      <c r="H1138" s="153"/>
      <c r="I1138" s="185"/>
      <c r="J1138" s="195"/>
      <c r="K1138" s="147"/>
      <c r="L1138" s="210"/>
      <c r="M1138" s="147"/>
    </row>
    <row r="1139" spans="1:13" hidden="1">
      <c r="A1139" s="110"/>
      <c r="B1139" s="147"/>
      <c r="C1139" s="154"/>
      <c r="D1139" s="155"/>
      <c r="E1139" s="156"/>
      <c r="F1139" s="157"/>
      <c r="G1139" s="158"/>
      <c r="H1139" s="110"/>
      <c r="I1139" s="185"/>
      <c r="J1139" s="195" t="s">
        <v>102</v>
      </c>
      <c r="K1139" s="12">
        <f>'DATA 2025-26'!G764</f>
        <v>1081.07</v>
      </c>
      <c r="L1139" s="210" t="s">
        <v>270</v>
      </c>
      <c r="M1139" s="11">
        <f>ROUND(I1139*K1139,0)</f>
        <v>0</v>
      </c>
    </row>
    <row r="1140" spans="1:13" ht="94.5" hidden="1" customHeight="1">
      <c r="A1140" s="110">
        <v>20</v>
      </c>
      <c r="B1140" s="964" t="s">
        <v>214</v>
      </c>
      <c r="C1140" s="964"/>
      <c r="D1140" s="964"/>
      <c r="E1140" s="964"/>
      <c r="F1140" s="964"/>
      <c r="G1140" s="964"/>
      <c r="H1140" s="964"/>
      <c r="I1140" s="183"/>
      <c r="J1140" s="186"/>
      <c r="K1140" s="110"/>
      <c r="L1140" s="210"/>
      <c r="M1140" s="139"/>
    </row>
    <row r="1141" spans="1:13" s="148" customFormat="1" ht="16.5" hidden="1" customHeight="1">
      <c r="A1141" s="110"/>
      <c r="B1141" s="140" t="s">
        <v>1301</v>
      </c>
      <c r="C1141" s="141"/>
      <c r="D1141" s="142"/>
      <c r="E1141" s="143"/>
      <c r="F1141" s="144"/>
      <c r="G1141" s="144"/>
      <c r="H1141" s="145"/>
      <c r="I1141" s="184"/>
      <c r="J1141" s="195"/>
      <c r="K1141" s="147"/>
      <c r="L1141" s="210"/>
      <c r="M1141" s="147"/>
    </row>
    <row r="1142" spans="1:13" s="148" customFormat="1" ht="16.5" hidden="1" customHeight="1">
      <c r="A1142" s="110"/>
      <c r="B1142" s="149"/>
      <c r="C1142" s="150">
        <v>1</v>
      </c>
      <c r="D1142" s="151" t="s">
        <v>268</v>
      </c>
      <c r="E1142" s="152">
        <v>1</v>
      </c>
      <c r="F1142" s="153">
        <v>8.6300000000000008</v>
      </c>
      <c r="G1142" s="153">
        <v>0</v>
      </c>
      <c r="H1142" s="153">
        <v>0.1</v>
      </c>
      <c r="I1142" s="185">
        <f>ROUND(IF(AND(F1142:H1142),C1142*E1142*F1142*G1142*H1142,IF(AND(F1142,G1142),C1142*E1142*F1142*G1142,IF(AND(F1142,H1142),C1142*E1142*F1142*H1142,IF(AND(G1142,H1142),C1142*E1142*G1142*H1142,IF(F1142,C1142*E1142*F1142,IF(G1142,C1142*E1142*G1142,IF(H1142,C1142*E1142*H1142,C1142*E1142))))))),2)</f>
        <v>0.86</v>
      </c>
      <c r="J1142" s="195" t="s">
        <v>102</v>
      </c>
      <c r="K1142" s="147"/>
      <c r="L1142" s="210"/>
      <c r="M1142" s="147"/>
    </row>
    <row r="1143" spans="1:13" s="148" customFormat="1" ht="16.5" hidden="1" customHeight="1">
      <c r="A1143" s="110"/>
      <c r="B1143" s="149"/>
      <c r="C1143" s="150">
        <v>1</v>
      </c>
      <c r="D1143" s="151" t="s">
        <v>268</v>
      </c>
      <c r="E1143" s="152">
        <v>4</v>
      </c>
      <c r="F1143" s="153">
        <v>3.6</v>
      </c>
      <c r="G1143" s="153">
        <v>0</v>
      </c>
      <c r="H1143" s="153">
        <v>0.18</v>
      </c>
      <c r="I1143" s="185">
        <f>ROUND(IF(AND(F1143:H1143),C1143*E1143*F1143*G1143*H1143,IF(AND(F1143,G1143),C1143*E1143*F1143*G1143,IF(AND(F1143,H1143),C1143*E1143*F1143*H1143,IF(AND(G1143,H1143),C1143*E1143*G1143*H1143,IF(F1143,C1143*E1143*F1143,IF(G1143,C1143*E1143*G1143,IF(H1143,C1143*E1143*H1143,C1143*E1143))))))),2)</f>
        <v>2.59</v>
      </c>
      <c r="J1143" s="195" t="s">
        <v>102</v>
      </c>
      <c r="K1143" s="147"/>
      <c r="L1143" s="210"/>
      <c r="M1143" s="147"/>
    </row>
    <row r="1144" spans="1:13" s="148" customFormat="1" ht="16.5" hidden="1" customHeight="1">
      <c r="A1144" s="110"/>
      <c r="B1144" s="149"/>
      <c r="C1144" s="150"/>
      <c r="D1144" s="151"/>
      <c r="E1144" s="152"/>
      <c r="F1144" s="153"/>
      <c r="G1144" s="153"/>
      <c r="H1144" s="153"/>
      <c r="I1144" s="185"/>
      <c r="J1144" s="195"/>
      <c r="K1144" s="147"/>
      <c r="L1144" s="210"/>
      <c r="M1144" s="147"/>
    </row>
    <row r="1145" spans="1:13" hidden="1">
      <c r="A1145" s="110"/>
      <c r="B1145" s="147"/>
      <c r="C1145" s="154"/>
      <c r="D1145" s="155"/>
      <c r="E1145" s="156"/>
      <c r="F1145" s="157"/>
      <c r="G1145" s="158"/>
      <c r="H1145" s="110"/>
      <c r="I1145" s="185"/>
      <c r="J1145" s="195" t="s">
        <v>102</v>
      </c>
      <c r="K1145" s="12">
        <f>'DATA 2025-26'!G781</f>
        <v>529.92999999999995</v>
      </c>
      <c r="L1145" s="210" t="s">
        <v>270</v>
      </c>
      <c r="M1145" s="11">
        <f>ROUND(I1145*K1145,0)</f>
        <v>0</v>
      </c>
    </row>
    <row r="1146" spans="1:13" ht="81.75" hidden="1" customHeight="1">
      <c r="A1146" s="110">
        <v>27</v>
      </c>
      <c r="B1146" s="964" t="s">
        <v>977</v>
      </c>
      <c r="C1146" s="964"/>
      <c r="D1146" s="964"/>
      <c r="E1146" s="964"/>
      <c r="F1146" s="964"/>
      <c r="G1146" s="964"/>
      <c r="H1146" s="964"/>
      <c r="I1146" s="183"/>
      <c r="J1146" s="186"/>
      <c r="K1146" s="110"/>
      <c r="L1146" s="210"/>
      <c r="M1146" s="139"/>
    </row>
    <row r="1147" spans="1:13" s="148" customFormat="1" ht="16.5" hidden="1" customHeight="1">
      <c r="A1147" s="110"/>
      <c r="B1147" s="140" t="s">
        <v>1312</v>
      </c>
      <c r="C1147" s="141"/>
      <c r="D1147" s="142"/>
      <c r="E1147" s="143"/>
      <c r="F1147" s="144"/>
      <c r="G1147" s="144"/>
      <c r="H1147" s="145"/>
      <c r="I1147" s="184"/>
      <c r="J1147" s="146"/>
      <c r="K1147" s="147"/>
      <c r="L1147" s="210"/>
      <c r="M1147" s="147"/>
    </row>
    <row r="1148" spans="1:13" s="148" customFormat="1" ht="16.5" hidden="1" customHeight="1">
      <c r="A1148" s="110"/>
      <c r="B1148" s="243" t="s">
        <v>965</v>
      </c>
      <c r="C1148" s="244">
        <v>2</v>
      </c>
      <c r="D1148" s="245" t="s">
        <v>268</v>
      </c>
      <c r="E1148" s="246">
        <v>0.5</v>
      </c>
      <c r="F1148" s="247">
        <v>0.96</v>
      </c>
      <c r="G1148" s="247">
        <v>1</v>
      </c>
      <c r="H1148" s="247">
        <v>0</v>
      </c>
      <c r="I1148" s="338">
        <f>ROUND(IF(AND(F1148:H1148),C1148*E1148*F1148*G1148*H1148,IF(AND(F1148,G1148),C1148*E1148*F1148*G1148,IF(AND(F1148,H1148),C1148*E1148*F1148*H1148,IF(AND(G1148,H1148),C1148*E1148*G1148*H1148,IF(F1148,C1148*E1148*F1148,IF(G1148,C1148*E1148*G1148,IF(H1148,C1148*E1148*H1148,C1148*E1148))))))),2)</f>
        <v>0.96</v>
      </c>
      <c r="J1148" s="146" t="s">
        <v>102</v>
      </c>
      <c r="K1148" s="147"/>
      <c r="L1148" s="210"/>
      <c r="M1148" s="147"/>
    </row>
    <row r="1149" spans="1:13" s="148" customFormat="1" ht="16.5" hidden="1" customHeight="1">
      <c r="A1149" s="110"/>
      <c r="B1149" s="243"/>
      <c r="C1149" s="244">
        <v>1</v>
      </c>
      <c r="D1149" s="245" t="s">
        <v>268</v>
      </c>
      <c r="E1149" s="246">
        <v>2</v>
      </c>
      <c r="F1149" s="247">
        <v>3.6</v>
      </c>
      <c r="G1149" s="247">
        <v>1.1299999999999999</v>
      </c>
      <c r="H1149" s="247">
        <v>0</v>
      </c>
      <c r="I1149" s="338">
        <f>ROUND(IF(AND(F1149:H1149),C1149*E1149*F1149*G1149*H1149,IF(AND(F1149,G1149),C1149*E1149*F1149*G1149,IF(AND(F1149,H1149),C1149*E1149*F1149*H1149,IF(AND(G1149,H1149),C1149*E1149*G1149*H1149,IF(F1149,C1149*E1149*F1149,IF(G1149,C1149*E1149*G1149,IF(H1149,C1149*E1149*H1149,C1149*E1149))))))),2)</f>
        <v>8.14</v>
      </c>
      <c r="J1149" s="146" t="s">
        <v>102</v>
      </c>
      <c r="K1149" s="147"/>
      <c r="L1149" s="210"/>
      <c r="M1149" s="147"/>
    </row>
    <row r="1150" spans="1:13" s="148" customFormat="1" ht="16.5" hidden="1" customHeight="1">
      <c r="A1150" s="110"/>
      <c r="B1150" s="243"/>
      <c r="C1150" s="244">
        <v>1</v>
      </c>
      <c r="D1150" s="245" t="s">
        <v>268</v>
      </c>
      <c r="E1150" s="246">
        <v>2</v>
      </c>
      <c r="F1150" s="247">
        <v>1.96</v>
      </c>
      <c r="G1150" s="247">
        <v>1</v>
      </c>
      <c r="H1150" s="247">
        <v>0</v>
      </c>
      <c r="I1150" s="338">
        <f>ROUND(IF(AND(F1150:H1150),C1150*E1150*F1150*G1150*H1150,IF(AND(F1150,G1150),C1150*E1150*F1150*G1150,IF(AND(F1150,H1150),C1150*E1150*F1150*H1150,IF(AND(G1150,H1150),C1150*E1150*G1150*H1150,IF(F1150,C1150*E1150*F1150,IF(G1150,C1150*E1150*G1150,IF(H1150,C1150*E1150*H1150,C1150*E1150))))))),2)</f>
        <v>3.92</v>
      </c>
      <c r="J1150" s="146" t="s">
        <v>102</v>
      </c>
      <c r="K1150" s="147"/>
      <c r="L1150" s="210"/>
      <c r="M1150" s="147"/>
    </row>
    <row r="1151" spans="1:13" s="148" customFormat="1" ht="16.5" hidden="1" customHeight="1">
      <c r="A1151" s="110"/>
      <c r="B1151" s="243"/>
      <c r="C1151" s="244">
        <v>1</v>
      </c>
      <c r="D1151" s="245" t="s">
        <v>268</v>
      </c>
      <c r="E1151" s="246">
        <v>2</v>
      </c>
      <c r="F1151" s="247">
        <v>1.33</v>
      </c>
      <c r="G1151" s="247">
        <v>1.1000000000000001</v>
      </c>
      <c r="H1151" s="247">
        <v>0</v>
      </c>
      <c r="I1151" s="338">
        <f>ROUND(IF(AND(F1151:H1151),C1151*E1151*F1151*G1151*H1151,IF(AND(F1151,G1151),C1151*E1151*F1151*G1151,IF(AND(F1151,H1151),C1151*E1151*F1151*H1151,IF(AND(G1151,H1151),C1151*E1151*G1151*H1151,IF(F1151,C1151*E1151*F1151,IF(G1151,C1151*E1151*G1151,IF(H1151,C1151*E1151*H1151,C1151*E1151))))))),2)</f>
        <v>2.93</v>
      </c>
      <c r="J1151" s="146" t="s">
        <v>102</v>
      </c>
      <c r="K1151" s="147"/>
      <c r="L1151" s="210"/>
      <c r="M1151" s="147"/>
    </row>
    <row r="1152" spans="1:13" s="148" customFormat="1" ht="16.5" hidden="1" customHeight="1">
      <c r="A1152" s="110"/>
      <c r="B1152" s="149"/>
      <c r="C1152" s="150"/>
      <c r="D1152" s="151"/>
      <c r="E1152" s="152"/>
      <c r="F1152" s="153"/>
      <c r="G1152" s="153"/>
      <c r="H1152" s="153"/>
      <c r="I1152" s="185"/>
      <c r="J1152" s="146"/>
      <c r="K1152" s="147"/>
      <c r="L1152" s="210"/>
      <c r="M1152" s="147"/>
    </row>
    <row r="1153" spans="1:13" hidden="1">
      <c r="A1153" s="110"/>
      <c r="B1153" s="147"/>
      <c r="C1153" s="154"/>
      <c r="D1153" s="155"/>
      <c r="E1153" s="156"/>
      <c r="F1153" s="157"/>
      <c r="G1153" s="158"/>
      <c r="H1153" s="110"/>
      <c r="I1153" s="185"/>
      <c r="J1153" s="146" t="s">
        <v>102</v>
      </c>
      <c r="K1153" s="12">
        <f>'DATA 2025-26'!G809</f>
        <v>1519.83</v>
      </c>
      <c r="L1153" s="210" t="s">
        <v>270</v>
      </c>
      <c r="M1153" s="11">
        <f>ROUND(I1153*K1153,0)</f>
        <v>0</v>
      </c>
    </row>
    <row r="1154" spans="1:13" ht="66" hidden="1" customHeight="1">
      <c r="A1154" s="110">
        <v>26</v>
      </c>
      <c r="B1154" s="964" t="s">
        <v>967</v>
      </c>
      <c r="C1154" s="964"/>
      <c r="D1154" s="964"/>
      <c r="E1154" s="964"/>
      <c r="F1154" s="964"/>
      <c r="G1154" s="964"/>
      <c r="H1154" s="964"/>
      <c r="I1154" s="183"/>
      <c r="J1154" s="186"/>
      <c r="K1154" s="110"/>
      <c r="L1154" s="210"/>
      <c r="M1154" s="139"/>
    </row>
    <row r="1155" spans="1:13" s="148" customFormat="1" ht="16.5" hidden="1" customHeight="1">
      <c r="A1155" s="110"/>
      <c r="B1155" s="147" t="s">
        <v>1291</v>
      </c>
      <c r="C1155" s="141"/>
      <c r="D1155" s="142"/>
      <c r="E1155" s="143"/>
      <c r="F1155" s="144"/>
      <c r="G1155" s="144"/>
      <c r="H1155" s="145"/>
      <c r="I1155" s="184"/>
      <c r="J1155" s="195"/>
      <c r="K1155" s="147"/>
      <c r="L1155" s="210"/>
      <c r="M1155" s="147"/>
    </row>
    <row r="1156" spans="1:13" s="148" customFormat="1" ht="16.5" hidden="1" customHeight="1">
      <c r="A1156" s="110"/>
      <c r="B1156" s="147" t="s">
        <v>745</v>
      </c>
      <c r="C1156" s="183">
        <v>1</v>
      </c>
      <c r="D1156" s="205" t="s">
        <v>268</v>
      </c>
      <c r="E1156" s="156">
        <v>1</v>
      </c>
      <c r="F1156" s="157">
        <v>8.5</v>
      </c>
      <c r="G1156" s="157">
        <v>4.95</v>
      </c>
      <c r="H1156" s="157">
        <v>0</v>
      </c>
      <c r="I1156" s="207">
        <f t="shared" ref="I1156:I1168" si="91">ROUND(IF(AND(F1156:H1156),C1156*E1156*F1156*G1156*H1156,IF(AND(F1156,G1156),C1156*E1156*F1156*G1156,IF(AND(F1156,H1156),C1156*E1156*F1156*H1156,IF(AND(G1156,H1156),C1156*E1156*G1156*H1156,IF(F1156,C1156*E1156*F1156,IF(G1156,C1156*E1156*G1156,IF(H1156,C1156*E1156*H1156,C1156*E1156))))))),2)</f>
        <v>42.08</v>
      </c>
      <c r="J1156" s="195" t="s">
        <v>102</v>
      </c>
      <c r="K1156" s="147"/>
      <c r="L1156" s="210"/>
      <c r="M1156" s="147"/>
    </row>
    <row r="1157" spans="1:13" s="148" customFormat="1" ht="16.5" hidden="1" customHeight="1">
      <c r="A1157" s="110"/>
      <c r="B1157" s="147" t="s">
        <v>760</v>
      </c>
      <c r="C1157" s="183">
        <v>1</v>
      </c>
      <c r="D1157" s="205" t="s">
        <v>268</v>
      </c>
      <c r="E1157" s="156">
        <v>1</v>
      </c>
      <c r="F1157" s="157">
        <v>5.5</v>
      </c>
      <c r="G1157" s="157">
        <v>2.4</v>
      </c>
      <c r="H1157" s="157">
        <v>0</v>
      </c>
      <c r="I1157" s="207">
        <f t="shared" si="91"/>
        <v>13.2</v>
      </c>
      <c r="J1157" s="195" t="s">
        <v>102</v>
      </c>
      <c r="K1157" s="147"/>
      <c r="L1157" s="210"/>
      <c r="M1157" s="147"/>
    </row>
    <row r="1158" spans="1:13" s="148" customFormat="1" ht="16.5" hidden="1" customHeight="1">
      <c r="A1158" s="110"/>
      <c r="B1158" s="147" t="s">
        <v>763</v>
      </c>
      <c r="C1158" s="183">
        <v>1</v>
      </c>
      <c r="D1158" s="205" t="s">
        <v>268</v>
      </c>
      <c r="E1158" s="156">
        <v>1</v>
      </c>
      <c r="F1158" s="157">
        <v>3.15</v>
      </c>
      <c r="G1158" s="157">
        <v>2.85</v>
      </c>
      <c r="H1158" s="157">
        <v>0</v>
      </c>
      <c r="I1158" s="207">
        <f t="shared" si="91"/>
        <v>8.98</v>
      </c>
      <c r="J1158" s="195" t="s">
        <v>102</v>
      </c>
      <c r="K1158" s="147"/>
      <c r="L1158" s="210"/>
      <c r="M1158" s="147"/>
    </row>
    <row r="1159" spans="1:13" s="148" customFormat="1" ht="16.5" hidden="1" customHeight="1">
      <c r="A1159" s="110"/>
      <c r="B1159" s="147" t="s">
        <v>766</v>
      </c>
      <c r="C1159" s="183">
        <v>1</v>
      </c>
      <c r="D1159" s="205" t="s">
        <v>268</v>
      </c>
      <c r="E1159" s="156">
        <v>1</v>
      </c>
      <c r="F1159" s="157">
        <v>3.15</v>
      </c>
      <c r="G1159" s="157">
        <v>2.75</v>
      </c>
      <c r="H1159" s="157">
        <v>0</v>
      </c>
      <c r="I1159" s="207">
        <f t="shared" si="91"/>
        <v>8.66</v>
      </c>
      <c r="J1159" s="195" t="s">
        <v>102</v>
      </c>
      <c r="K1159" s="147"/>
      <c r="L1159" s="210"/>
      <c r="M1159" s="147"/>
    </row>
    <row r="1160" spans="1:13" s="148" customFormat="1" ht="16.5" hidden="1" customHeight="1">
      <c r="A1160" s="110"/>
      <c r="B1160" s="147" t="s">
        <v>649</v>
      </c>
      <c r="C1160" s="183">
        <v>1</v>
      </c>
      <c r="D1160" s="205" t="s">
        <v>268</v>
      </c>
      <c r="E1160" s="156">
        <v>1</v>
      </c>
      <c r="F1160" s="157">
        <v>8.35</v>
      </c>
      <c r="G1160" s="157">
        <v>3.35</v>
      </c>
      <c r="H1160" s="157">
        <v>0</v>
      </c>
      <c r="I1160" s="207">
        <f t="shared" si="91"/>
        <v>27.97</v>
      </c>
      <c r="J1160" s="195" t="s">
        <v>102</v>
      </c>
      <c r="K1160" s="147"/>
      <c r="L1160" s="210"/>
      <c r="M1160" s="147"/>
    </row>
    <row r="1161" spans="1:13" s="148" customFormat="1" ht="16.5" hidden="1" customHeight="1">
      <c r="A1161" s="110"/>
      <c r="B1161" s="147" t="s">
        <v>767</v>
      </c>
      <c r="C1161" s="183">
        <v>1</v>
      </c>
      <c r="D1161" s="205" t="s">
        <v>268</v>
      </c>
      <c r="E1161" s="156">
        <v>1</v>
      </c>
      <c r="F1161" s="157">
        <v>2.5</v>
      </c>
      <c r="G1161" s="157">
        <v>0.5</v>
      </c>
      <c r="H1161" s="157">
        <v>0</v>
      </c>
      <c r="I1161" s="207">
        <f t="shared" si="91"/>
        <v>1.25</v>
      </c>
      <c r="J1161" s="195" t="s">
        <v>102</v>
      </c>
      <c r="K1161" s="147"/>
      <c r="L1161" s="210"/>
      <c r="M1161" s="147"/>
    </row>
    <row r="1162" spans="1:13" s="148" customFormat="1" ht="16.5" hidden="1" customHeight="1">
      <c r="A1162" s="110"/>
      <c r="B1162" s="147"/>
      <c r="C1162" s="183">
        <v>1</v>
      </c>
      <c r="D1162" s="205" t="s">
        <v>268</v>
      </c>
      <c r="E1162" s="156">
        <v>1</v>
      </c>
      <c r="F1162" s="157">
        <v>2.5</v>
      </c>
      <c r="G1162" s="157">
        <v>0.5</v>
      </c>
      <c r="H1162" s="157">
        <v>0</v>
      </c>
      <c r="I1162" s="207">
        <f t="shared" si="91"/>
        <v>1.25</v>
      </c>
      <c r="J1162" s="195" t="s">
        <v>102</v>
      </c>
      <c r="K1162" s="147"/>
      <c r="L1162" s="210"/>
      <c r="M1162" s="147"/>
    </row>
    <row r="1163" spans="1:13" s="148" customFormat="1" ht="16.5" hidden="1" customHeight="1">
      <c r="A1163" s="110"/>
      <c r="B1163" s="147"/>
      <c r="C1163" s="183">
        <v>1</v>
      </c>
      <c r="D1163" s="205" t="s">
        <v>268</v>
      </c>
      <c r="E1163" s="156">
        <v>1</v>
      </c>
      <c r="F1163" s="157">
        <v>2.5</v>
      </c>
      <c r="G1163" s="157">
        <v>0.5</v>
      </c>
      <c r="H1163" s="157">
        <v>0</v>
      </c>
      <c r="I1163" s="207">
        <f t="shared" si="91"/>
        <v>1.25</v>
      </c>
      <c r="J1163" s="195" t="s">
        <v>102</v>
      </c>
      <c r="K1163" s="147"/>
      <c r="L1163" s="210"/>
      <c r="M1163" s="147"/>
    </row>
    <row r="1164" spans="1:13" s="148" customFormat="1" ht="16.5" hidden="1" customHeight="1">
      <c r="A1164" s="110"/>
      <c r="B1164" s="147" t="s">
        <v>763</v>
      </c>
      <c r="C1164" s="183">
        <v>1</v>
      </c>
      <c r="D1164" s="205" t="s">
        <v>268</v>
      </c>
      <c r="E1164" s="156">
        <v>1</v>
      </c>
      <c r="F1164" s="157">
        <v>2.5</v>
      </c>
      <c r="G1164" s="157">
        <v>0.5</v>
      </c>
      <c r="H1164" s="157">
        <v>0</v>
      </c>
      <c r="I1164" s="207">
        <f t="shared" si="91"/>
        <v>1.25</v>
      </c>
      <c r="J1164" s="195" t="s">
        <v>102</v>
      </c>
      <c r="K1164" s="147"/>
      <c r="L1164" s="210"/>
      <c r="M1164" s="147"/>
    </row>
    <row r="1165" spans="1:13" s="148" customFormat="1" ht="16.5" hidden="1" customHeight="1">
      <c r="A1165" s="110"/>
      <c r="B1165" s="147" t="s">
        <v>766</v>
      </c>
      <c r="C1165" s="183">
        <v>1</v>
      </c>
      <c r="D1165" s="205" t="s">
        <v>268</v>
      </c>
      <c r="E1165" s="156">
        <v>1</v>
      </c>
      <c r="F1165" s="157">
        <v>2.5</v>
      </c>
      <c r="G1165" s="157">
        <v>0.5</v>
      </c>
      <c r="H1165" s="157">
        <v>0</v>
      </c>
      <c r="I1165" s="207">
        <f t="shared" si="91"/>
        <v>1.25</v>
      </c>
      <c r="J1165" s="195" t="s">
        <v>102</v>
      </c>
      <c r="K1165" s="147"/>
      <c r="L1165" s="210"/>
      <c r="M1165" s="147"/>
    </row>
    <row r="1166" spans="1:13" s="148" customFormat="1" ht="16.5" hidden="1" customHeight="1">
      <c r="A1166" s="110"/>
      <c r="B1166" s="147" t="s">
        <v>768</v>
      </c>
      <c r="C1166" s="183">
        <v>1</v>
      </c>
      <c r="D1166" s="205" t="s">
        <v>268</v>
      </c>
      <c r="E1166" s="156">
        <v>1</v>
      </c>
      <c r="F1166" s="157">
        <v>8.9</v>
      </c>
      <c r="G1166" s="157">
        <v>0.9</v>
      </c>
      <c r="H1166" s="157">
        <v>0</v>
      </c>
      <c r="I1166" s="207">
        <f t="shared" si="91"/>
        <v>8.01</v>
      </c>
      <c r="J1166" s="195" t="s">
        <v>102</v>
      </c>
      <c r="K1166" s="147"/>
      <c r="L1166" s="210"/>
      <c r="M1166" s="147"/>
    </row>
    <row r="1167" spans="1:13" s="148" customFormat="1" ht="16.5" hidden="1" customHeight="1">
      <c r="A1167" s="110"/>
      <c r="B1167" s="147" t="s">
        <v>769</v>
      </c>
      <c r="C1167" s="183">
        <v>1</v>
      </c>
      <c r="D1167" s="205" t="s">
        <v>268</v>
      </c>
      <c r="E1167" s="156">
        <v>1</v>
      </c>
      <c r="F1167" s="157">
        <v>2.9</v>
      </c>
      <c r="G1167" s="157">
        <v>1.3</v>
      </c>
      <c r="H1167" s="157">
        <v>0</v>
      </c>
      <c r="I1167" s="207">
        <f t="shared" si="91"/>
        <v>3.77</v>
      </c>
      <c r="J1167" s="195" t="s">
        <v>102</v>
      </c>
      <c r="K1167" s="147"/>
      <c r="L1167" s="210"/>
      <c r="M1167" s="147"/>
    </row>
    <row r="1168" spans="1:13" s="148" customFormat="1" ht="16.5" hidden="1" customHeight="1">
      <c r="A1168" s="110"/>
      <c r="B1168" s="147" t="s">
        <v>746</v>
      </c>
      <c r="C1168" s="183">
        <v>1</v>
      </c>
      <c r="D1168" s="205" t="s">
        <v>268</v>
      </c>
      <c r="E1168" s="156">
        <v>1</v>
      </c>
      <c r="F1168" s="157">
        <v>2.9</v>
      </c>
      <c r="G1168" s="157">
        <v>1.3</v>
      </c>
      <c r="H1168" s="157">
        <v>0</v>
      </c>
      <c r="I1168" s="207">
        <f t="shared" si="91"/>
        <v>3.77</v>
      </c>
      <c r="J1168" s="195" t="s">
        <v>102</v>
      </c>
      <c r="K1168" s="147"/>
      <c r="L1168" s="210"/>
      <c r="M1168" s="147"/>
    </row>
    <row r="1169" spans="1:13" s="148" customFormat="1" ht="16.5" hidden="1" customHeight="1">
      <c r="A1169" s="110"/>
      <c r="B1169" s="147" t="s">
        <v>1302</v>
      </c>
      <c r="C1169" s="141"/>
      <c r="D1169" s="142"/>
      <c r="E1169" s="143"/>
      <c r="F1169" s="144"/>
      <c r="G1169" s="144"/>
      <c r="H1169" s="145"/>
      <c r="I1169" s="184"/>
      <c r="J1169" s="195"/>
      <c r="K1169" s="147"/>
      <c r="L1169" s="210"/>
      <c r="M1169" s="147"/>
    </row>
    <row r="1170" spans="1:13" s="148" customFormat="1" ht="16.5" hidden="1" customHeight="1">
      <c r="A1170" s="110"/>
      <c r="B1170" s="147" t="s">
        <v>770</v>
      </c>
      <c r="C1170" s="183">
        <v>1</v>
      </c>
      <c r="D1170" s="205" t="s">
        <v>268</v>
      </c>
      <c r="E1170" s="156">
        <v>1</v>
      </c>
      <c r="F1170" s="157">
        <v>27.04</v>
      </c>
      <c r="G1170" s="157">
        <v>0</v>
      </c>
      <c r="H1170" s="157">
        <v>3.2</v>
      </c>
      <c r="I1170" s="207">
        <f t="shared" ref="I1170:I1177" si="92">ROUND(IF(AND(F1170:H1170),C1170*E1170*F1170*G1170*H1170,IF(AND(F1170,G1170),C1170*E1170*F1170*G1170,IF(AND(F1170,H1170),C1170*E1170*F1170*H1170,IF(AND(G1170,H1170),C1170*E1170*G1170*H1170,IF(F1170,C1170*E1170*F1170,IF(G1170,C1170*E1170*G1170,IF(H1170,C1170*E1170*H1170,C1170*E1170))))))),2)</f>
        <v>86.53</v>
      </c>
      <c r="J1170" s="195" t="s">
        <v>102</v>
      </c>
      <c r="K1170" s="147"/>
      <c r="L1170" s="210"/>
      <c r="M1170" s="147"/>
    </row>
    <row r="1171" spans="1:13" s="148" customFormat="1" ht="16.5" hidden="1" customHeight="1">
      <c r="A1171" s="110"/>
      <c r="B1171" s="147" t="s">
        <v>763</v>
      </c>
      <c r="C1171" s="183">
        <v>1</v>
      </c>
      <c r="D1171" s="205" t="s">
        <v>268</v>
      </c>
      <c r="E1171" s="156">
        <v>1</v>
      </c>
      <c r="F1171" s="157">
        <v>12.18</v>
      </c>
      <c r="G1171" s="157">
        <v>0</v>
      </c>
      <c r="H1171" s="157">
        <v>3.2</v>
      </c>
      <c r="I1171" s="207">
        <f t="shared" si="92"/>
        <v>38.979999999999997</v>
      </c>
      <c r="J1171" s="195" t="s">
        <v>102</v>
      </c>
      <c r="K1171" s="147"/>
      <c r="L1171" s="210"/>
      <c r="M1171" s="147"/>
    </row>
    <row r="1172" spans="1:13" s="148" customFormat="1" ht="16.5" hidden="1" customHeight="1">
      <c r="A1172" s="110"/>
      <c r="B1172" s="147" t="s">
        <v>766</v>
      </c>
      <c r="C1172" s="183">
        <v>1</v>
      </c>
      <c r="D1172" s="205" t="s">
        <v>268</v>
      </c>
      <c r="E1172" s="156">
        <v>1</v>
      </c>
      <c r="F1172" s="157">
        <v>12.1</v>
      </c>
      <c r="G1172" s="157">
        <v>0</v>
      </c>
      <c r="H1172" s="157">
        <v>3.2</v>
      </c>
      <c r="I1172" s="207">
        <f t="shared" si="92"/>
        <v>38.72</v>
      </c>
      <c r="J1172" s="195" t="s">
        <v>102</v>
      </c>
      <c r="K1172" s="147"/>
      <c r="L1172" s="210"/>
      <c r="M1172" s="147"/>
    </row>
    <row r="1173" spans="1:13" s="148" customFormat="1" ht="16.5" hidden="1" customHeight="1">
      <c r="A1173" s="110"/>
      <c r="B1173" s="147" t="s">
        <v>771</v>
      </c>
      <c r="C1173" s="183">
        <v>1</v>
      </c>
      <c r="D1173" s="205" t="s">
        <v>268</v>
      </c>
      <c r="E1173" s="156">
        <v>1</v>
      </c>
      <c r="F1173" s="157">
        <v>20.079999999999998</v>
      </c>
      <c r="G1173" s="157">
        <v>0</v>
      </c>
      <c r="H1173" s="157">
        <v>3.2</v>
      </c>
      <c r="I1173" s="207">
        <f t="shared" si="92"/>
        <v>64.260000000000005</v>
      </c>
      <c r="J1173" s="195" t="s">
        <v>102</v>
      </c>
      <c r="K1173" s="147"/>
      <c r="L1173" s="210"/>
      <c r="M1173" s="147"/>
    </row>
    <row r="1174" spans="1:13" s="148" customFormat="1" ht="16.5" hidden="1" customHeight="1">
      <c r="A1174" s="110"/>
      <c r="B1174" s="147" t="s">
        <v>772</v>
      </c>
      <c r="C1174" s="183">
        <v>1</v>
      </c>
      <c r="D1174" s="205" t="s">
        <v>268</v>
      </c>
      <c r="E1174" s="156">
        <v>1</v>
      </c>
      <c r="F1174" s="157">
        <v>12.6</v>
      </c>
      <c r="G1174" s="157">
        <v>0</v>
      </c>
      <c r="H1174" s="157">
        <v>0.75</v>
      </c>
      <c r="I1174" s="207">
        <f t="shared" si="92"/>
        <v>9.4499999999999993</v>
      </c>
      <c r="J1174" s="195" t="s">
        <v>102</v>
      </c>
      <c r="K1174" s="147"/>
      <c r="L1174" s="210"/>
      <c r="M1174" s="147"/>
    </row>
    <row r="1175" spans="1:13" s="148" customFormat="1" ht="16.5" hidden="1" customHeight="1">
      <c r="A1175" s="110"/>
      <c r="B1175" s="147" t="s">
        <v>773</v>
      </c>
      <c r="C1175" s="183">
        <v>1</v>
      </c>
      <c r="D1175" s="205" t="s">
        <v>268</v>
      </c>
      <c r="E1175" s="156">
        <v>1</v>
      </c>
      <c r="F1175" s="157">
        <v>3.27</v>
      </c>
      <c r="G1175" s="157">
        <v>0</v>
      </c>
      <c r="H1175" s="157">
        <v>3.2</v>
      </c>
      <c r="I1175" s="207">
        <f t="shared" si="92"/>
        <v>10.46</v>
      </c>
      <c r="J1175" s="195" t="s">
        <v>102</v>
      </c>
      <c r="K1175" s="147"/>
      <c r="L1175" s="210"/>
      <c r="M1175" s="147"/>
    </row>
    <row r="1176" spans="1:13" s="148" customFormat="1" ht="16.5" hidden="1" customHeight="1">
      <c r="A1176" s="110"/>
      <c r="B1176" s="147"/>
      <c r="C1176" s="183">
        <v>1</v>
      </c>
      <c r="D1176" s="205" t="s">
        <v>268</v>
      </c>
      <c r="E1176" s="156">
        <v>1</v>
      </c>
      <c r="F1176" s="157">
        <v>3.27</v>
      </c>
      <c r="G1176" s="157">
        <v>0</v>
      </c>
      <c r="H1176" s="157">
        <v>3.2</v>
      </c>
      <c r="I1176" s="207">
        <f t="shared" si="92"/>
        <v>10.46</v>
      </c>
      <c r="J1176" s="195" t="s">
        <v>102</v>
      </c>
      <c r="K1176" s="147"/>
      <c r="L1176" s="210"/>
      <c r="M1176" s="147"/>
    </row>
    <row r="1177" spans="1:13" s="148" customFormat="1" ht="16.5" hidden="1" customHeight="1">
      <c r="A1177" s="110"/>
      <c r="B1177" s="147" t="s">
        <v>774</v>
      </c>
      <c r="C1177" s="183">
        <v>1</v>
      </c>
      <c r="D1177" s="205" t="s">
        <v>268</v>
      </c>
      <c r="E1177" s="156">
        <v>1</v>
      </c>
      <c r="F1177" s="157">
        <v>2.68</v>
      </c>
      <c r="G1177" s="157">
        <v>0</v>
      </c>
      <c r="H1177" s="157">
        <v>1.2</v>
      </c>
      <c r="I1177" s="207">
        <f t="shared" si="92"/>
        <v>3.22</v>
      </c>
      <c r="J1177" s="195" t="s">
        <v>102</v>
      </c>
      <c r="K1177" s="147"/>
      <c r="L1177" s="210"/>
      <c r="M1177" s="147"/>
    </row>
    <row r="1178" spans="1:13" s="148" customFormat="1" ht="16.5" hidden="1" customHeight="1">
      <c r="A1178" s="110"/>
      <c r="B1178" s="147" t="s">
        <v>567</v>
      </c>
      <c r="C1178" s="183">
        <v>1</v>
      </c>
      <c r="D1178" s="205" t="s">
        <v>268</v>
      </c>
      <c r="E1178" s="156">
        <v>2</v>
      </c>
      <c r="F1178" s="157">
        <v>1.2</v>
      </c>
      <c r="G1178" s="157">
        <v>0</v>
      </c>
      <c r="H1178" s="157">
        <v>2.1</v>
      </c>
      <c r="I1178" s="207">
        <f>-ROUND(IF(AND(F1178:H1178),C1178*E1178*F1178*G1178*H1178,IF(AND(F1178,G1178),C1178*E1178*F1178*G1178,IF(AND(F1178,H1178),C1178*E1178*F1178*H1178,IF(AND(G1178,H1178),C1178*E1178*G1178*H1178,IF(F1178,C1178*E1178*F1178,IF(G1178,C1178*E1178*G1178,IF(H1178,C1178*E1178*H1178,C1178*E1178))))))),2)</f>
        <v>-5.04</v>
      </c>
      <c r="J1178" s="195" t="s">
        <v>102</v>
      </c>
      <c r="K1178" s="147"/>
      <c r="L1178" s="210"/>
      <c r="M1178" s="147"/>
    </row>
    <row r="1179" spans="1:13" s="148" customFormat="1" ht="16.5" hidden="1" customHeight="1">
      <c r="A1179" s="110"/>
      <c r="B1179" s="147" t="s">
        <v>748</v>
      </c>
      <c r="C1179" s="183">
        <v>1</v>
      </c>
      <c r="D1179" s="205" t="s">
        <v>268</v>
      </c>
      <c r="E1179" s="156">
        <v>5</v>
      </c>
      <c r="F1179" s="157">
        <v>1.5</v>
      </c>
      <c r="G1179" s="157">
        <v>0</v>
      </c>
      <c r="H1179" s="157">
        <v>1.35</v>
      </c>
      <c r="I1179" s="207">
        <f>-ROUND(IF(AND(F1179:H1179),C1179*E1179*F1179*G1179*H1179,IF(AND(F1179,G1179),C1179*E1179*F1179*G1179,IF(AND(F1179,H1179),C1179*E1179*F1179*H1179,IF(AND(G1179,H1179),C1179*E1179*G1179*H1179,IF(F1179,C1179*E1179*F1179,IF(G1179,C1179*E1179*G1179,IF(H1179,C1179*E1179*H1179,C1179*E1179))))))),2)</f>
        <v>-10.130000000000001</v>
      </c>
      <c r="J1179" s="195" t="s">
        <v>102</v>
      </c>
      <c r="K1179" s="147"/>
      <c r="L1179" s="210"/>
      <c r="M1179" s="147"/>
    </row>
    <row r="1180" spans="1:13" s="148" customFormat="1" ht="16.5" hidden="1" customHeight="1">
      <c r="A1180" s="110"/>
      <c r="B1180" s="147" t="s">
        <v>744</v>
      </c>
      <c r="C1180" s="183">
        <v>1</v>
      </c>
      <c r="D1180" s="205" t="s">
        <v>268</v>
      </c>
      <c r="E1180" s="156">
        <v>10</v>
      </c>
      <c r="F1180" s="157">
        <v>0.6</v>
      </c>
      <c r="G1180" s="157">
        <v>0</v>
      </c>
      <c r="H1180" s="157">
        <v>0.3</v>
      </c>
      <c r="I1180" s="207">
        <f>-ROUND(IF(AND(F1180:H1180),C1180*E1180*F1180*G1180*H1180,IF(AND(F1180,G1180),C1180*E1180*F1180*G1180,IF(AND(F1180,H1180),C1180*E1180*F1180*H1180,IF(AND(G1180,H1180),C1180*E1180*G1180*H1180,IF(F1180,C1180*E1180*F1180,IF(G1180,C1180*E1180*G1180,IF(H1180,C1180*E1180*H1180,C1180*E1180))))))),2)</f>
        <v>-1.8</v>
      </c>
      <c r="J1180" s="195" t="s">
        <v>102</v>
      </c>
      <c r="K1180" s="147"/>
      <c r="L1180" s="210"/>
      <c r="M1180" s="147"/>
    </row>
    <row r="1181" spans="1:13" s="148" customFormat="1" ht="16.5" hidden="1" customHeight="1">
      <c r="A1181" s="110"/>
      <c r="B1181" s="147" t="s">
        <v>775</v>
      </c>
      <c r="C1181" s="183">
        <v>1</v>
      </c>
      <c r="D1181" s="205" t="s">
        <v>268</v>
      </c>
      <c r="E1181" s="156">
        <v>1</v>
      </c>
      <c r="F1181" s="157">
        <v>1.2</v>
      </c>
      <c r="G1181" s="157">
        <v>0</v>
      </c>
      <c r="H1181" s="157">
        <v>2.1</v>
      </c>
      <c r="I1181" s="207">
        <f>-ROUND(IF(AND(F1181:H1181),C1181*E1181*F1181*G1181*H1181,IF(AND(F1181,G1181),C1181*E1181*F1181*G1181,IF(AND(F1181,H1181),C1181*E1181*F1181*H1181,IF(AND(G1181,H1181),C1181*E1181*G1181*H1181,IF(F1181,C1181*E1181*F1181,IF(G1181,C1181*E1181*G1181,IF(H1181,C1181*E1181*H1181,C1181*E1181))))))),2)</f>
        <v>-2.52</v>
      </c>
      <c r="J1181" s="195" t="s">
        <v>102</v>
      </c>
      <c r="K1181" s="147"/>
      <c r="L1181" s="210"/>
      <c r="M1181" s="147"/>
    </row>
    <row r="1182" spans="1:13" s="148" customFormat="1" ht="16.5" hidden="1" customHeight="1">
      <c r="A1182" s="110"/>
      <c r="B1182" s="147" t="s">
        <v>1292</v>
      </c>
      <c r="C1182" s="141"/>
      <c r="D1182" s="142"/>
      <c r="E1182" s="143"/>
      <c r="F1182" s="144"/>
      <c r="G1182" s="144"/>
      <c r="H1182" s="145"/>
      <c r="I1182" s="184"/>
      <c r="J1182" s="195"/>
      <c r="K1182" s="147"/>
      <c r="L1182" s="210"/>
      <c r="M1182" s="147"/>
    </row>
    <row r="1183" spans="1:13" s="148" customFormat="1" ht="16.5" hidden="1" customHeight="1">
      <c r="A1183" s="110"/>
      <c r="B1183" s="147" t="s">
        <v>761</v>
      </c>
      <c r="C1183" s="183">
        <v>1</v>
      </c>
      <c r="D1183" s="205" t="s">
        <v>268</v>
      </c>
      <c r="E1183" s="156">
        <v>1</v>
      </c>
      <c r="F1183" s="157">
        <v>12.53</v>
      </c>
      <c r="G1183" s="157">
        <v>0</v>
      </c>
      <c r="H1183" s="157">
        <v>3.6</v>
      </c>
      <c r="I1183" s="207">
        <f>ROUND(IF(AND(F1183:H1183),C1183*E1183*F1183*G1183*H1183,IF(AND(F1183,G1183),C1183*E1183*F1183*G1183,IF(AND(F1183,H1183),C1183*E1183*F1183*H1183,IF(AND(G1183,H1183),C1183*E1183*G1183*H1183,IF(F1183,C1183*E1183*F1183,IF(G1183,C1183*E1183*G1183,IF(H1183,C1183*E1183*H1183,C1183*E1183))))))),2)</f>
        <v>45.11</v>
      </c>
      <c r="J1183" s="195" t="s">
        <v>102</v>
      </c>
      <c r="K1183" s="147"/>
      <c r="L1183" s="210"/>
      <c r="M1183" s="147"/>
    </row>
    <row r="1184" spans="1:13" s="148" customFormat="1" ht="16.5" hidden="1" customHeight="1">
      <c r="A1184" s="110"/>
      <c r="B1184" s="147" t="s">
        <v>762</v>
      </c>
      <c r="C1184" s="183">
        <v>1</v>
      </c>
      <c r="D1184" s="205" t="s">
        <v>268</v>
      </c>
      <c r="E1184" s="156">
        <v>1</v>
      </c>
      <c r="F1184" s="157">
        <v>8.85</v>
      </c>
      <c r="G1184" s="157">
        <v>0</v>
      </c>
      <c r="H1184" s="157">
        <v>3.6</v>
      </c>
      <c r="I1184" s="207">
        <f>ROUND(IF(AND(F1184:H1184),C1184*E1184*F1184*G1184*H1184,IF(AND(F1184,G1184),C1184*E1184*F1184*G1184,IF(AND(F1184,H1184),C1184*E1184*F1184*H1184,IF(AND(G1184,H1184),C1184*E1184*G1184*H1184,IF(F1184,C1184*E1184*F1184,IF(G1184,C1184*E1184*G1184,IF(H1184,C1184*E1184*H1184,C1184*E1184))))))),2)</f>
        <v>31.86</v>
      </c>
      <c r="J1184" s="195" t="s">
        <v>102</v>
      </c>
      <c r="K1184" s="147"/>
      <c r="L1184" s="210"/>
      <c r="M1184" s="147"/>
    </row>
    <row r="1185" spans="1:13" s="148" customFormat="1" ht="16.5" hidden="1" customHeight="1">
      <c r="A1185" s="110"/>
      <c r="B1185" s="147" t="s">
        <v>765</v>
      </c>
      <c r="C1185" s="183">
        <v>1</v>
      </c>
      <c r="D1185" s="205" t="s">
        <v>268</v>
      </c>
      <c r="E1185" s="156">
        <v>1</v>
      </c>
      <c r="F1185" s="157">
        <v>6.25</v>
      </c>
      <c r="G1185" s="157">
        <v>0</v>
      </c>
      <c r="H1185" s="157">
        <v>3.6</v>
      </c>
      <c r="I1185" s="207">
        <f>ROUND(IF(AND(F1185:H1185),C1185*E1185*F1185*G1185*H1185,IF(AND(F1185,G1185),C1185*E1185*F1185*G1185,IF(AND(F1185,H1185),C1185*E1185*F1185*H1185,IF(AND(G1185,H1185),C1185*E1185*G1185*H1185,IF(F1185,C1185*E1185*F1185,IF(G1185,C1185*E1185*G1185,IF(H1185,C1185*E1185*H1185,C1185*E1185))))))),2)</f>
        <v>22.5</v>
      </c>
      <c r="J1185" s="195" t="s">
        <v>102</v>
      </c>
      <c r="K1185" s="147"/>
      <c r="L1185" s="210"/>
      <c r="M1185" s="147"/>
    </row>
    <row r="1186" spans="1:13" s="148" customFormat="1" ht="16.5" hidden="1" customHeight="1">
      <c r="A1186" s="110"/>
      <c r="B1186" s="147" t="s">
        <v>764</v>
      </c>
      <c r="C1186" s="183">
        <v>1</v>
      </c>
      <c r="D1186" s="205" t="s">
        <v>268</v>
      </c>
      <c r="E1186" s="156">
        <v>1</v>
      </c>
      <c r="F1186" s="157">
        <v>5.45</v>
      </c>
      <c r="G1186" s="157">
        <v>0</v>
      </c>
      <c r="H1186" s="157">
        <v>3.2</v>
      </c>
      <c r="I1186" s="207">
        <f>ROUND(IF(AND(F1186:H1186),C1186*E1186*F1186*G1186*H1186,IF(AND(F1186,G1186),C1186*E1186*F1186*G1186,IF(AND(F1186,H1186),C1186*E1186*F1186*H1186,IF(AND(G1186,H1186),C1186*E1186*G1186*H1186,IF(F1186,C1186*E1186*F1186,IF(G1186,C1186*E1186*G1186,IF(H1186,C1186*E1186*H1186,C1186*E1186))))))),2)</f>
        <v>17.440000000000001</v>
      </c>
      <c r="J1186" s="195" t="s">
        <v>102</v>
      </c>
      <c r="K1186" s="147"/>
      <c r="L1186" s="210"/>
      <c r="M1186" s="147"/>
    </row>
    <row r="1187" spans="1:13" s="148" customFormat="1" ht="16.5" hidden="1" customHeight="1">
      <c r="A1187" s="110"/>
      <c r="B1187" s="149"/>
      <c r="C1187" s="150"/>
      <c r="D1187" s="151"/>
      <c r="E1187" s="194"/>
      <c r="F1187" s="153"/>
      <c r="G1187" s="153"/>
      <c r="H1187" s="153"/>
      <c r="I1187" s="185"/>
      <c r="J1187" s="195"/>
      <c r="K1187" s="147"/>
      <c r="L1187" s="210"/>
      <c r="M1187" s="147"/>
    </row>
    <row r="1188" spans="1:13" hidden="1">
      <c r="A1188" s="110"/>
      <c r="B1188" s="147"/>
      <c r="C1188" s="154"/>
      <c r="D1188" s="155"/>
      <c r="E1188" s="156"/>
      <c r="F1188" s="157"/>
      <c r="G1188" s="158"/>
      <c r="H1188" s="110"/>
      <c r="I1188" s="185"/>
      <c r="J1188" s="195" t="s">
        <v>102</v>
      </c>
      <c r="K1188" s="12">
        <f>'DATA 2025-26'!G823</f>
        <v>28.58</v>
      </c>
      <c r="L1188" s="210" t="s">
        <v>270</v>
      </c>
      <c r="M1188" s="11">
        <f>ROUND(I1188*K1188,0)</f>
        <v>0</v>
      </c>
    </row>
    <row r="1189" spans="1:13" ht="117.75" hidden="1" customHeight="1">
      <c r="A1189" s="110">
        <v>7</v>
      </c>
      <c r="B1189" s="964" t="s">
        <v>845</v>
      </c>
      <c r="C1189" s="964"/>
      <c r="D1189" s="964"/>
      <c r="E1189" s="964"/>
      <c r="F1189" s="964"/>
      <c r="G1189" s="964"/>
      <c r="H1189" s="964"/>
      <c r="I1189" s="183"/>
      <c r="J1189" s="186"/>
      <c r="K1189" s="110"/>
      <c r="L1189" s="210"/>
      <c r="M1189" s="139"/>
    </row>
    <row r="1190" spans="1:13" s="148" customFormat="1" ht="16.5" hidden="1" customHeight="1">
      <c r="A1190" s="110"/>
      <c r="B1190" s="147" t="s">
        <v>1396</v>
      </c>
      <c r="C1190" s="141"/>
      <c r="D1190" s="142"/>
      <c r="E1190" s="143"/>
      <c r="F1190" s="144"/>
      <c r="G1190" s="144"/>
      <c r="H1190" s="145"/>
      <c r="I1190" s="184"/>
      <c r="J1190" s="195"/>
      <c r="K1190" s="147"/>
      <c r="L1190" s="110"/>
      <c r="M1190" s="147"/>
    </row>
    <row r="1191" spans="1:13" s="148" customFormat="1" ht="16.5" hidden="1" customHeight="1">
      <c r="A1191" s="110"/>
      <c r="B1191" s="147" t="s">
        <v>1367</v>
      </c>
      <c r="C1191" s="183">
        <v>1</v>
      </c>
      <c r="D1191" s="205" t="s">
        <v>268</v>
      </c>
      <c r="E1191" s="156">
        <v>1</v>
      </c>
      <c r="F1191" s="157">
        <v>3.3</v>
      </c>
      <c r="G1191" s="157">
        <v>0</v>
      </c>
      <c r="H1191" s="157">
        <v>3.15</v>
      </c>
      <c r="I1191" s="207">
        <f t="shared" ref="I1191:I1197" si="93">ROUND(IF(AND(F1191:H1191),C1191*E1191*F1191*G1191*H1191,IF(AND(F1191,G1191),C1191*E1191*F1191*G1191,IF(AND(F1191,H1191),C1191*E1191*F1191*H1191,IF(AND(G1191,H1191),C1191*E1191*G1191*H1191,IF(F1191,C1191*E1191*F1191,IF(G1191,C1191*E1191*G1191,IF(H1191,C1191*E1191*H1191,C1191*E1191))))))),2)</f>
        <v>10.4</v>
      </c>
      <c r="J1191" s="195" t="s">
        <v>102</v>
      </c>
      <c r="K1191" s="147"/>
      <c r="L1191" s="110"/>
      <c r="M1191" s="147"/>
    </row>
    <row r="1192" spans="1:13" s="148" customFormat="1" ht="16.5" hidden="1" customHeight="1">
      <c r="A1192" s="110"/>
      <c r="B1192" s="147"/>
      <c r="C1192" s="183">
        <v>1</v>
      </c>
      <c r="D1192" s="205" t="s">
        <v>268</v>
      </c>
      <c r="E1192" s="156">
        <v>1</v>
      </c>
      <c r="F1192" s="157">
        <v>3.3</v>
      </c>
      <c r="G1192" s="157">
        <v>0</v>
      </c>
      <c r="H1192" s="157">
        <v>3.15</v>
      </c>
      <c r="I1192" s="207">
        <f t="shared" si="93"/>
        <v>10.4</v>
      </c>
      <c r="J1192" s="195" t="s">
        <v>102</v>
      </c>
      <c r="K1192" s="147"/>
      <c r="L1192" s="110"/>
      <c r="M1192" s="147"/>
    </row>
    <row r="1193" spans="1:13" s="148" customFormat="1" ht="16.5" hidden="1" customHeight="1">
      <c r="A1193" s="110"/>
      <c r="B1193" s="147"/>
      <c r="C1193" s="183">
        <v>1</v>
      </c>
      <c r="D1193" s="205" t="s">
        <v>268</v>
      </c>
      <c r="E1193" s="156">
        <v>1</v>
      </c>
      <c r="F1193" s="157">
        <v>3.2</v>
      </c>
      <c r="G1193" s="157">
        <v>0</v>
      </c>
      <c r="H1193" s="157">
        <v>2.75</v>
      </c>
      <c r="I1193" s="207">
        <f t="shared" si="93"/>
        <v>8.8000000000000007</v>
      </c>
      <c r="J1193" s="195" t="s">
        <v>102</v>
      </c>
      <c r="K1193" s="147"/>
      <c r="L1193" s="110"/>
      <c r="M1193" s="147"/>
    </row>
    <row r="1194" spans="1:13" s="148" customFormat="1" ht="16.5" hidden="1" customHeight="1">
      <c r="A1194" s="110"/>
      <c r="B1194" s="147"/>
      <c r="C1194" s="183">
        <v>1</v>
      </c>
      <c r="D1194" s="205" t="s">
        <v>268</v>
      </c>
      <c r="E1194" s="156">
        <v>1</v>
      </c>
      <c r="F1194" s="157">
        <v>3.2</v>
      </c>
      <c r="G1194" s="157">
        <v>0</v>
      </c>
      <c r="H1194" s="157">
        <v>2.75</v>
      </c>
      <c r="I1194" s="207">
        <f t="shared" si="93"/>
        <v>8.8000000000000007</v>
      </c>
      <c r="J1194" s="195" t="s">
        <v>102</v>
      </c>
      <c r="K1194" s="147"/>
      <c r="L1194" s="110"/>
      <c r="M1194" s="147"/>
    </row>
    <row r="1195" spans="1:13" s="148" customFormat="1" ht="16.5" hidden="1" customHeight="1">
      <c r="A1195" s="110"/>
      <c r="B1195" s="147" t="s">
        <v>1368</v>
      </c>
      <c r="C1195" s="183">
        <v>1</v>
      </c>
      <c r="D1195" s="205" t="s">
        <v>268</v>
      </c>
      <c r="E1195" s="156">
        <v>1</v>
      </c>
      <c r="F1195" s="157">
        <v>3.3</v>
      </c>
      <c r="G1195" s="157">
        <v>0</v>
      </c>
      <c r="H1195" s="157">
        <v>2.7</v>
      </c>
      <c r="I1195" s="207">
        <f t="shared" si="93"/>
        <v>8.91</v>
      </c>
      <c r="J1195" s="195" t="s">
        <v>102</v>
      </c>
      <c r="K1195" s="147"/>
      <c r="L1195" s="110"/>
      <c r="M1195" s="147"/>
    </row>
    <row r="1196" spans="1:13" s="148" customFormat="1" ht="16.5" hidden="1" customHeight="1">
      <c r="A1196" s="110"/>
      <c r="B1196" s="147"/>
      <c r="C1196" s="183">
        <v>1</v>
      </c>
      <c r="D1196" s="205" t="s">
        <v>268</v>
      </c>
      <c r="E1196" s="156">
        <v>1</v>
      </c>
      <c r="F1196" s="157">
        <v>3.3</v>
      </c>
      <c r="G1196" s="157">
        <v>0</v>
      </c>
      <c r="H1196" s="157">
        <v>2.7</v>
      </c>
      <c r="I1196" s="207">
        <f t="shared" si="93"/>
        <v>8.91</v>
      </c>
      <c r="J1196" s="195" t="s">
        <v>102</v>
      </c>
      <c r="K1196" s="147"/>
      <c r="L1196" s="110"/>
      <c r="M1196" s="147"/>
    </row>
    <row r="1197" spans="1:13" s="148" customFormat="1" ht="16.5" hidden="1" customHeight="1">
      <c r="A1197" s="110"/>
      <c r="B1197" s="147"/>
      <c r="C1197" s="183">
        <v>1</v>
      </c>
      <c r="D1197" s="205" t="s">
        <v>268</v>
      </c>
      <c r="E1197" s="156">
        <v>1</v>
      </c>
      <c r="F1197" s="157">
        <v>3.2</v>
      </c>
      <c r="G1197" s="157">
        <v>0</v>
      </c>
      <c r="H1197" s="157">
        <v>2.7</v>
      </c>
      <c r="I1197" s="207">
        <f t="shared" si="93"/>
        <v>8.64</v>
      </c>
      <c r="J1197" s="195" t="s">
        <v>102</v>
      </c>
      <c r="K1197" s="147"/>
      <c r="L1197" s="110"/>
      <c r="M1197" s="147"/>
    </row>
    <row r="1198" spans="1:13" s="148" customFormat="1" ht="16.5" hidden="1" customHeight="1">
      <c r="A1198" s="110"/>
      <c r="B1198" s="147" t="s">
        <v>578</v>
      </c>
      <c r="C1198" s="183">
        <v>1</v>
      </c>
      <c r="D1198" s="205" t="s">
        <v>268</v>
      </c>
      <c r="E1198" s="156">
        <v>1</v>
      </c>
      <c r="F1198" s="157">
        <v>1.2</v>
      </c>
      <c r="G1198" s="157">
        <v>0</v>
      </c>
      <c r="H1198" s="157">
        <v>2.1</v>
      </c>
      <c r="I1198" s="207">
        <f>-ROUND(IF(AND(F1198:H1198),C1198*E1198*F1198*G1198*H1198,IF(AND(F1198,G1198),C1198*E1198*F1198*G1198,IF(AND(F1198,H1198),C1198*E1198*F1198*H1198,IF(AND(G1198,H1198),C1198*E1198*G1198*H1198,IF(F1198,C1198*E1198*F1198,IF(G1198,C1198*E1198*G1198,IF(H1198,C1198*E1198*H1198,C1198*E1198))))))),2)</f>
        <v>-2.52</v>
      </c>
      <c r="J1198" s="195" t="s">
        <v>102</v>
      </c>
      <c r="K1198" s="147"/>
      <c r="L1198" s="110"/>
      <c r="M1198" s="147"/>
    </row>
    <row r="1199" spans="1:13" s="148" customFormat="1" ht="16.5" hidden="1" customHeight="1">
      <c r="A1199" s="110"/>
      <c r="B1199" s="147" t="s">
        <v>1369</v>
      </c>
      <c r="C1199" s="183">
        <v>1</v>
      </c>
      <c r="D1199" s="205" t="s">
        <v>268</v>
      </c>
      <c r="E1199" s="156">
        <v>1</v>
      </c>
      <c r="F1199" s="157">
        <v>42</v>
      </c>
      <c r="G1199" s="157">
        <v>0</v>
      </c>
      <c r="H1199" s="157">
        <v>0.8</v>
      </c>
      <c r="I1199" s="207">
        <f>ROUND(IF(AND(F1199:H1199),C1199*E1199*F1199*G1199*H1199,IF(AND(F1199,G1199),C1199*E1199*F1199*G1199,IF(AND(F1199,H1199),C1199*E1199*F1199*H1199,IF(AND(G1199,H1199),C1199*E1199*G1199*H1199,IF(F1199,C1199*E1199*F1199,IF(G1199,C1199*E1199*G1199,IF(H1199,C1199*E1199*H1199,C1199*E1199))))))),2)</f>
        <v>33.6</v>
      </c>
      <c r="J1199" s="195" t="s">
        <v>102</v>
      </c>
      <c r="K1199" s="147"/>
      <c r="L1199" s="110"/>
      <c r="M1199" s="147"/>
    </row>
    <row r="1200" spans="1:13" s="148" customFormat="1" ht="16.5" hidden="1" customHeight="1">
      <c r="A1200" s="110"/>
      <c r="B1200" s="147" t="s">
        <v>1370</v>
      </c>
      <c r="C1200" s="183">
        <v>1</v>
      </c>
      <c r="D1200" s="205" t="s">
        <v>268</v>
      </c>
      <c r="E1200" s="156">
        <v>1</v>
      </c>
      <c r="F1200" s="157">
        <v>14.8</v>
      </c>
      <c r="G1200" s="157">
        <v>0</v>
      </c>
      <c r="H1200" s="157">
        <v>0.8</v>
      </c>
      <c r="I1200" s="207">
        <f>ROUND(IF(AND(F1200:H1200),C1200*E1200*F1200*G1200*H1200,IF(AND(F1200,G1200),C1200*E1200*F1200*G1200,IF(AND(F1200,H1200),C1200*E1200*F1200*H1200,IF(AND(G1200,H1200),C1200*E1200*G1200*H1200,IF(F1200,C1200*E1200*F1200,IF(G1200,C1200*E1200*G1200,IF(H1200,C1200*E1200*H1200,C1200*E1200))))))),2)</f>
        <v>11.84</v>
      </c>
      <c r="J1200" s="195" t="s">
        <v>102</v>
      </c>
      <c r="K1200" s="147"/>
      <c r="L1200" s="110"/>
      <c r="M1200" s="147"/>
    </row>
    <row r="1201" spans="1:13" s="148" customFormat="1" ht="16.5" hidden="1" customHeight="1">
      <c r="A1201" s="110"/>
      <c r="B1201" s="147" t="s">
        <v>1371</v>
      </c>
      <c r="C1201" s="183">
        <v>1</v>
      </c>
      <c r="D1201" s="205" t="s">
        <v>268</v>
      </c>
      <c r="E1201" s="156">
        <v>1</v>
      </c>
      <c r="F1201" s="157">
        <v>10.3</v>
      </c>
      <c r="G1201" s="157">
        <v>0</v>
      </c>
      <c r="H1201" s="157">
        <v>0.8</v>
      </c>
      <c r="I1201" s="207">
        <f>ROUND(IF(AND(F1201:H1201),C1201*E1201*F1201*G1201*H1201,IF(AND(F1201,G1201),C1201*E1201*F1201*G1201,IF(AND(F1201,H1201),C1201*E1201*F1201*H1201,IF(AND(G1201,H1201),C1201*E1201*G1201*H1201,IF(F1201,C1201*E1201*F1201,IF(G1201,C1201*E1201*G1201,IF(H1201,C1201*E1201*H1201,C1201*E1201))))))),2)</f>
        <v>8.24</v>
      </c>
      <c r="J1201" s="195" t="s">
        <v>102</v>
      </c>
      <c r="K1201" s="147"/>
      <c r="L1201" s="110"/>
      <c r="M1201" s="147"/>
    </row>
    <row r="1202" spans="1:13" s="148" customFormat="1" ht="16.5" hidden="1" customHeight="1">
      <c r="A1202" s="110"/>
      <c r="B1202" s="147" t="s">
        <v>1260</v>
      </c>
      <c r="C1202" s="183">
        <v>1</v>
      </c>
      <c r="D1202" s="205" t="s">
        <v>268</v>
      </c>
      <c r="E1202" s="156">
        <v>1</v>
      </c>
      <c r="F1202" s="157">
        <v>22.7</v>
      </c>
      <c r="G1202" s="157">
        <v>0</v>
      </c>
      <c r="H1202" s="157">
        <v>0.8</v>
      </c>
      <c r="I1202" s="207">
        <f>ROUND(IF(AND(F1202:H1202),C1202*E1202*F1202*G1202*H1202,IF(AND(F1202,G1202),C1202*E1202*F1202*G1202,IF(AND(F1202,H1202),C1202*E1202*F1202*H1202,IF(AND(G1202,H1202),C1202*E1202*G1202*H1202,IF(F1202,C1202*E1202*F1202,IF(G1202,C1202*E1202*G1202,IF(H1202,C1202*E1202*H1202,C1202*E1202))))))),2)</f>
        <v>18.16</v>
      </c>
      <c r="J1202" s="195" t="s">
        <v>102</v>
      </c>
      <c r="K1202" s="147"/>
      <c r="L1202" s="110"/>
      <c r="M1202" s="147"/>
    </row>
    <row r="1203" spans="1:13" s="148" customFormat="1" ht="16.5" hidden="1" customHeight="1">
      <c r="A1203" s="110"/>
      <c r="B1203" s="149"/>
      <c r="C1203" s="150"/>
      <c r="D1203" s="151"/>
      <c r="E1203" s="194"/>
      <c r="F1203" s="153"/>
      <c r="G1203" s="153"/>
      <c r="H1203" s="153"/>
      <c r="I1203" s="185"/>
      <c r="J1203" s="195"/>
      <c r="K1203" s="147"/>
      <c r="L1203" s="210"/>
      <c r="M1203" s="147"/>
    </row>
    <row r="1204" spans="1:13" hidden="1">
      <c r="A1204" s="110"/>
      <c r="B1204" s="147"/>
      <c r="C1204" s="154"/>
      <c r="D1204" s="155"/>
      <c r="E1204" s="156"/>
      <c r="F1204" s="157"/>
      <c r="G1204" s="158"/>
      <c r="H1204" s="110"/>
      <c r="I1204" s="185"/>
      <c r="J1204" s="195" t="s">
        <v>102</v>
      </c>
      <c r="K1204" s="12">
        <f>'DATA 2025-26'!G838</f>
        <v>194.84</v>
      </c>
      <c r="L1204" s="210" t="s">
        <v>270</v>
      </c>
      <c r="M1204" s="11">
        <f>ROUND(I1204*K1204,0)</f>
        <v>0</v>
      </c>
    </row>
    <row r="1205" spans="1:13" ht="94.5" hidden="1" customHeight="1">
      <c r="A1205" s="110">
        <v>8</v>
      </c>
      <c r="B1205" s="964" t="s">
        <v>947</v>
      </c>
      <c r="C1205" s="964"/>
      <c r="D1205" s="964"/>
      <c r="E1205" s="964"/>
      <c r="F1205" s="964"/>
      <c r="G1205" s="964"/>
      <c r="H1205" s="964"/>
      <c r="I1205" s="183"/>
      <c r="J1205" s="186"/>
      <c r="K1205" s="110"/>
      <c r="L1205" s="210"/>
      <c r="M1205" s="139"/>
    </row>
    <row r="1206" spans="1:13" s="148" customFormat="1" ht="16.5" hidden="1" customHeight="1">
      <c r="A1206" s="110"/>
      <c r="B1206" s="147" t="s">
        <v>1397</v>
      </c>
      <c r="C1206" s="141"/>
      <c r="D1206" s="142"/>
      <c r="E1206" s="143"/>
      <c r="F1206" s="144"/>
      <c r="G1206" s="144"/>
      <c r="H1206" s="145"/>
      <c r="I1206" s="184"/>
      <c r="J1206" s="195"/>
      <c r="K1206" s="147"/>
      <c r="L1206" s="110"/>
      <c r="M1206" s="147"/>
    </row>
    <row r="1207" spans="1:13" s="148" customFormat="1" ht="16.5" hidden="1" customHeight="1">
      <c r="A1207" s="110"/>
      <c r="B1207" s="147" t="s">
        <v>1367</v>
      </c>
      <c r="C1207" s="183">
        <v>1</v>
      </c>
      <c r="D1207" s="205" t="s">
        <v>268</v>
      </c>
      <c r="E1207" s="156">
        <v>1</v>
      </c>
      <c r="F1207" s="157">
        <v>3.3</v>
      </c>
      <c r="G1207" s="157">
        <v>0</v>
      </c>
      <c r="H1207" s="157">
        <v>3.15</v>
      </c>
      <c r="I1207" s="207">
        <f t="shared" ref="I1207:I1213" si="94">ROUND(IF(AND(F1207:H1207),C1207*E1207*F1207*G1207*H1207,IF(AND(F1207,G1207),C1207*E1207*F1207*G1207,IF(AND(F1207,H1207),C1207*E1207*F1207*H1207,IF(AND(G1207,H1207),C1207*E1207*G1207*H1207,IF(F1207,C1207*E1207*F1207,IF(G1207,C1207*E1207*G1207,IF(H1207,C1207*E1207*H1207,C1207*E1207))))))),2)</f>
        <v>10.4</v>
      </c>
      <c r="J1207" s="195" t="s">
        <v>102</v>
      </c>
      <c r="K1207" s="147"/>
      <c r="L1207" s="110"/>
      <c r="M1207" s="147"/>
    </row>
    <row r="1208" spans="1:13" s="148" customFormat="1" ht="16.5" hidden="1" customHeight="1">
      <c r="A1208" s="110"/>
      <c r="B1208" s="147"/>
      <c r="C1208" s="183">
        <v>1</v>
      </c>
      <c r="D1208" s="205" t="s">
        <v>268</v>
      </c>
      <c r="E1208" s="156">
        <v>1</v>
      </c>
      <c r="F1208" s="157">
        <v>3.3</v>
      </c>
      <c r="G1208" s="157">
        <v>0</v>
      </c>
      <c r="H1208" s="157">
        <v>3.15</v>
      </c>
      <c r="I1208" s="207">
        <f t="shared" si="94"/>
        <v>10.4</v>
      </c>
      <c r="J1208" s="195" t="s">
        <v>102</v>
      </c>
      <c r="K1208" s="147"/>
      <c r="L1208" s="110"/>
      <c r="M1208" s="147"/>
    </row>
    <row r="1209" spans="1:13" s="148" customFormat="1" ht="16.5" hidden="1" customHeight="1">
      <c r="A1209" s="110"/>
      <c r="B1209" s="147"/>
      <c r="C1209" s="183">
        <v>1</v>
      </c>
      <c r="D1209" s="205" t="s">
        <v>268</v>
      </c>
      <c r="E1209" s="156">
        <v>1</v>
      </c>
      <c r="F1209" s="157">
        <v>3.2</v>
      </c>
      <c r="G1209" s="157">
        <v>0</v>
      </c>
      <c r="H1209" s="157">
        <v>3.15</v>
      </c>
      <c r="I1209" s="207">
        <f t="shared" si="94"/>
        <v>10.08</v>
      </c>
      <c r="J1209" s="195" t="s">
        <v>102</v>
      </c>
      <c r="K1209" s="147"/>
      <c r="L1209" s="110"/>
      <c r="M1209" s="147"/>
    </row>
    <row r="1210" spans="1:13" s="148" customFormat="1" ht="16.5" hidden="1" customHeight="1">
      <c r="A1210" s="110"/>
      <c r="B1210" s="147"/>
      <c r="C1210" s="183">
        <v>1</v>
      </c>
      <c r="D1210" s="205" t="s">
        <v>268</v>
      </c>
      <c r="E1210" s="156">
        <v>1</v>
      </c>
      <c r="F1210" s="157">
        <v>3.2</v>
      </c>
      <c r="G1210" s="157">
        <v>0</v>
      </c>
      <c r="H1210" s="157">
        <v>3.15</v>
      </c>
      <c r="I1210" s="207">
        <f t="shared" si="94"/>
        <v>10.08</v>
      </c>
      <c r="J1210" s="195" t="s">
        <v>102</v>
      </c>
      <c r="K1210" s="147"/>
      <c r="L1210" s="110"/>
      <c r="M1210" s="147"/>
    </row>
    <row r="1211" spans="1:13" s="148" customFormat="1" ht="16.5" hidden="1" customHeight="1">
      <c r="A1211" s="110"/>
      <c r="B1211" s="147" t="s">
        <v>1368</v>
      </c>
      <c r="C1211" s="183">
        <v>1</v>
      </c>
      <c r="D1211" s="205" t="s">
        <v>268</v>
      </c>
      <c r="E1211" s="156">
        <v>1</v>
      </c>
      <c r="F1211" s="157">
        <v>3.3</v>
      </c>
      <c r="G1211" s="157">
        <v>0</v>
      </c>
      <c r="H1211" s="157">
        <v>2.7</v>
      </c>
      <c r="I1211" s="207">
        <f t="shared" si="94"/>
        <v>8.91</v>
      </c>
      <c r="J1211" s="195" t="s">
        <v>102</v>
      </c>
      <c r="K1211" s="147"/>
      <c r="L1211" s="110"/>
      <c r="M1211" s="147"/>
    </row>
    <row r="1212" spans="1:13" s="148" customFormat="1" ht="16.5" hidden="1" customHeight="1">
      <c r="A1212" s="110"/>
      <c r="B1212" s="147"/>
      <c r="C1212" s="183">
        <v>1</v>
      </c>
      <c r="D1212" s="205" t="s">
        <v>268</v>
      </c>
      <c r="E1212" s="156">
        <v>1</v>
      </c>
      <c r="F1212" s="157">
        <v>3.3</v>
      </c>
      <c r="G1212" s="157">
        <v>0</v>
      </c>
      <c r="H1212" s="157">
        <v>2.7</v>
      </c>
      <c r="I1212" s="207">
        <f t="shared" si="94"/>
        <v>8.91</v>
      </c>
      <c r="J1212" s="195" t="s">
        <v>102</v>
      </c>
      <c r="K1212" s="147"/>
      <c r="L1212" s="110"/>
      <c r="M1212" s="147"/>
    </row>
    <row r="1213" spans="1:13" s="148" customFormat="1" ht="16.5" hidden="1" customHeight="1">
      <c r="A1213" s="110"/>
      <c r="B1213" s="147"/>
      <c r="C1213" s="183">
        <v>1</v>
      </c>
      <c r="D1213" s="205" t="s">
        <v>268</v>
      </c>
      <c r="E1213" s="156">
        <v>1</v>
      </c>
      <c r="F1213" s="157">
        <v>3.2</v>
      </c>
      <c r="G1213" s="157">
        <v>0</v>
      </c>
      <c r="H1213" s="157">
        <v>2.7</v>
      </c>
      <c r="I1213" s="207">
        <f t="shared" si="94"/>
        <v>8.64</v>
      </c>
      <c r="J1213" s="195" t="s">
        <v>102</v>
      </c>
      <c r="K1213" s="147"/>
      <c r="L1213" s="110"/>
      <c r="M1213" s="147"/>
    </row>
    <row r="1214" spans="1:13" s="148" customFormat="1" ht="16.5" hidden="1" customHeight="1">
      <c r="A1214" s="110"/>
      <c r="B1214" s="147" t="s">
        <v>578</v>
      </c>
      <c r="C1214" s="183">
        <v>1</v>
      </c>
      <c r="D1214" s="205" t="s">
        <v>268</v>
      </c>
      <c r="E1214" s="156">
        <v>1</v>
      </c>
      <c r="F1214" s="157">
        <v>1.2</v>
      </c>
      <c r="G1214" s="157">
        <v>0</v>
      </c>
      <c r="H1214" s="157">
        <v>2.1</v>
      </c>
      <c r="I1214" s="207">
        <f>-ROUND(IF(AND(F1214:H1214),C1214*E1214*F1214*G1214*H1214,IF(AND(F1214,G1214),C1214*E1214*F1214*G1214,IF(AND(F1214,H1214),C1214*E1214*F1214*H1214,IF(AND(G1214,H1214),C1214*E1214*G1214*H1214,IF(F1214,C1214*E1214*F1214,IF(G1214,C1214*E1214*G1214,IF(H1214,C1214*E1214*H1214,C1214*E1214))))))),2)</f>
        <v>-2.52</v>
      </c>
      <c r="J1214" s="195" t="s">
        <v>102</v>
      </c>
      <c r="K1214" s="147"/>
      <c r="L1214" s="110"/>
      <c r="M1214" s="147"/>
    </row>
    <row r="1215" spans="1:13" s="148" customFormat="1" ht="16.5" hidden="1" customHeight="1">
      <c r="A1215" s="110"/>
      <c r="B1215" s="147" t="s">
        <v>1369</v>
      </c>
      <c r="C1215" s="183">
        <v>1</v>
      </c>
      <c r="D1215" s="205" t="s">
        <v>268</v>
      </c>
      <c r="E1215" s="156">
        <v>1</v>
      </c>
      <c r="F1215" s="157">
        <v>42</v>
      </c>
      <c r="G1215" s="157">
        <v>0</v>
      </c>
      <c r="H1215" s="157">
        <v>0.8</v>
      </c>
      <c r="I1215" s="207">
        <f>ROUND(IF(AND(F1215:H1215),C1215*E1215*F1215*G1215*H1215,IF(AND(F1215,G1215),C1215*E1215*F1215*G1215,IF(AND(F1215,H1215),C1215*E1215*F1215*H1215,IF(AND(G1215,H1215),C1215*E1215*G1215*H1215,IF(F1215,C1215*E1215*F1215,IF(G1215,C1215*E1215*G1215,IF(H1215,C1215*E1215*H1215,C1215*E1215))))))),2)</f>
        <v>33.6</v>
      </c>
      <c r="J1215" s="195" t="s">
        <v>102</v>
      </c>
      <c r="K1215" s="147"/>
      <c r="L1215" s="110"/>
      <c r="M1215" s="147"/>
    </row>
    <row r="1216" spans="1:13" s="148" customFormat="1" ht="16.5" hidden="1" customHeight="1">
      <c r="A1216" s="110"/>
      <c r="B1216" s="149"/>
      <c r="C1216" s="150"/>
      <c r="D1216" s="151"/>
      <c r="E1216" s="152"/>
      <c r="F1216" s="153"/>
      <c r="G1216" s="153"/>
      <c r="H1216" s="153"/>
      <c r="I1216" s="185"/>
      <c r="J1216" s="195"/>
      <c r="K1216" s="147"/>
      <c r="L1216" s="210"/>
      <c r="M1216" s="147"/>
    </row>
    <row r="1217" spans="1:13" hidden="1">
      <c r="A1217" s="110"/>
      <c r="B1217" s="147"/>
      <c r="C1217" s="154"/>
      <c r="D1217" s="155"/>
      <c r="E1217" s="156"/>
      <c r="F1217" s="157"/>
      <c r="G1217" s="158"/>
      <c r="H1217" s="110"/>
      <c r="I1217" s="185"/>
      <c r="J1217" s="195" t="s">
        <v>102</v>
      </c>
      <c r="K1217" s="12">
        <f>'DATA 2025-26'!G874</f>
        <v>209.69</v>
      </c>
      <c r="L1217" s="210" t="s">
        <v>270</v>
      </c>
      <c r="M1217" s="11">
        <f>ROUND(I1217*K1217,0)</f>
        <v>0</v>
      </c>
    </row>
    <row r="1218" spans="1:13" ht="94.5" hidden="1" customHeight="1">
      <c r="A1218" s="110">
        <v>9</v>
      </c>
      <c r="B1218" s="964" t="s">
        <v>948</v>
      </c>
      <c r="C1218" s="964"/>
      <c r="D1218" s="964"/>
      <c r="E1218" s="964"/>
      <c r="F1218" s="964"/>
      <c r="G1218" s="964"/>
      <c r="H1218" s="964"/>
      <c r="I1218" s="183"/>
      <c r="J1218" s="186"/>
      <c r="K1218" s="110"/>
      <c r="L1218" s="210"/>
      <c r="M1218" s="139"/>
    </row>
    <row r="1219" spans="1:13" s="148" customFormat="1" ht="16.5" hidden="1" customHeight="1">
      <c r="A1219" s="110"/>
      <c r="B1219" s="147" t="s">
        <v>1398</v>
      </c>
      <c r="C1219" s="183"/>
      <c r="D1219" s="205"/>
      <c r="E1219" s="156"/>
      <c r="F1219" s="157"/>
      <c r="G1219" s="157"/>
      <c r="H1219" s="157"/>
      <c r="I1219" s="207"/>
      <c r="J1219" s="195"/>
      <c r="K1219" s="147"/>
      <c r="L1219" s="110"/>
      <c r="M1219" s="147"/>
    </row>
    <row r="1220" spans="1:13" s="148" customFormat="1" ht="16.5" hidden="1" customHeight="1">
      <c r="A1220" s="110"/>
      <c r="B1220" s="147" t="s">
        <v>1260</v>
      </c>
      <c r="C1220" s="183">
        <v>1</v>
      </c>
      <c r="D1220" s="205" t="s">
        <v>268</v>
      </c>
      <c r="E1220" s="156">
        <v>1</v>
      </c>
      <c r="F1220" s="157">
        <v>22.7</v>
      </c>
      <c r="G1220" s="157">
        <v>0</v>
      </c>
      <c r="H1220" s="157">
        <v>1.3</v>
      </c>
      <c r="I1220" s="207">
        <f t="shared" ref="I1220:I1226" si="95">ROUND(IF(AND(F1220:H1220),C1220*E1220*F1220*G1220*H1220,IF(AND(F1220,G1220),C1220*E1220*F1220*G1220,IF(AND(F1220,H1220),C1220*E1220*F1220*H1220,IF(AND(G1220,H1220),C1220*E1220*G1220*H1220,IF(F1220,C1220*E1220*F1220,IF(G1220,C1220*E1220*G1220,IF(H1220,C1220*E1220*H1220,C1220*E1220))))))),2)</f>
        <v>29.51</v>
      </c>
      <c r="J1220" s="195" t="s">
        <v>102</v>
      </c>
      <c r="K1220" s="147"/>
      <c r="L1220" s="110"/>
      <c r="M1220" s="147"/>
    </row>
    <row r="1221" spans="1:13" s="148" customFormat="1" ht="16.5" hidden="1" customHeight="1">
      <c r="A1221" s="110"/>
      <c r="B1221" s="147"/>
      <c r="C1221" s="183">
        <v>1</v>
      </c>
      <c r="D1221" s="205" t="s">
        <v>268</v>
      </c>
      <c r="E1221" s="156">
        <v>1</v>
      </c>
      <c r="F1221" s="157">
        <v>1.1000000000000001</v>
      </c>
      <c r="G1221" s="157">
        <v>0</v>
      </c>
      <c r="H1221" s="157">
        <v>7.95</v>
      </c>
      <c r="I1221" s="207">
        <f t="shared" si="95"/>
        <v>8.75</v>
      </c>
      <c r="J1221" s="195" t="s">
        <v>102</v>
      </c>
      <c r="K1221" s="147"/>
      <c r="L1221" s="110"/>
      <c r="M1221" s="147"/>
    </row>
    <row r="1222" spans="1:13" s="148" customFormat="1" ht="16.5" hidden="1" customHeight="1">
      <c r="A1222" s="110"/>
      <c r="B1222" s="147"/>
      <c r="C1222" s="183">
        <v>1</v>
      </c>
      <c r="D1222" s="205" t="s">
        <v>268</v>
      </c>
      <c r="E1222" s="156">
        <v>1</v>
      </c>
      <c r="F1222" s="157">
        <v>14.8</v>
      </c>
      <c r="G1222" s="157">
        <v>0</v>
      </c>
      <c r="H1222" s="157">
        <v>1.3</v>
      </c>
      <c r="I1222" s="207">
        <f t="shared" si="95"/>
        <v>19.239999999999998</v>
      </c>
      <c r="J1222" s="195" t="s">
        <v>102</v>
      </c>
      <c r="K1222" s="147"/>
      <c r="L1222" s="110"/>
      <c r="M1222" s="147"/>
    </row>
    <row r="1223" spans="1:13" s="148" customFormat="1" ht="16.5" hidden="1" customHeight="1">
      <c r="A1223" s="110"/>
      <c r="B1223" s="147"/>
      <c r="C1223" s="183">
        <v>1</v>
      </c>
      <c r="D1223" s="205" t="s">
        <v>268</v>
      </c>
      <c r="E1223" s="156">
        <v>1</v>
      </c>
      <c r="F1223" s="157">
        <v>10.3</v>
      </c>
      <c r="G1223" s="157">
        <v>0</v>
      </c>
      <c r="H1223" s="157">
        <v>1.3</v>
      </c>
      <c r="I1223" s="207">
        <f t="shared" si="95"/>
        <v>13.39</v>
      </c>
      <c r="J1223" s="195" t="s">
        <v>102</v>
      </c>
      <c r="K1223" s="147"/>
      <c r="L1223" s="110"/>
      <c r="M1223" s="147"/>
    </row>
    <row r="1224" spans="1:13" s="148" customFormat="1" ht="16.5" hidden="1" customHeight="1">
      <c r="A1224" s="110"/>
      <c r="B1224" s="147"/>
      <c r="C1224" s="183">
        <v>1</v>
      </c>
      <c r="D1224" s="205" t="s">
        <v>268</v>
      </c>
      <c r="E1224" s="156">
        <v>1</v>
      </c>
      <c r="F1224" s="157">
        <v>3.25</v>
      </c>
      <c r="G1224" s="157">
        <v>0</v>
      </c>
      <c r="H1224" s="157">
        <v>7.65</v>
      </c>
      <c r="I1224" s="207">
        <f t="shared" si="95"/>
        <v>24.86</v>
      </c>
      <c r="J1224" s="195" t="s">
        <v>102</v>
      </c>
      <c r="K1224" s="147"/>
      <c r="L1224" s="110"/>
      <c r="M1224" s="147"/>
    </row>
    <row r="1225" spans="1:13" s="148" customFormat="1" ht="16.5" hidden="1" customHeight="1">
      <c r="A1225" s="110"/>
      <c r="B1225" s="147" t="s">
        <v>1372</v>
      </c>
      <c r="C1225" s="183">
        <v>1</v>
      </c>
      <c r="D1225" s="205" t="s">
        <v>268</v>
      </c>
      <c r="E1225" s="156">
        <v>1</v>
      </c>
      <c r="F1225" s="157">
        <v>1</v>
      </c>
      <c r="G1225" s="157">
        <v>0</v>
      </c>
      <c r="H1225" s="157">
        <v>9.5</v>
      </c>
      <c r="I1225" s="207">
        <f t="shared" si="95"/>
        <v>9.5</v>
      </c>
      <c r="J1225" s="195" t="s">
        <v>102</v>
      </c>
      <c r="K1225" s="147"/>
      <c r="L1225" s="110"/>
      <c r="M1225" s="147"/>
    </row>
    <row r="1226" spans="1:13" s="148" customFormat="1" ht="16.5" hidden="1" customHeight="1">
      <c r="A1226" s="110"/>
      <c r="B1226" s="147"/>
      <c r="C1226" s="183">
        <v>1</v>
      </c>
      <c r="D1226" s="205" t="s">
        <v>268</v>
      </c>
      <c r="E1226" s="156">
        <v>1</v>
      </c>
      <c r="F1226" s="157">
        <v>3.3</v>
      </c>
      <c r="G1226" s="157">
        <v>0</v>
      </c>
      <c r="H1226" s="157">
        <v>9.5</v>
      </c>
      <c r="I1226" s="207">
        <f t="shared" si="95"/>
        <v>31.35</v>
      </c>
      <c r="J1226" s="195" t="s">
        <v>102</v>
      </c>
      <c r="K1226" s="147"/>
      <c r="L1226" s="110"/>
      <c r="M1226" s="147"/>
    </row>
    <row r="1227" spans="1:13" s="148" customFormat="1" ht="16.5" hidden="1" customHeight="1">
      <c r="A1227" s="110"/>
      <c r="B1227" s="149"/>
      <c r="C1227" s="150"/>
      <c r="D1227" s="151"/>
      <c r="E1227" s="152"/>
      <c r="F1227" s="153"/>
      <c r="G1227" s="153"/>
      <c r="H1227" s="153"/>
      <c r="I1227" s="185"/>
      <c r="J1227" s="195"/>
      <c r="K1227" s="147"/>
      <c r="L1227" s="210"/>
      <c r="M1227" s="147"/>
    </row>
    <row r="1228" spans="1:13" hidden="1">
      <c r="A1228" s="110"/>
      <c r="B1228" s="147"/>
      <c r="C1228" s="154"/>
      <c r="D1228" s="155"/>
      <c r="E1228" s="156"/>
      <c r="F1228" s="157"/>
      <c r="G1228" s="158"/>
      <c r="H1228" s="110"/>
      <c r="I1228" s="185"/>
      <c r="J1228" s="195" t="s">
        <v>102</v>
      </c>
      <c r="K1228" s="12">
        <f>'DATA 2025-26'!G889</f>
        <v>289.14999999999998</v>
      </c>
      <c r="L1228" s="210" t="s">
        <v>270</v>
      </c>
      <c r="M1228" s="11">
        <f>ROUND(I1228*K1228,0)</f>
        <v>0</v>
      </c>
    </row>
    <row r="1229" spans="1:13" ht="69.75" hidden="1" customHeight="1">
      <c r="A1229" s="110">
        <v>10</v>
      </c>
      <c r="B1229" s="964" t="s">
        <v>122</v>
      </c>
      <c r="C1229" s="964"/>
      <c r="D1229" s="964"/>
      <c r="E1229" s="964"/>
      <c r="F1229" s="964"/>
      <c r="G1229" s="964"/>
      <c r="H1229" s="964"/>
      <c r="I1229" s="183"/>
      <c r="J1229" s="186"/>
      <c r="K1229" s="110"/>
      <c r="L1229" s="210"/>
      <c r="M1229" s="139"/>
    </row>
    <row r="1230" spans="1:13" s="148" customFormat="1" ht="16.5" hidden="1" customHeight="1">
      <c r="A1230" s="110"/>
      <c r="B1230" s="147" t="s">
        <v>1384</v>
      </c>
      <c r="C1230" s="141" t="s">
        <v>1230</v>
      </c>
      <c r="D1230" s="142"/>
      <c r="E1230" s="143"/>
      <c r="F1230" s="144"/>
      <c r="G1230" s="144"/>
      <c r="H1230" s="145"/>
      <c r="I1230" s="184">
        <v>189.07</v>
      </c>
      <c r="J1230" s="195" t="s">
        <v>139</v>
      </c>
      <c r="K1230" s="147"/>
      <c r="L1230" s="110"/>
      <c r="M1230" s="147"/>
    </row>
    <row r="1231" spans="1:13" s="148" customFormat="1" ht="16.5" hidden="1" customHeight="1">
      <c r="A1231" s="110"/>
      <c r="B1231" s="147" t="s">
        <v>1393</v>
      </c>
      <c r="C1231" s="141" t="s">
        <v>1354</v>
      </c>
      <c r="D1231" s="142"/>
      <c r="E1231" s="143"/>
      <c r="F1231" s="144"/>
      <c r="G1231" s="144"/>
      <c r="H1231" s="145"/>
      <c r="I1231" s="184">
        <v>317.49</v>
      </c>
      <c r="J1231" s="195" t="s">
        <v>139</v>
      </c>
      <c r="K1231" s="147"/>
      <c r="L1231" s="110"/>
      <c r="M1231" s="147"/>
    </row>
    <row r="1232" spans="1:13" s="148" customFormat="1" ht="16.5" hidden="1" customHeight="1">
      <c r="A1232" s="110"/>
      <c r="B1232" s="147"/>
      <c r="C1232" s="141"/>
      <c r="D1232" s="142"/>
      <c r="E1232" s="143"/>
      <c r="F1232" s="144"/>
      <c r="G1232" s="144"/>
      <c r="H1232" s="145"/>
      <c r="I1232" s="184">
        <f>SUM(I1230:I1231)</f>
        <v>506.56</v>
      </c>
      <c r="J1232" s="195" t="s">
        <v>139</v>
      </c>
      <c r="K1232" s="147"/>
      <c r="L1232" s="210"/>
      <c r="M1232" s="147"/>
    </row>
    <row r="1233" spans="1:13" hidden="1">
      <c r="A1233" s="110"/>
      <c r="B1233" s="147"/>
      <c r="C1233" s="154"/>
      <c r="D1233" s="155"/>
      <c r="E1233" s="156"/>
      <c r="F1233" s="157"/>
      <c r="G1233" s="158"/>
      <c r="H1233" s="110" t="s">
        <v>854</v>
      </c>
      <c r="I1233" s="185"/>
      <c r="J1233" s="195" t="s">
        <v>29</v>
      </c>
      <c r="K1233" s="12">
        <f>'DATA 2025-26'!G310</f>
        <v>89914.91</v>
      </c>
      <c r="L1233" s="210" t="s">
        <v>278</v>
      </c>
      <c r="M1233" s="11">
        <f>ROUND(I1233*K1233,0)</f>
        <v>0</v>
      </c>
    </row>
    <row r="1234" spans="1:13" hidden="1">
      <c r="A1234" s="110"/>
      <c r="B1234" s="173" t="s">
        <v>1837</v>
      </c>
      <c r="C1234" s="147"/>
      <c r="D1234" s="147"/>
      <c r="E1234" s="274"/>
      <c r="F1234" s="110"/>
      <c r="G1234" s="147"/>
      <c r="H1234" s="110"/>
      <c r="I1234" s="185"/>
      <c r="J1234" s="339"/>
      <c r="K1234" s="12"/>
      <c r="L1234" s="210"/>
      <c r="M1234" s="11"/>
    </row>
    <row r="1235" spans="1:13" ht="56.25" hidden="1" customHeight="1">
      <c r="A1235" s="110">
        <v>9</v>
      </c>
      <c r="B1235" s="964" t="s">
        <v>2244</v>
      </c>
      <c r="C1235" s="964"/>
      <c r="D1235" s="964"/>
      <c r="E1235" s="964"/>
      <c r="F1235" s="964"/>
      <c r="G1235" s="964"/>
      <c r="H1235" s="964"/>
      <c r="I1235" s="183"/>
      <c r="J1235" s="186"/>
      <c r="K1235" s="110"/>
      <c r="L1235" s="110"/>
      <c r="M1235" s="139"/>
    </row>
    <row r="1236" spans="1:13" s="148" customFormat="1" ht="15" hidden="1">
      <c r="A1236" s="110"/>
      <c r="B1236" s="149" t="s">
        <v>2217</v>
      </c>
      <c r="C1236" s="150"/>
      <c r="D1236" s="151" t="s">
        <v>268</v>
      </c>
      <c r="E1236" s="152">
        <v>1</v>
      </c>
      <c r="F1236" s="153">
        <v>0</v>
      </c>
      <c r="G1236" s="153">
        <v>0</v>
      </c>
      <c r="H1236" s="153">
        <v>0</v>
      </c>
      <c r="I1236" s="185">
        <f>ROUND(IF(AND(F1236:H1236),C1236*E1236*F1236*G1236*H1236,IF(AND(F1236,G1236),C1236*E1236*F1236*G1236,IF(AND(F1236,H1236),C1236*E1236*F1236*H1236,IF(AND(G1236,H1236),C1236*E1236*G1236*H1236,IF(F1236,C1236*E1236*F1236,IF(G1236,C1236*E1236*G1236,IF(H1236,C1236*E1236*H1236,C1236*E1236))))))),2)</f>
        <v>0</v>
      </c>
      <c r="J1236" s="195" t="s">
        <v>114</v>
      </c>
      <c r="K1236" s="147"/>
      <c r="L1236" s="110"/>
      <c r="M1236" s="147"/>
    </row>
    <row r="1237" spans="1:13" s="148" customFormat="1" ht="15" hidden="1">
      <c r="A1237" s="110"/>
      <c r="B1237" s="149"/>
      <c r="C1237" s="150"/>
      <c r="D1237" s="151"/>
      <c r="E1237" s="152"/>
      <c r="F1237" s="153"/>
      <c r="G1237" s="153"/>
      <c r="H1237" s="153"/>
      <c r="I1237" s="185"/>
      <c r="J1237" s="195"/>
      <c r="K1237" s="147"/>
      <c r="L1237" s="110"/>
      <c r="M1237" s="147"/>
    </row>
    <row r="1238" spans="1:13" hidden="1">
      <c r="A1238" s="110"/>
      <c r="B1238" s="147"/>
      <c r="C1238" s="154"/>
      <c r="D1238" s="155"/>
      <c r="E1238" s="156"/>
      <c r="F1238" s="157"/>
      <c r="G1238" s="158"/>
      <c r="H1238" s="110"/>
      <c r="I1238" s="185">
        <f>SUM(I1236:I1237)</f>
        <v>0</v>
      </c>
      <c r="J1238" s="195" t="s">
        <v>114</v>
      </c>
      <c r="K1238" s="12">
        <f>'doors 2025-26'!H15</f>
        <v>4646.1099999999997</v>
      </c>
      <c r="L1238" s="12" t="s">
        <v>271</v>
      </c>
      <c r="M1238" s="11">
        <f>ROUND(I1238*K1238,0)</f>
        <v>0</v>
      </c>
    </row>
    <row r="1239" spans="1:13" ht="56.25" hidden="1" customHeight="1">
      <c r="A1239" s="110">
        <v>9</v>
      </c>
      <c r="B1239" s="964" t="s">
        <v>2238</v>
      </c>
      <c r="C1239" s="964"/>
      <c r="D1239" s="964"/>
      <c r="E1239" s="964"/>
      <c r="F1239" s="964"/>
      <c r="G1239" s="964"/>
      <c r="H1239" s="964"/>
      <c r="I1239" s="183"/>
      <c r="J1239" s="186"/>
      <c r="K1239" s="110"/>
      <c r="L1239" s="110"/>
      <c r="M1239" s="139"/>
    </row>
    <row r="1240" spans="1:13" s="148" customFormat="1" ht="15" hidden="1">
      <c r="A1240" s="110"/>
      <c r="B1240" s="149" t="s">
        <v>2218</v>
      </c>
      <c r="C1240" s="150">
        <v>1</v>
      </c>
      <c r="D1240" s="151" t="s">
        <v>268</v>
      </c>
      <c r="E1240" s="152">
        <v>1</v>
      </c>
      <c r="F1240" s="153">
        <v>0</v>
      </c>
      <c r="G1240" s="153">
        <v>0</v>
      </c>
      <c r="H1240" s="153">
        <v>0</v>
      </c>
      <c r="I1240" s="185">
        <f>ROUND(IF(AND(F1240:H1240),C1240*E1240*F1240*G1240*H1240,IF(AND(F1240,G1240),C1240*E1240*F1240*G1240,IF(AND(F1240,H1240),C1240*E1240*F1240*H1240,IF(AND(G1240,H1240),C1240*E1240*G1240*H1240,IF(F1240,C1240*E1240*F1240,IF(G1240,C1240*E1240*G1240,IF(H1240,C1240*E1240*H1240,C1240*E1240))))))),2)</f>
        <v>1</v>
      </c>
      <c r="J1240" s="195" t="s">
        <v>114</v>
      </c>
      <c r="K1240" s="147"/>
      <c r="L1240" s="110"/>
      <c r="M1240" s="147"/>
    </row>
    <row r="1241" spans="1:13" s="148" customFormat="1" ht="15" hidden="1">
      <c r="A1241" s="110"/>
      <c r="B1241" s="149"/>
      <c r="C1241" s="150"/>
      <c r="D1241" s="151"/>
      <c r="E1241" s="152"/>
      <c r="F1241" s="153"/>
      <c r="G1241" s="153"/>
      <c r="H1241" s="153"/>
      <c r="I1241" s="185"/>
      <c r="J1241" s="195"/>
      <c r="K1241" s="147"/>
      <c r="L1241" s="110"/>
      <c r="M1241" s="147"/>
    </row>
    <row r="1242" spans="1:13" hidden="1">
      <c r="A1242" s="110"/>
      <c r="B1242" s="147"/>
      <c r="C1242" s="154"/>
      <c r="D1242" s="155"/>
      <c r="E1242" s="156"/>
      <c r="F1242" s="157"/>
      <c r="G1242" s="158"/>
      <c r="H1242" s="110"/>
      <c r="I1242" s="185"/>
      <c r="J1242" s="195" t="s">
        <v>114</v>
      </c>
      <c r="K1242" s="12">
        <f>'doors 2025-26'!H28</f>
        <v>10190.51</v>
      </c>
      <c r="L1242" s="12" t="s">
        <v>271</v>
      </c>
      <c r="M1242" s="11">
        <f>ROUND(I1242*K1242,0)</f>
        <v>0</v>
      </c>
    </row>
    <row r="1243" spans="1:13" ht="77.25" hidden="1" customHeight="1">
      <c r="A1243" s="110">
        <v>10</v>
      </c>
      <c r="B1243" s="964" t="s">
        <v>2245</v>
      </c>
      <c r="C1243" s="964"/>
      <c r="D1243" s="964"/>
      <c r="E1243" s="964"/>
      <c r="F1243" s="964"/>
      <c r="G1243" s="964"/>
      <c r="H1243" s="964"/>
      <c r="I1243" s="183"/>
      <c r="J1243" s="186"/>
      <c r="K1243" s="110"/>
      <c r="L1243" s="110"/>
      <c r="M1243" s="139"/>
    </row>
    <row r="1244" spans="1:13" s="148" customFormat="1" ht="15" hidden="1">
      <c r="A1244" s="110"/>
      <c r="B1244" s="149" t="s">
        <v>2246</v>
      </c>
      <c r="C1244" s="150">
        <v>1</v>
      </c>
      <c r="D1244" s="151" t="s">
        <v>268</v>
      </c>
      <c r="E1244" s="152">
        <v>3</v>
      </c>
      <c r="F1244" s="153">
        <v>0</v>
      </c>
      <c r="G1244" s="153">
        <v>0</v>
      </c>
      <c r="H1244" s="153">
        <v>0</v>
      </c>
      <c r="I1244" s="185">
        <f>ROUND(IF(AND(F1244:H1244),C1244*E1244*F1244*G1244*H1244,IF(AND(F1244,G1244),C1244*E1244*F1244*G1244,IF(AND(F1244,H1244),C1244*E1244*F1244*H1244,IF(AND(G1244,H1244),C1244*E1244*G1244*H1244,IF(F1244,C1244*E1244*F1244,IF(G1244,C1244*E1244*G1244,IF(H1244,C1244*E1244*H1244,C1244*E1244))))))),2)</f>
        <v>3</v>
      </c>
      <c r="J1244" s="195" t="s">
        <v>114</v>
      </c>
      <c r="K1244" s="147"/>
      <c r="L1244" s="110"/>
      <c r="M1244" s="147"/>
    </row>
    <row r="1245" spans="1:13" s="148" customFormat="1" ht="15" hidden="1">
      <c r="A1245" s="110"/>
      <c r="B1245" s="149"/>
      <c r="C1245" s="150"/>
      <c r="D1245" s="151"/>
      <c r="E1245" s="152"/>
      <c r="F1245" s="153"/>
      <c r="G1245" s="153"/>
      <c r="H1245" s="153"/>
      <c r="I1245" s="185"/>
      <c r="J1245" s="195"/>
      <c r="K1245" s="147"/>
      <c r="L1245" s="110"/>
      <c r="M1245" s="147"/>
    </row>
    <row r="1246" spans="1:13" hidden="1">
      <c r="A1246" s="110"/>
      <c r="B1246" s="147"/>
      <c r="C1246" s="154"/>
      <c r="D1246" s="155"/>
      <c r="E1246" s="156"/>
      <c r="F1246" s="157"/>
      <c r="G1246" s="158"/>
      <c r="H1246" s="110"/>
      <c r="I1246" s="185"/>
      <c r="J1246" s="195" t="s">
        <v>114</v>
      </c>
      <c r="K1246" s="12">
        <f>'doors 2025-26'!H38</f>
        <v>3619.7166666666667</v>
      </c>
      <c r="L1246" s="12" t="s">
        <v>271</v>
      </c>
      <c r="M1246" s="11">
        <f>ROUND(I1246*K1246,0)</f>
        <v>0</v>
      </c>
    </row>
    <row r="1247" spans="1:13" ht="77.25" hidden="1" customHeight="1">
      <c r="A1247" s="110">
        <v>11</v>
      </c>
      <c r="B1247" s="964" t="s">
        <v>2247</v>
      </c>
      <c r="C1247" s="964"/>
      <c r="D1247" s="964"/>
      <c r="E1247" s="964"/>
      <c r="F1247" s="964"/>
      <c r="G1247" s="964"/>
      <c r="H1247" s="964"/>
      <c r="I1247" s="183"/>
      <c r="J1247" s="186"/>
      <c r="K1247" s="110"/>
      <c r="L1247" s="110"/>
      <c r="M1247" s="139"/>
    </row>
    <row r="1248" spans="1:13" s="148" customFormat="1" ht="15" hidden="1">
      <c r="A1248" s="110"/>
      <c r="B1248" s="149" t="s">
        <v>2218</v>
      </c>
      <c r="C1248" s="150">
        <v>1</v>
      </c>
      <c r="D1248" s="151" t="s">
        <v>268</v>
      </c>
      <c r="E1248" s="152">
        <v>3</v>
      </c>
      <c r="F1248" s="153">
        <v>0</v>
      </c>
      <c r="G1248" s="153">
        <v>0</v>
      </c>
      <c r="H1248" s="153">
        <v>0</v>
      </c>
      <c r="I1248" s="185">
        <f>ROUND(IF(AND(F1248:H1248),C1248*E1248*F1248*G1248*H1248,IF(AND(F1248,G1248),C1248*E1248*F1248*G1248,IF(AND(F1248,H1248),C1248*E1248*F1248*H1248,IF(AND(G1248,H1248),C1248*E1248*G1248*H1248,IF(F1248,C1248*E1248*F1248,IF(G1248,C1248*E1248*G1248,IF(H1248,C1248*E1248*H1248,C1248*E1248))))))),2)</f>
        <v>3</v>
      </c>
      <c r="J1248" s="195" t="s">
        <v>114</v>
      </c>
      <c r="K1248" s="147"/>
      <c r="L1248" s="110"/>
      <c r="M1248" s="147"/>
    </row>
    <row r="1249" spans="1:16" s="148" customFormat="1" ht="15" hidden="1">
      <c r="A1249" s="110"/>
      <c r="B1249" s="149"/>
      <c r="C1249" s="150"/>
      <c r="D1249" s="151"/>
      <c r="E1249" s="152"/>
      <c r="F1249" s="153"/>
      <c r="G1249" s="153"/>
      <c r="H1249" s="153"/>
      <c r="I1249" s="185"/>
      <c r="J1249" s="195"/>
      <c r="K1249" s="147"/>
      <c r="L1249" s="110"/>
      <c r="M1249" s="147"/>
    </row>
    <row r="1250" spans="1:16" hidden="1">
      <c r="A1250" s="110"/>
      <c r="B1250" s="147"/>
      <c r="C1250" s="154"/>
      <c r="D1250" s="155"/>
      <c r="E1250" s="156"/>
      <c r="F1250" s="157"/>
      <c r="G1250" s="158"/>
      <c r="H1250" s="110"/>
      <c r="I1250" s="185"/>
      <c r="J1250" s="195" t="s">
        <v>114</v>
      </c>
      <c r="K1250" s="12">
        <f>'doors 2025-26'!H51</f>
        <v>8837.5333333333328</v>
      </c>
      <c r="L1250" s="12" t="s">
        <v>271</v>
      </c>
      <c r="M1250" s="11">
        <f>ROUND(I1250*K1250,0)</f>
        <v>0</v>
      </c>
    </row>
    <row r="1251" spans="1:16" ht="53.25" hidden="1" customHeight="1">
      <c r="A1251" s="110">
        <v>11</v>
      </c>
      <c r="B1251" s="964" t="s">
        <v>2219</v>
      </c>
      <c r="C1251" s="964"/>
      <c r="D1251" s="964"/>
      <c r="E1251" s="964"/>
      <c r="F1251" s="964"/>
      <c r="G1251" s="964"/>
      <c r="H1251" s="964"/>
      <c r="I1251" s="183"/>
      <c r="J1251" s="186"/>
      <c r="K1251" s="110"/>
      <c r="L1251" s="110"/>
      <c r="M1251" s="139"/>
    </row>
    <row r="1252" spans="1:16" s="148" customFormat="1" ht="15" hidden="1">
      <c r="A1252" s="110"/>
      <c r="B1252" s="149" t="s">
        <v>2217</v>
      </c>
      <c r="C1252" s="150"/>
      <c r="D1252" s="151" t="s">
        <v>268</v>
      </c>
      <c r="E1252" s="152">
        <v>5</v>
      </c>
      <c r="F1252" s="153">
        <v>0</v>
      </c>
      <c r="G1252" s="153">
        <v>0</v>
      </c>
      <c r="H1252" s="153">
        <v>0</v>
      </c>
      <c r="I1252" s="185">
        <f>ROUND(IF(AND(F1252:H1252),C1252*E1252*F1252*G1252*H1252,IF(AND(F1252,G1252),C1252*E1252*F1252*G1252,IF(AND(F1252,H1252),C1252*E1252*F1252*H1252,IF(AND(G1252,H1252),C1252*E1252*G1252*H1252,IF(F1252,C1252*E1252*F1252,IF(G1252,C1252*E1252*G1252,IF(H1252,C1252*E1252*H1252,C1252*E1252))))))),2)</f>
        <v>0</v>
      </c>
      <c r="J1252" s="195" t="s">
        <v>114</v>
      </c>
      <c r="K1252" s="147"/>
      <c r="L1252" s="110"/>
      <c r="M1252" s="147"/>
    </row>
    <row r="1253" spans="1:16" s="148" customFormat="1" ht="15" hidden="1">
      <c r="A1253" s="110"/>
      <c r="B1253" s="149"/>
      <c r="C1253" s="150"/>
      <c r="D1253" s="151"/>
      <c r="E1253" s="152"/>
      <c r="F1253" s="153"/>
      <c r="G1253" s="153"/>
      <c r="H1253" s="153"/>
      <c r="I1253" s="185"/>
      <c r="J1253" s="195"/>
      <c r="K1253" s="147"/>
      <c r="L1253" s="110"/>
      <c r="M1253" s="147"/>
    </row>
    <row r="1254" spans="1:16" hidden="1">
      <c r="A1254" s="110"/>
      <c r="B1254" s="147"/>
      <c r="C1254" s="154"/>
      <c r="D1254" s="155"/>
      <c r="E1254" s="156"/>
      <c r="F1254" s="157"/>
      <c r="G1254" s="158"/>
      <c r="H1254" s="110"/>
      <c r="I1254" s="185">
        <f>SUM(I1252:I1253)</f>
        <v>0</v>
      </c>
      <c r="J1254" s="195" t="s">
        <v>114</v>
      </c>
      <c r="K1254" s="12">
        <f>'doors 2025-26'!H63</f>
        <v>4844.626666666667</v>
      </c>
      <c r="L1254" s="12" t="s">
        <v>271</v>
      </c>
      <c r="M1254" s="11">
        <f>ROUND(I1254*K1254,0)</f>
        <v>0</v>
      </c>
    </row>
    <row r="1255" spans="1:16" ht="57" hidden="1" customHeight="1">
      <c r="A1255" s="110">
        <v>12</v>
      </c>
      <c r="B1255" s="964" t="s">
        <v>2215</v>
      </c>
      <c r="C1255" s="964"/>
      <c r="D1255" s="964"/>
      <c r="E1255" s="964"/>
      <c r="F1255" s="964"/>
      <c r="G1255" s="964"/>
      <c r="H1255" s="964"/>
      <c r="I1255" s="183"/>
      <c r="J1255" s="186"/>
      <c r="K1255" s="110"/>
      <c r="L1255" s="110"/>
      <c r="M1255" s="139"/>
    </row>
    <row r="1256" spans="1:16" s="148" customFormat="1" ht="15" hidden="1">
      <c r="A1256" s="110"/>
      <c r="B1256" s="149" t="s">
        <v>2218</v>
      </c>
      <c r="C1256" s="150">
        <v>1</v>
      </c>
      <c r="D1256" s="151" t="s">
        <v>268</v>
      </c>
      <c r="E1256" s="152">
        <v>5</v>
      </c>
      <c r="F1256" s="153">
        <v>0</v>
      </c>
      <c r="G1256" s="153">
        <v>0</v>
      </c>
      <c r="H1256" s="153">
        <v>0</v>
      </c>
      <c r="I1256" s="185">
        <f>ROUND(IF(AND(F1256:H1256),C1256*E1256*F1256*G1256*H1256,IF(AND(F1256,G1256),C1256*E1256*F1256*G1256,IF(AND(F1256,H1256),C1256*E1256*F1256*H1256,IF(AND(G1256,H1256),C1256*E1256*G1256*H1256,IF(F1256,C1256*E1256*F1256,IF(G1256,C1256*E1256*G1256,IF(H1256,C1256*E1256*H1256,C1256*E1256))))))),2)</f>
        <v>5</v>
      </c>
      <c r="J1256" s="195" t="s">
        <v>114</v>
      </c>
      <c r="K1256" s="147"/>
      <c r="L1256" s="110"/>
      <c r="M1256" s="147"/>
    </row>
    <row r="1257" spans="1:16" s="148" customFormat="1" ht="15" hidden="1">
      <c r="A1257" s="110"/>
      <c r="B1257" s="149"/>
      <c r="C1257" s="150"/>
      <c r="D1257" s="151"/>
      <c r="E1257" s="152"/>
      <c r="F1257" s="153"/>
      <c r="G1257" s="153"/>
      <c r="H1257" s="153"/>
      <c r="I1257" s="185"/>
      <c r="J1257" s="195"/>
      <c r="K1257" s="147"/>
      <c r="L1257" s="110"/>
      <c r="M1257" s="147"/>
    </row>
    <row r="1258" spans="1:16" hidden="1">
      <c r="A1258" s="110"/>
      <c r="B1258" s="147"/>
      <c r="C1258" s="154"/>
      <c r="D1258" s="155"/>
      <c r="E1258" s="156"/>
      <c r="F1258" s="157"/>
      <c r="G1258" s="158"/>
      <c r="H1258" s="110"/>
      <c r="I1258" s="185"/>
      <c r="J1258" s="195" t="s">
        <v>114</v>
      </c>
      <c r="K1258" s="12">
        <f>'doors 2025-26'!H76</f>
        <v>9074.1133333333328</v>
      </c>
      <c r="L1258" s="12" t="s">
        <v>271</v>
      </c>
      <c r="M1258" s="11">
        <f>ROUND(I1258*K1258,0)</f>
        <v>0</v>
      </c>
      <c r="P1258" s="20">
        <f>M1658</f>
        <v>1840</v>
      </c>
    </row>
    <row r="1259" spans="1:16" ht="50.25" hidden="1" customHeight="1">
      <c r="A1259" s="110">
        <v>14</v>
      </c>
      <c r="B1259" s="964" t="s">
        <v>2242</v>
      </c>
      <c r="C1259" s="964"/>
      <c r="D1259" s="964"/>
      <c r="E1259" s="964"/>
      <c r="F1259" s="964"/>
      <c r="G1259" s="964"/>
      <c r="H1259" s="964"/>
      <c r="I1259" s="183"/>
      <c r="J1259" s="186"/>
      <c r="K1259" s="110"/>
      <c r="L1259" s="110"/>
      <c r="M1259" s="139"/>
    </row>
    <row r="1260" spans="1:16" s="148" customFormat="1" ht="15" hidden="1">
      <c r="A1260" s="110"/>
      <c r="B1260" s="149" t="s">
        <v>2217</v>
      </c>
      <c r="C1260" s="150"/>
      <c r="D1260" s="151" t="s">
        <v>268</v>
      </c>
      <c r="E1260" s="152">
        <v>3</v>
      </c>
      <c r="F1260" s="153">
        <v>0</v>
      </c>
      <c r="G1260" s="153">
        <v>0</v>
      </c>
      <c r="H1260" s="153">
        <v>0</v>
      </c>
      <c r="I1260" s="185">
        <f>ROUND(IF(AND(F1260:H1260),C1260*E1260*F1260*G1260*H1260,IF(AND(F1260,G1260),C1260*E1260*F1260*G1260,IF(AND(F1260,H1260),C1260*E1260*F1260*H1260,IF(AND(G1260,H1260),C1260*E1260*G1260*H1260,IF(F1260,C1260*E1260*F1260,IF(G1260,C1260*E1260*G1260,IF(H1260,C1260*E1260*H1260,C1260*E1260))))))),2)</f>
        <v>0</v>
      </c>
      <c r="J1260" s="195" t="s">
        <v>114</v>
      </c>
      <c r="K1260" s="147"/>
      <c r="L1260" s="110"/>
      <c r="M1260" s="147"/>
    </row>
    <row r="1261" spans="1:16" s="148" customFormat="1" ht="15" hidden="1">
      <c r="A1261" s="110"/>
      <c r="B1261" s="149"/>
      <c r="C1261" s="150"/>
      <c r="D1261" s="151"/>
      <c r="E1261" s="152"/>
      <c r="F1261" s="153"/>
      <c r="G1261" s="153"/>
      <c r="H1261" s="153"/>
      <c r="I1261" s="185"/>
      <c r="J1261" s="195"/>
      <c r="K1261" s="147"/>
      <c r="L1261" s="110"/>
      <c r="M1261" s="147"/>
    </row>
    <row r="1262" spans="1:16" hidden="1">
      <c r="A1262" s="110"/>
      <c r="B1262" s="147"/>
      <c r="C1262" s="154"/>
      <c r="D1262" s="155"/>
      <c r="E1262" s="156"/>
      <c r="F1262" s="157"/>
      <c r="G1262" s="158"/>
      <c r="H1262" s="110"/>
      <c r="I1262" s="185">
        <f>SUM(I1260:I1261)</f>
        <v>0</v>
      </c>
      <c r="J1262" s="195" t="s">
        <v>114</v>
      </c>
      <c r="K1262" s="12">
        <f>'doors 2025-26'!H86</f>
        <v>3780.1966666666667</v>
      </c>
      <c r="L1262" s="12" t="s">
        <v>271</v>
      </c>
      <c r="M1262" s="11">
        <f>ROUND(I1262*K1262,0)</f>
        <v>0</v>
      </c>
    </row>
    <row r="1263" spans="1:16" ht="61.5" hidden="1" customHeight="1">
      <c r="A1263" s="110">
        <v>13</v>
      </c>
      <c r="B1263" s="964" t="s">
        <v>2243</v>
      </c>
      <c r="C1263" s="964"/>
      <c r="D1263" s="964"/>
      <c r="E1263" s="964"/>
      <c r="F1263" s="964"/>
      <c r="G1263" s="964"/>
      <c r="H1263" s="964"/>
      <c r="I1263" s="183"/>
      <c r="J1263" s="186"/>
      <c r="K1263" s="110"/>
      <c r="L1263" s="110"/>
      <c r="M1263" s="139"/>
    </row>
    <row r="1264" spans="1:16" s="148" customFormat="1" ht="15" hidden="1">
      <c r="A1264" s="110"/>
      <c r="B1264" s="149" t="s">
        <v>2218</v>
      </c>
      <c r="C1264" s="150">
        <v>1</v>
      </c>
      <c r="D1264" s="151" t="s">
        <v>268</v>
      </c>
      <c r="E1264" s="152">
        <v>3</v>
      </c>
      <c r="F1264" s="153">
        <v>0</v>
      </c>
      <c r="G1264" s="153">
        <v>0</v>
      </c>
      <c r="H1264" s="153">
        <v>0</v>
      </c>
      <c r="I1264" s="185">
        <f>ROUND(IF(AND(F1264:H1264),C1264*E1264*F1264*G1264*H1264,IF(AND(F1264,G1264),C1264*E1264*F1264*G1264,IF(AND(F1264,H1264),C1264*E1264*F1264*H1264,IF(AND(G1264,H1264),C1264*E1264*G1264*H1264,IF(F1264,C1264*E1264*F1264,IF(G1264,C1264*E1264*G1264,IF(H1264,C1264*E1264*H1264,C1264*E1264))))))),2)</f>
        <v>3</v>
      </c>
      <c r="J1264" s="195" t="s">
        <v>114</v>
      </c>
      <c r="K1264" s="147"/>
      <c r="L1264" s="110"/>
      <c r="M1264" s="147"/>
    </row>
    <row r="1265" spans="1:13" s="148" customFormat="1" ht="15" hidden="1">
      <c r="A1265" s="110"/>
      <c r="B1265" s="149"/>
      <c r="C1265" s="150"/>
      <c r="D1265" s="151"/>
      <c r="E1265" s="152"/>
      <c r="F1265" s="153"/>
      <c r="G1265" s="153"/>
      <c r="H1265" s="153"/>
      <c r="I1265" s="185"/>
      <c r="J1265" s="195"/>
      <c r="K1265" s="147"/>
      <c r="L1265" s="110"/>
      <c r="M1265" s="147"/>
    </row>
    <row r="1266" spans="1:13" hidden="1">
      <c r="A1266" s="110"/>
      <c r="B1266" s="147"/>
      <c r="C1266" s="154"/>
      <c r="D1266" s="155"/>
      <c r="E1266" s="156"/>
      <c r="F1266" s="157"/>
      <c r="G1266" s="158"/>
      <c r="H1266" s="110"/>
      <c r="I1266" s="185"/>
      <c r="J1266" s="195" t="s">
        <v>114</v>
      </c>
      <c r="K1266" s="12">
        <f>'doors 2025-26'!H99</f>
        <v>6532.34</v>
      </c>
      <c r="L1266" s="12" t="s">
        <v>271</v>
      </c>
      <c r="M1266" s="11">
        <f>ROUND(I1266*K1266,0)</f>
        <v>0</v>
      </c>
    </row>
    <row r="1267" spans="1:13" ht="72" hidden="1" customHeight="1">
      <c r="A1267" s="110">
        <v>2</v>
      </c>
      <c r="B1267" s="964" t="s">
        <v>1024</v>
      </c>
      <c r="C1267" s="964"/>
      <c r="D1267" s="964"/>
      <c r="E1267" s="964"/>
      <c r="F1267" s="964"/>
      <c r="G1267" s="964"/>
      <c r="H1267" s="964"/>
      <c r="I1267" s="183"/>
      <c r="J1267" s="186"/>
      <c r="K1267" s="110"/>
      <c r="L1267" s="110"/>
      <c r="M1267" s="139"/>
    </row>
    <row r="1268" spans="1:13" s="148" customFormat="1" ht="15" hidden="1">
      <c r="A1268" s="110"/>
      <c r="B1268" s="147" t="s">
        <v>1337</v>
      </c>
      <c r="C1268" s="141"/>
      <c r="D1268" s="142"/>
      <c r="E1268" s="143"/>
      <c r="F1268" s="144"/>
      <c r="G1268" s="144"/>
      <c r="H1268" s="145"/>
      <c r="I1268" s="184"/>
      <c r="J1268" s="195"/>
      <c r="K1268" s="147"/>
      <c r="L1268" s="110"/>
      <c r="M1268" s="147"/>
    </row>
    <row r="1269" spans="1:13" s="148" customFormat="1" ht="15" hidden="1">
      <c r="A1269" s="110"/>
      <c r="B1269" s="149"/>
      <c r="C1269" s="150">
        <v>1</v>
      </c>
      <c r="D1269" s="151" t="s">
        <v>268</v>
      </c>
      <c r="E1269" s="152">
        <v>2</v>
      </c>
      <c r="F1269" s="153">
        <v>0</v>
      </c>
      <c r="G1269" s="153">
        <v>0</v>
      </c>
      <c r="H1269" s="153">
        <v>0</v>
      </c>
      <c r="I1269" s="185">
        <f>ROUND(IF(AND(F1269:H1269),C1269*E1269*F1269*G1269*H1269,IF(AND(F1269,G1269),C1269*E1269*F1269*G1269,IF(AND(F1269,H1269),C1269*E1269*F1269*H1269,IF(AND(G1269,H1269),C1269*E1269*G1269*H1269,IF(F1269,C1269*E1269*F1269,IF(G1269,C1269*E1269*G1269,IF(H1269,C1269*E1269*H1269,C1269*E1269))))))),2)</f>
        <v>2</v>
      </c>
      <c r="J1269" s="195" t="s">
        <v>114</v>
      </c>
      <c r="K1269" s="147"/>
      <c r="L1269" s="110"/>
      <c r="M1269" s="147"/>
    </row>
    <row r="1270" spans="1:13" hidden="1">
      <c r="A1270" s="110"/>
      <c r="B1270" s="147"/>
      <c r="C1270" s="154"/>
      <c r="D1270" s="155"/>
      <c r="E1270" s="156"/>
      <c r="F1270" s="157"/>
      <c r="G1270" s="158"/>
      <c r="H1270" s="110"/>
      <c r="I1270" s="185"/>
      <c r="J1270" s="195" t="s">
        <v>114</v>
      </c>
      <c r="K1270" s="12">
        <f>'doors 2025-26'!H117</f>
        <v>17319.53</v>
      </c>
      <c r="L1270" s="12" t="s">
        <v>271</v>
      </c>
      <c r="M1270" s="11">
        <f>ROUND(I1270*K1270,0)</f>
        <v>0</v>
      </c>
    </row>
    <row r="1271" spans="1:13" ht="71.25" hidden="1" customHeight="1">
      <c r="A1271" s="110">
        <v>2</v>
      </c>
      <c r="B1271" s="964" t="s">
        <v>1343</v>
      </c>
      <c r="C1271" s="964"/>
      <c r="D1271" s="964"/>
      <c r="E1271" s="964"/>
      <c r="F1271" s="964"/>
      <c r="G1271" s="964"/>
      <c r="H1271" s="964"/>
      <c r="I1271" s="183"/>
      <c r="J1271" s="186"/>
      <c r="K1271" s="110"/>
      <c r="L1271" s="110"/>
      <c r="M1271" s="139"/>
    </row>
    <row r="1272" spans="1:13" s="148" customFormat="1" ht="15" hidden="1">
      <c r="A1272" s="110"/>
      <c r="B1272" s="147" t="s">
        <v>1342</v>
      </c>
      <c r="C1272" s="141"/>
      <c r="D1272" s="142"/>
      <c r="E1272" s="143"/>
      <c r="F1272" s="144"/>
      <c r="G1272" s="144"/>
      <c r="H1272" s="145"/>
      <c r="I1272" s="184"/>
      <c r="J1272" s="195"/>
      <c r="K1272" s="147"/>
      <c r="L1272" s="110"/>
      <c r="M1272" s="147"/>
    </row>
    <row r="1273" spans="1:13" s="148" customFormat="1" ht="15" hidden="1">
      <c r="A1273" s="110"/>
      <c r="B1273" s="149" t="s">
        <v>571</v>
      </c>
      <c r="C1273" s="150">
        <v>1</v>
      </c>
      <c r="D1273" s="151" t="s">
        <v>268</v>
      </c>
      <c r="E1273" s="152">
        <v>1</v>
      </c>
      <c r="F1273" s="153">
        <v>0</v>
      </c>
      <c r="G1273" s="153">
        <v>0</v>
      </c>
      <c r="H1273" s="153">
        <v>0</v>
      </c>
      <c r="I1273" s="185">
        <f>ROUND(IF(AND(F1273:H1273),C1273*E1273*F1273*G1273*H1273,IF(AND(F1273,G1273),C1273*E1273*F1273*G1273,IF(AND(F1273,H1273),C1273*E1273*F1273*H1273,IF(AND(G1273,H1273),C1273*E1273*G1273*H1273,IF(F1273,C1273*E1273*F1273,IF(G1273,C1273*E1273*G1273,IF(H1273,C1273*E1273*H1273,C1273*E1273))))))),2)</f>
        <v>1</v>
      </c>
      <c r="J1273" s="195" t="s">
        <v>114</v>
      </c>
      <c r="K1273" s="147"/>
      <c r="L1273" s="110"/>
      <c r="M1273" s="147"/>
    </row>
    <row r="1274" spans="1:13" s="148" customFormat="1" ht="15" hidden="1">
      <c r="A1274" s="110"/>
      <c r="B1274" s="149"/>
      <c r="C1274" s="150"/>
      <c r="D1274" s="151"/>
      <c r="E1274" s="152"/>
      <c r="F1274" s="153"/>
      <c r="G1274" s="153"/>
      <c r="H1274" s="153"/>
      <c r="I1274" s="185"/>
      <c r="J1274" s="195"/>
      <c r="K1274" s="147"/>
      <c r="L1274" s="110"/>
      <c r="M1274" s="147"/>
    </row>
    <row r="1275" spans="1:13" hidden="1">
      <c r="A1275" s="110"/>
      <c r="B1275" s="147"/>
      <c r="C1275" s="154"/>
      <c r="D1275" s="155"/>
      <c r="E1275" s="156"/>
      <c r="F1275" s="157"/>
      <c r="G1275" s="158"/>
      <c r="H1275" s="110"/>
      <c r="I1275" s="185"/>
      <c r="J1275" s="195" t="s">
        <v>114</v>
      </c>
      <c r="K1275" s="12">
        <f>'doors 2025-26'!H136</f>
        <v>17556.240000000002</v>
      </c>
      <c r="L1275" s="12" t="s">
        <v>271</v>
      </c>
      <c r="M1275" s="11">
        <f>ROUND(I1275*K1275,0)</f>
        <v>0</v>
      </c>
    </row>
    <row r="1276" spans="1:13" ht="71.25" hidden="1" customHeight="1">
      <c r="A1276" s="110">
        <v>9</v>
      </c>
      <c r="B1276" s="964" t="s">
        <v>2149</v>
      </c>
      <c r="C1276" s="964"/>
      <c r="D1276" s="964"/>
      <c r="E1276" s="964"/>
      <c r="F1276" s="964"/>
      <c r="G1276" s="964"/>
      <c r="H1276" s="964"/>
      <c r="I1276" s="183"/>
      <c r="J1276" s="186"/>
      <c r="K1276" s="110"/>
      <c r="L1276" s="110"/>
      <c r="M1276" s="139"/>
    </row>
    <row r="1277" spans="1:13" s="148" customFormat="1" ht="16.5" hidden="1" customHeight="1">
      <c r="A1277" s="110"/>
      <c r="B1277" s="149"/>
      <c r="C1277" s="150">
        <v>1</v>
      </c>
      <c r="D1277" s="151" t="s">
        <v>268</v>
      </c>
      <c r="E1277" s="152">
        <v>2</v>
      </c>
      <c r="F1277" s="153">
        <v>0</v>
      </c>
      <c r="G1277" s="153">
        <v>0</v>
      </c>
      <c r="H1277" s="153">
        <v>0</v>
      </c>
      <c r="I1277" s="185">
        <f>ROUND(IF(AND(F1277:H1277),C1277*E1277*F1277*G1277*H1277,IF(AND(F1277,G1277),C1277*E1277*F1277*G1277,IF(AND(F1277,H1277),C1277*E1277*F1277*H1277,IF(AND(G1277,H1277),C1277*E1277*G1277*H1277,IF(F1277,C1277*E1277*F1277,IF(G1277,C1277*E1277*G1277,IF(H1277,C1277*E1277*H1277,C1277*E1277))))))),2)</f>
        <v>2</v>
      </c>
      <c r="J1277" s="195" t="s">
        <v>114</v>
      </c>
      <c r="K1277" s="147"/>
      <c r="L1277" s="110"/>
      <c r="M1277" s="147"/>
    </row>
    <row r="1278" spans="1:13" s="148" customFormat="1" ht="16.5" hidden="1" customHeight="1">
      <c r="A1278" s="110"/>
      <c r="B1278" s="149"/>
      <c r="C1278" s="150"/>
      <c r="D1278" s="151"/>
      <c r="E1278" s="152"/>
      <c r="F1278" s="153"/>
      <c r="G1278" s="153"/>
      <c r="H1278" s="153"/>
      <c r="I1278" s="185"/>
      <c r="J1278" s="195"/>
      <c r="K1278" s="147"/>
      <c r="L1278" s="110"/>
      <c r="M1278" s="147"/>
    </row>
    <row r="1279" spans="1:13" hidden="1">
      <c r="A1279" s="110"/>
      <c r="B1279" s="147"/>
      <c r="C1279" s="154"/>
      <c r="D1279" s="155"/>
      <c r="E1279" s="156"/>
      <c r="F1279" s="157"/>
      <c r="G1279" s="158"/>
      <c r="H1279" s="110"/>
      <c r="I1279" s="185"/>
      <c r="J1279" s="195" t="s">
        <v>114</v>
      </c>
      <c r="K1279" s="12">
        <f>'doors 2025-26'!H155</f>
        <v>11838.21</v>
      </c>
      <c r="L1279" s="12" t="s">
        <v>271</v>
      </c>
      <c r="M1279" s="11">
        <f>ROUND(I1279*K1279,0)</f>
        <v>0</v>
      </c>
    </row>
    <row r="1280" spans="1:13" s="763" customFormat="1" ht="71.25" customHeight="1">
      <c r="A1280" s="757">
        <v>28</v>
      </c>
      <c r="B1280" s="965" t="s">
        <v>1343</v>
      </c>
      <c r="C1280" s="965"/>
      <c r="D1280" s="965"/>
      <c r="E1280" s="965"/>
      <c r="F1280" s="965"/>
      <c r="G1280" s="965"/>
      <c r="H1280" s="965"/>
      <c r="I1280" s="759"/>
      <c r="J1280" s="760"/>
      <c r="K1280" s="757"/>
      <c r="L1280" s="757"/>
      <c r="M1280" s="762"/>
    </row>
    <row r="1281" spans="1:18" s="771" customFormat="1" ht="15">
      <c r="A1281" s="757"/>
      <c r="B1281" s="773"/>
      <c r="C1281" s="774">
        <v>1</v>
      </c>
      <c r="D1281" s="775" t="s">
        <v>268</v>
      </c>
      <c r="E1281" s="776">
        <v>2</v>
      </c>
      <c r="F1281" s="777">
        <v>0</v>
      </c>
      <c r="G1281" s="777">
        <v>0</v>
      </c>
      <c r="H1281" s="777">
        <v>0</v>
      </c>
      <c r="I1281" s="769">
        <f>ROUND(IF(AND(F1281:H1281),C1281*E1281*F1281*G1281*H1281,IF(AND(F1281,G1281),C1281*E1281*F1281*G1281,IF(AND(F1281,H1281),C1281*E1281*F1281*H1281,IF(AND(G1281,H1281),C1281*E1281*G1281*H1281,IF(F1281,C1281*E1281*F1281,IF(G1281,C1281*E1281*G1281,IF(H1281,C1281*E1281*H1281,C1281*E1281))))))),2)</f>
        <v>2</v>
      </c>
      <c r="J1281" s="783" t="s">
        <v>114</v>
      </c>
      <c r="K1281" s="764"/>
      <c r="L1281" s="757"/>
      <c r="M1281" s="764"/>
    </row>
    <row r="1282" spans="1:18" s="771" customFormat="1" ht="15">
      <c r="A1282" s="757"/>
      <c r="B1282" s="773"/>
      <c r="C1282" s="774"/>
      <c r="D1282" s="775"/>
      <c r="E1282" s="776"/>
      <c r="F1282" s="777"/>
      <c r="G1282" s="777"/>
      <c r="H1282" s="777"/>
      <c r="I1282" s="769"/>
      <c r="J1282" s="783"/>
      <c r="K1282" s="764"/>
      <c r="L1282" s="757"/>
      <c r="M1282" s="764"/>
    </row>
    <row r="1283" spans="1:18" s="763" customFormat="1">
      <c r="A1283" s="757"/>
      <c r="B1283" s="764"/>
      <c r="C1283" s="779"/>
      <c r="D1283" s="780"/>
      <c r="E1283" s="767"/>
      <c r="F1283" s="781"/>
      <c r="G1283" s="782"/>
      <c r="H1283" s="757"/>
      <c r="I1283" s="769">
        <f>SUM(I1281:I1282)</f>
        <v>2</v>
      </c>
      <c r="J1283" s="783" t="s">
        <v>114</v>
      </c>
      <c r="K1283" s="768">
        <f>'doors 2025-26'!H176</f>
        <v>20725.63</v>
      </c>
      <c r="L1283" s="768" t="s">
        <v>271</v>
      </c>
      <c r="M1283" s="784">
        <f>ROUND(I1283*K1283,0)</f>
        <v>41451</v>
      </c>
    </row>
    <row r="1284" spans="1:18" s="763" customFormat="1" ht="78" customHeight="1">
      <c r="A1284" s="757">
        <v>29</v>
      </c>
      <c r="B1284" s="965" t="s">
        <v>2311</v>
      </c>
      <c r="C1284" s="965"/>
      <c r="D1284" s="965"/>
      <c r="E1284" s="965"/>
      <c r="F1284" s="965"/>
      <c r="G1284" s="965"/>
      <c r="H1284" s="965"/>
      <c r="I1284" s="759"/>
      <c r="J1284" s="760"/>
      <c r="K1284" s="757"/>
      <c r="L1284" s="757"/>
      <c r="M1284" s="762"/>
    </row>
    <row r="1285" spans="1:18" s="771" customFormat="1" ht="15">
      <c r="A1285" s="757"/>
      <c r="B1285" s="773"/>
      <c r="C1285" s="774">
        <v>1</v>
      </c>
      <c r="D1285" s="775" t="s">
        <v>268</v>
      </c>
      <c r="E1285" s="776">
        <v>1</v>
      </c>
      <c r="F1285" s="777">
        <v>0</v>
      </c>
      <c r="G1285" s="777">
        <v>0</v>
      </c>
      <c r="H1285" s="777">
        <v>0</v>
      </c>
      <c r="I1285" s="815">
        <f>ROUND(IF(AND(F1285:H1285),C1285*E1285*F1285*G1285*H1285,IF(AND(F1285,G1285),C1285*E1285*F1285*G1285,IF(AND(F1285,H1285),C1285*E1285*F1285*H1285,IF(AND(G1285,H1285),C1285*E1285*G1285*H1285,IF(F1285,C1285*E1285*F1285,IF(G1285,C1285*E1285*G1285,IF(H1285,C1285*E1285*H1285,C1285*E1285))))))),2)</f>
        <v>1</v>
      </c>
      <c r="J1285" s="783" t="s">
        <v>114</v>
      </c>
      <c r="K1285" s="764"/>
      <c r="L1285" s="757"/>
      <c r="M1285" s="764"/>
    </row>
    <row r="1286" spans="1:18" s="763" customFormat="1">
      <c r="A1286" s="757"/>
      <c r="B1286" s="764"/>
      <c r="C1286" s="779"/>
      <c r="D1286" s="780"/>
      <c r="E1286" s="767"/>
      <c r="F1286" s="781"/>
      <c r="G1286" s="782"/>
      <c r="H1286" s="757"/>
      <c r="I1286" s="815">
        <f>SUM(I1285)</f>
        <v>1</v>
      </c>
      <c r="J1286" s="783" t="s">
        <v>114</v>
      </c>
      <c r="K1286" s="768">
        <f>'doors 2025-26'!H197</f>
        <v>24508.86</v>
      </c>
      <c r="L1286" s="768" t="s">
        <v>271</v>
      </c>
      <c r="M1286" s="784">
        <f>ROUND(I1286*K1286,0)</f>
        <v>24509</v>
      </c>
    </row>
    <row r="1287" spans="1:18" ht="71.25" hidden="1" customHeight="1">
      <c r="A1287" s="110">
        <v>46</v>
      </c>
      <c r="B1287" s="964" t="s">
        <v>685</v>
      </c>
      <c r="C1287" s="964"/>
      <c r="D1287" s="964"/>
      <c r="E1287" s="964"/>
      <c r="F1287" s="964"/>
      <c r="G1287" s="964"/>
      <c r="H1287" s="964"/>
      <c r="I1287" s="183"/>
      <c r="J1287" s="186"/>
      <c r="K1287" s="110"/>
      <c r="L1287" s="110"/>
      <c r="M1287" s="139"/>
    </row>
    <row r="1288" spans="1:18" s="148" customFormat="1" ht="15" hidden="1">
      <c r="A1288" s="110"/>
      <c r="B1288" s="140" t="s">
        <v>1313</v>
      </c>
      <c r="C1288" s="141"/>
      <c r="D1288" s="142"/>
      <c r="E1288" s="143"/>
      <c r="F1288" s="144"/>
      <c r="G1288" s="144"/>
      <c r="H1288" s="145"/>
      <c r="I1288" s="184"/>
      <c r="J1288" s="195"/>
      <c r="K1288" s="147"/>
      <c r="L1288" s="110"/>
      <c r="M1288" s="147"/>
    </row>
    <row r="1289" spans="1:18" s="148" customFormat="1" ht="15" hidden="1">
      <c r="A1289" s="110"/>
      <c r="B1289" s="149" t="s">
        <v>571</v>
      </c>
      <c r="C1289" s="150">
        <v>1</v>
      </c>
      <c r="D1289" s="151" t="s">
        <v>268</v>
      </c>
      <c r="E1289" s="152">
        <v>2</v>
      </c>
      <c r="F1289" s="153">
        <v>0</v>
      </c>
      <c r="G1289" s="153">
        <v>0</v>
      </c>
      <c r="H1289" s="153">
        <v>0</v>
      </c>
      <c r="I1289" s="185">
        <f>ROUND(IF(AND(F1289:H1289),C1289*E1289*F1289*G1289*H1289,IF(AND(F1289,G1289),C1289*E1289*F1289*G1289,IF(AND(F1289,H1289),C1289*E1289*F1289*H1289,IF(AND(G1289,H1289),C1289*E1289*G1289*H1289,IF(F1289,C1289*E1289*F1289,IF(G1289,C1289*E1289*G1289,IF(H1289,C1289*E1289*H1289,C1289*E1289))))))),2)</f>
        <v>2</v>
      </c>
      <c r="J1289" s="195" t="s">
        <v>114</v>
      </c>
      <c r="K1289" s="147"/>
      <c r="L1289" s="110"/>
      <c r="M1289" s="147"/>
    </row>
    <row r="1290" spans="1:18" s="148" customFormat="1" ht="15" hidden="1">
      <c r="A1290" s="110"/>
      <c r="B1290" s="140" t="s">
        <v>1314</v>
      </c>
      <c r="C1290" s="141"/>
      <c r="D1290" s="142"/>
      <c r="E1290" s="143"/>
      <c r="F1290" s="144"/>
      <c r="G1290" s="144"/>
      <c r="H1290" s="145"/>
      <c r="I1290" s="184"/>
      <c r="J1290" s="195"/>
      <c r="K1290" s="147"/>
      <c r="L1290" s="110"/>
      <c r="M1290" s="147"/>
    </row>
    <row r="1291" spans="1:18" s="148" customFormat="1" ht="15" hidden="1">
      <c r="A1291" s="110"/>
      <c r="B1291" s="149" t="s">
        <v>572</v>
      </c>
      <c r="C1291" s="150">
        <v>1</v>
      </c>
      <c r="D1291" s="151" t="s">
        <v>268</v>
      </c>
      <c r="E1291" s="152">
        <v>3</v>
      </c>
      <c r="F1291" s="153">
        <v>0</v>
      </c>
      <c r="G1291" s="153">
        <v>0</v>
      </c>
      <c r="H1291" s="153">
        <v>0</v>
      </c>
      <c r="I1291" s="185">
        <f>ROUND(IF(AND(F1291:H1291),C1291*E1291*F1291*G1291*H1291,IF(AND(F1291,G1291),C1291*E1291*F1291*G1291,IF(AND(F1291,H1291),C1291*E1291*F1291*H1291,IF(AND(G1291,H1291),C1291*E1291*G1291*H1291,IF(F1291,C1291*E1291*F1291,IF(G1291,C1291*E1291*G1291,IF(H1291,C1291*E1291*H1291,C1291*E1291))))))),2)</f>
        <v>3</v>
      </c>
      <c r="J1291" s="195" t="s">
        <v>114</v>
      </c>
      <c r="K1291" s="147"/>
      <c r="L1291" s="110"/>
      <c r="M1291" s="147"/>
    </row>
    <row r="1292" spans="1:18" hidden="1">
      <c r="A1292" s="110"/>
      <c r="B1292" s="147"/>
      <c r="C1292" s="154"/>
      <c r="D1292" s="155"/>
      <c r="E1292" s="156"/>
      <c r="F1292" s="157"/>
      <c r="G1292" s="158"/>
      <c r="H1292" s="110"/>
      <c r="I1292" s="185"/>
      <c r="J1292" s="195" t="s">
        <v>114</v>
      </c>
      <c r="K1292" s="12">
        <f>'doors 2025-26'!H216</f>
        <v>13665.51</v>
      </c>
      <c r="L1292" s="12" t="s">
        <v>271</v>
      </c>
      <c r="M1292" s="11">
        <f>ROUND(I1292*K1292,0)</f>
        <v>0</v>
      </c>
    </row>
    <row r="1293" spans="1:18" ht="149.25" hidden="1" customHeight="1">
      <c r="A1293" s="110">
        <v>29</v>
      </c>
      <c r="B1293" s="964" t="s">
        <v>2192</v>
      </c>
      <c r="C1293" s="964"/>
      <c r="D1293" s="964"/>
      <c r="E1293" s="964"/>
      <c r="F1293" s="964"/>
      <c r="G1293" s="964"/>
      <c r="H1293" s="964"/>
      <c r="I1293" s="183"/>
      <c r="J1293" s="186"/>
      <c r="K1293" s="110"/>
      <c r="L1293" s="110"/>
      <c r="M1293" s="139"/>
    </row>
    <row r="1294" spans="1:18" s="148" customFormat="1" ht="16.5" hidden="1" customHeight="1">
      <c r="A1294" s="110"/>
      <c r="B1294" s="149"/>
      <c r="C1294" s="150">
        <v>1</v>
      </c>
      <c r="D1294" s="151" t="s">
        <v>268</v>
      </c>
      <c r="E1294" s="152">
        <v>2</v>
      </c>
      <c r="F1294" s="153">
        <v>1.2</v>
      </c>
      <c r="G1294" s="153">
        <v>0</v>
      </c>
      <c r="H1294" s="153">
        <v>2.1</v>
      </c>
      <c r="I1294" s="185">
        <f t="shared" ref="I1294" si="96">ROUND(IF(AND(F1294:H1294),C1294*E1294*F1294*G1294*H1294,IF(AND(F1294,G1294),C1294*E1294*F1294*G1294,IF(AND(F1294,H1294),C1294*E1294*F1294*H1294,IF(AND(G1294,H1294),C1294*E1294*G1294*H1294,IF(F1294,C1294*E1294*F1294,IF(G1294,C1294*E1294*G1294,IF(H1294,C1294*E1294*H1294,C1294*E1294))))))),2)</f>
        <v>5.04</v>
      </c>
      <c r="J1294" s="195" t="s">
        <v>102</v>
      </c>
      <c r="K1294" s="147"/>
      <c r="L1294" s="110"/>
      <c r="M1294" s="147"/>
      <c r="O1294" s="567"/>
      <c r="R1294" s="566"/>
    </row>
    <row r="1295" spans="1:18" s="148" customFormat="1" ht="16.5" hidden="1" customHeight="1">
      <c r="A1295" s="110"/>
      <c r="B1295" s="149"/>
      <c r="C1295" s="150">
        <v>1</v>
      </c>
      <c r="D1295" s="151" t="s">
        <v>268</v>
      </c>
      <c r="E1295" s="152">
        <v>1</v>
      </c>
      <c r="F1295" s="153">
        <v>1.5</v>
      </c>
      <c r="G1295" s="153">
        <v>0</v>
      </c>
      <c r="H1295" s="153">
        <v>2.1</v>
      </c>
      <c r="I1295" s="185">
        <f t="shared" ref="I1295" si="97">ROUND(IF(AND(F1295:H1295),C1295*E1295*F1295*G1295*H1295,IF(AND(F1295,G1295),C1295*E1295*F1295*G1295,IF(AND(F1295,H1295),C1295*E1295*F1295*H1295,IF(AND(G1295,H1295),C1295*E1295*G1295*H1295,IF(F1295,C1295*E1295*F1295,IF(G1295,C1295*E1295*G1295,IF(H1295,C1295*E1295*H1295,C1295*E1295))))))),2)</f>
        <v>3.15</v>
      </c>
      <c r="J1295" s="195" t="s">
        <v>102</v>
      </c>
      <c r="K1295" s="147"/>
      <c r="L1295" s="110"/>
      <c r="M1295" s="147"/>
      <c r="O1295" s="567"/>
      <c r="R1295" s="566"/>
    </row>
    <row r="1296" spans="1:18" s="148" customFormat="1" ht="16.5" hidden="1" customHeight="1">
      <c r="A1296" s="110"/>
      <c r="B1296" s="149"/>
      <c r="C1296" s="150">
        <v>1</v>
      </c>
      <c r="D1296" s="151" t="s">
        <v>268</v>
      </c>
      <c r="E1296" s="152">
        <v>4</v>
      </c>
      <c r="F1296" s="153">
        <v>0.75</v>
      </c>
      <c r="G1296" s="153">
        <v>0</v>
      </c>
      <c r="H1296" s="153">
        <v>2.1</v>
      </c>
      <c r="I1296" s="185">
        <f t="shared" ref="I1296" si="98">ROUND(IF(AND(F1296:H1296),C1296*E1296*F1296*G1296*H1296,IF(AND(F1296,G1296),C1296*E1296*F1296*G1296,IF(AND(F1296,H1296),C1296*E1296*F1296*H1296,IF(AND(G1296,H1296),C1296*E1296*G1296*H1296,IF(F1296,C1296*E1296*F1296,IF(G1296,C1296*E1296*G1296,IF(H1296,C1296*E1296*H1296,C1296*E1296))))))),2)</f>
        <v>6.3</v>
      </c>
      <c r="J1296" s="195" t="s">
        <v>102</v>
      </c>
      <c r="K1296" s="147"/>
      <c r="L1296" s="110"/>
      <c r="M1296" s="147"/>
      <c r="O1296" s="567"/>
      <c r="R1296" s="566"/>
    </row>
    <row r="1297" spans="1:18" s="148" customFormat="1" ht="16.5" hidden="1" customHeight="1">
      <c r="A1297" s="110"/>
      <c r="B1297" s="149"/>
      <c r="C1297" s="150"/>
      <c r="D1297" s="151"/>
      <c r="E1297" s="152"/>
      <c r="F1297" s="153"/>
      <c r="G1297" s="153"/>
      <c r="H1297" s="153"/>
      <c r="I1297" s="185"/>
      <c r="J1297" s="195"/>
      <c r="K1297" s="147"/>
      <c r="L1297" s="110"/>
      <c r="M1297" s="147"/>
      <c r="O1297" s="567"/>
      <c r="R1297" s="566"/>
    </row>
    <row r="1298" spans="1:18" hidden="1">
      <c r="A1298" s="110"/>
      <c r="B1298" s="147"/>
      <c r="C1298" s="154"/>
      <c r="D1298" s="155"/>
      <c r="E1298" s="156"/>
      <c r="F1298" s="157"/>
      <c r="G1298" s="158"/>
      <c r="H1298" s="110"/>
      <c r="I1298" s="185"/>
      <c r="J1298" s="195" t="s">
        <v>102</v>
      </c>
      <c r="K1298" s="12">
        <f>'doors 2025-26'!H241</f>
        <v>7732.59</v>
      </c>
      <c r="L1298" s="12" t="s">
        <v>270</v>
      </c>
      <c r="M1298" s="11">
        <f>ROUND(I1298*K1298,0)</f>
        <v>0</v>
      </c>
    </row>
    <row r="1299" spans="1:18" ht="72" hidden="1" customHeight="1">
      <c r="A1299" s="110">
        <v>7</v>
      </c>
      <c r="B1299" s="964" t="s">
        <v>2197</v>
      </c>
      <c r="C1299" s="964"/>
      <c r="D1299" s="964"/>
      <c r="E1299" s="964"/>
      <c r="F1299" s="964"/>
      <c r="G1299" s="964"/>
      <c r="H1299" s="964"/>
      <c r="I1299" s="183"/>
      <c r="J1299" s="186"/>
      <c r="K1299" s="110"/>
      <c r="L1299" s="110"/>
      <c r="M1299" s="139"/>
    </row>
    <row r="1300" spans="1:18" s="148" customFormat="1" ht="16.5" hidden="1" customHeight="1">
      <c r="A1300" s="110"/>
      <c r="B1300" s="149" t="s">
        <v>1890</v>
      </c>
      <c r="C1300" s="150">
        <v>1</v>
      </c>
      <c r="D1300" s="151" t="s">
        <v>268</v>
      </c>
      <c r="E1300" s="152">
        <v>2</v>
      </c>
      <c r="F1300" s="153">
        <v>0.75</v>
      </c>
      <c r="G1300" s="153">
        <v>0</v>
      </c>
      <c r="H1300" s="153">
        <v>1.8</v>
      </c>
      <c r="I1300" s="185">
        <f t="shared" ref="I1300" si="99">ROUND(IF(AND(F1300:H1300),C1300*E1300*F1300*G1300*H1300,IF(AND(F1300,G1300),C1300*E1300*F1300*G1300,IF(AND(F1300,H1300),C1300*E1300*F1300*H1300,IF(AND(G1300,H1300),C1300*E1300*G1300*H1300,IF(F1300,C1300*E1300*F1300,IF(G1300,C1300*E1300*G1300,IF(H1300,C1300*E1300*H1300,C1300*E1300))))))),2)</f>
        <v>2.7</v>
      </c>
      <c r="J1300" s="195" t="s">
        <v>102</v>
      </c>
      <c r="K1300" s="147"/>
      <c r="L1300" s="110"/>
      <c r="M1300" s="147"/>
      <c r="O1300" s="567"/>
      <c r="R1300" s="566"/>
    </row>
    <row r="1301" spans="1:18" s="148" customFormat="1" ht="16.5" hidden="1" customHeight="1">
      <c r="A1301" s="110"/>
      <c r="B1301" s="149"/>
      <c r="C1301" s="150"/>
      <c r="D1301" s="151"/>
      <c r="E1301" s="152"/>
      <c r="F1301" s="153"/>
      <c r="G1301" s="153"/>
      <c r="H1301" s="153"/>
      <c r="I1301" s="185"/>
      <c r="J1301" s="195"/>
      <c r="K1301" s="147"/>
      <c r="L1301" s="110"/>
      <c r="M1301" s="147"/>
      <c r="O1301" s="567"/>
      <c r="R1301" s="566"/>
    </row>
    <row r="1302" spans="1:18" hidden="1">
      <c r="A1302" s="110"/>
      <c r="B1302" s="147"/>
      <c r="C1302" s="154"/>
      <c r="D1302" s="155"/>
      <c r="E1302" s="156"/>
      <c r="F1302" s="157"/>
      <c r="G1302" s="158"/>
      <c r="H1302" s="110"/>
      <c r="I1302" s="185"/>
      <c r="J1302" s="195" t="s">
        <v>102</v>
      </c>
      <c r="K1302" s="12">
        <f>'doors 2025-26'!H253</f>
        <v>4677.25</v>
      </c>
      <c r="L1302" s="12" t="s">
        <v>270</v>
      </c>
      <c r="M1302" s="11">
        <f>ROUND(I1302*K1302,0)</f>
        <v>0</v>
      </c>
    </row>
    <row r="1303" spans="1:18" ht="57.75" hidden="1" customHeight="1">
      <c r="A1303" s="110">
        <v>2</v>
      </c>
      <c r="B1303" s="964" t="s">
        <v>2106</v>
      </c>
      <c r="C1303" s="964"/>
      <c r="D1303" s="964"/>
      <c r="E1303" s="964"/>
      <c r="F1303" s="964"/>
      <c r="G1303" s="964"/>
      <c r="H1303" s="964"/>
      <c r="I1303" s="183"/>
      <c r="J1303" s="186"/>
      <c r="K1303" s="110"/>
      <c r="L1303" s="110"/>
      <c r="M1303" s="139"/>
    </row>
    <row r="1304" spans="1:18" s="148" customFormat="1" ht="16.5" hidden="1" customHeight="1">
      <c r="A1304" s="110"/>
      <c r="B1304" s="149" t="s">
        <v>2104</v>
      </c>
      <c r="C1304" s="150">
        <v>1</v>
      </c>
      <c r="D1304" s="151" t="s">
        <v>268</v>
      </c>
      <c r="E1304" s="152">
        <v>7</v>
      </c>
      <c r="F1304" s="153">
        <v>0</v>
      </c>
      <c r="G1304" s="153">
        <v>0</v>
      </c>
      <c r="H1304" s="153">
        <v>0</v>
      </c>
      <c r="I1304" s="327">
        <f>ROUND(IF(AND(F1304:H1304),C1304*E1304*F1304*G1304*H1304,IF(AND(F1304,G1304),C1304*E1304*F1304*G1304,IF(AND(F1304,H1304),C1304*E1304*F1304*H1304,IF(AND(G1304,H1304),C1304*E1304*G1304*H1304,IF(F1304,C1304*E1304*F1304,IF(G1304,C1304*E1304*G1304,IF(H1304,C1304*E1304*H1304,C1304*E1304))))))),2)</f>
        <v>7</v>
      </c>
      <c r="J1304" s="195" t="s">
        <v>114</v>
      </c>
      <c r="K1304" s="147"/>
      <c r="L1304" s="110"/>
      <c r="M1304" s="147"/>
      <c r="O1304" s="152"/>
      <c r="R1304" s="566"/>
    </row>
    <row r="1305" spans="1:18" s="148" customFormat="1" ht="16.5" hidden="1" customHeight="1">
      <c r="A1305" s="110"/>
      <c r="B1305" s="149"/>
      <c r="C1305" s="150"/>
      <c r="D1305" s="151"/>
      <c r="E1305" s="152"/>
      <c r="F1305" s="153"/>
      <c r="G1305" s="153"/>
      <c r="H1305" s="153"/>
      <c r="I1305" s="327"/>
      <c r="J1305" s="195"/>
      <c r="K1305" s="147"/>
      <c r="L1305" s="110"/>
      <c r="M1305" s="147"/>
      <c r="O1305" s="567"/>
      <c r="R1305" s="566"/>
    </row>
    <row r="1306" spans="1:18" hidden="1">
      <c r="A1306" s="110"/>
      <c r="B1306" s="147"/>
      <c r="C1306" s="154"/>
      <c r="D1306" s="155"/>
      <c r="E1306" s="156"/>
      <c r="F1306" s="157"/>
      <c r="G1306" s="158"/>
      <c r="H1306" s="110"/>
      <c r="I1306" s="327"/>
      <c r="J1306" s="195" t="s">
        <v>114</v>
      </c>
      <c r="K1306" s="12">
        <f>'DATA 2025-26'!G992</f>
        <v>4193.1000000000004</v>
      </c>
      <c r="L1306" s="12" t="s">
        <v>271</v>
      </c>
      <c r="M1306" s="11">
        <f>ROUND(I1306*K1306,0)</f>
        <v>0</v>
      </c>
    </row>
    <row r="1307" spans="1:18" s="763" customFormat="1" ht="138.75" customHeight="1">
      <c r="A1307" s="757">
        <v>30</v>
      </c>
      <c r="B1307" s="972" t="s">
        <v>2313</v>
      </c>
      <c r="C1307" s="972"/>
      <c r="D1307" s="972"/>
      <c r="E1307" s="972"/>
      <c r="F1307" s="972"/>
      <c r="G1307" s="972"/>
      <c r="H1307" s="972"/>
      <c r="I1307" s="759"/>
      <c r="J1307" s="760"/>
      <c r="K1307" s="757"/>
      <c r="L1307" s="757"/>
      <c r="M1307" s="762"/>
    </row>
    <row r="1308" spans="1:18" s="771" customFormat="1" ht="16.5" customHeight="1">
      <c r="A1308" s="757"/>
      <c r="B1308" s="773"/>
      <c r="C1308" s="774">
        <v>1</v>
      </c>
      <c r="D1308" s="775" t="s">
        <v>268</v>
      </c>
      <c r="E1308" s="776">
        <v>4</v>
      </c>
      <c r="F1308" s="777">
        <v>1.5</v>
      </c>
      <c r="G1308" s="777">
        <v>0</v>
      </c>
      <c r="H1308" s="777">
        <v>1.35</v>
      </c>
      <c r="I1308" s="769">
        <f>ROUND(IF(AND(F1308:H1308),C1308*E1308*F1308*G1308*H1308,IF(AND(F1308,G1308),C1308*E1308*F1308*G1308,IF(AND(F1308,H1308),C1308*E1308*F1308*H1308,IF(AND(G1308,H1308),C1308*E1308*G1308*H1308,IF(F1308,C1308*E1308*F1308,IF(G1308,C1308*E1308*G1308,IF(H1308,C1308*E1308*H1308,C1308*E1308))))))),2)</f>
        <v>8.1</v>
      </c>
      <c r="J1308" s="783" t="s">
        <v>102</v>
      </c>
      <c r="K1308" s="764"/>
      <c r="L1308" s="757"/>
      <c r="M1308" s="764"/>
      <c r="O1308" s="776">
        <v>5</v>
      </c>
    </row>
    <row r="1309" spans="1:18" s="771" customFormat="1" ht="16.5" customHeight="1">
      <c r="A1309" s="757"/>
      <c r="B1309" s="773"/>
      <c r="C1309" s="774">
        <v>1</v>
      </c>
      <c r="D1309" s="775" t="s">
        <v>268</v>
      </c>
      <c r="E1309" s="776">
        <v>4</v>
      </c>
      <c r="F1309" s="777">
        <v>0.9</v>
      </c>
      <c r="G1309" s="777">
        <v>0</v>
      </c>
      <c r="H1309" s="777">
        <v>1.35</v>
      </c>
      <c r="I1309" s="769">
        <f>ROUND(IF(AND(F1309:H1309),C1309*E1309*F1309*G1309*H1309,IF(AND(F1309,G1309),C1309*E1309*F1309*G1309,IF(AND(F1309,H1309),C1309*E1309*F1309*H1309,IF(AND(G1309,H1309),C1309*E1309*G1309*H1309,IF(F1309,C1309*E1309*F1309,IF(G1309,C1309*E1309*G1309,IF(H1309,C1309*E1309*H1309,C1309*E1309))))))),2)</f>
        <v>4.8600000000000003</v>
      </c>
      <c r="J1309" s="783" t="s">
        <v>102</v>
      </c>
      <c r="K1309" s="764"/>
      <c r="L1309" s="757"/>
      <c r="M1309" s="764"/>
      <c r="O1309" s="776">
        <v>5</v>
      </c>
    </row>
    <row r="1310" spans="1:18" s="771" customFormat="1" ht="16.5" customHeight="1">
      <c r="A1310" s="757"/>
      <c r="B1310" s="773"/>
      <c r="C1310" s="774"/>
      <c r="D1310" s="775"/>
      <c r="E1310" s="776"/>
      <c r="F1310" s="777"/>
      <c r="G1310" s="777"/>
      <c r="H1310" s="777"/>
      <c r="I1310" s="769"/>
      <c r="J1310" s="783"/>
      <c r="K1310" s="764"/>
      <c r="L1310" s="757"/>
      <c r="M1310" s="764"/>
    </row>
    <row r="1311" spans="1:18" s="763" customFormat="1">
      <c r="A1311" s="757"/>
      <c r="B1311" s="764"/>
      <c r="C1311" s="779"/>
      <c r="D1311" s="780"/>
      <c r="E1311" s="767"/>
      <c r="F1311" s="781"/>
      <c r="G1311" s="782"/>
      <c r="H1311" s="757"/>
      <c r="I1311" s="769">
        <f>SUM(I1308:I1310)</f>
        <v>12.96</v>
      </c>
      <c r="J1311" s="783" t="s">
        <v>102</v>
      </c>
      <c r="K1311" s="768">
        <f>'doors 2025-26'!H259</f>
        <v>10225.35</v>
      </c>
      <c r="L1311" s="768" t="s">
        <v>270</v>
      </c>
      <c r="M1311" s="784">
        <f>ROUND(I1311*K1311,0)</f>
        <v>132521</v>
      </c>
    </row>
    <row r="1312" spans="1:18" hidden="1">
      <c r="A1312" s="110"/>
      <c r="B1312" s="632" t="s">
        <v>1898</v>
      </c>
      <c r="C1312" s="671"/>
      <c r="D1312" s="672"/>
      <c r="E1312" s="673"/>
      <c r="F1312" s="632"/>
      <c r="G1312" s="632"/>
      <c r="H1312" s="632"/>
      <c r="I1312" s="183"/>
      <c r="J1312" s="186"/>
      <c r="K1312" s="110"/>
      <c r="L1312" s="210"/>
      <c r="M1312" s="139"/>
    </row>
    <row r="1313" spans="1:15" s="148" customFormat="1" ht="16.5" hidden="1" customHeight="1">
      <c r="A1313" s="110"/>
      <c r="B1313" s="149" t="s">
        <v>964</v>
      </c>
      <c r="C1313" s="150">
        <v>1</v>
      </c>
      <c r="D1313" s="151" t="s">
        <v>268</v>
      </c>
      <c r="E1313" s="152">
        <v>4</v>
      </c>
      <c r="F1313" s="153">
        <v>1.2</v>
      </c>
      <c r="G1313" s="153">
        <v>0</v>
      </c>
      <c r="H1313" s="153">
        <v>1.2</v>
      </c>
      <c r="I1313" s="185">
        <f>ROUND(IF(AND(F1313:H1313),C1313*E1313*F1313*G1313*H1313,IF(AND(F1313,G1313),C1313*E1313*F1313*G1313,IF(AND(F1313,H1313),C1313*E1313*F1313*H1313,IF(AND(G1313,H1313),C1313*E1313*G1313*H1313,IF(F1313,C1313*E1313*F1313,IF(G1313,C1313*E1313*G1313,IF(H1313,C1313*E1313*H1313,C1313*E1313))))))),2)</f>
        <v>5.76</v>
      </c>
      <c r="J1313" s="195" t="s">
        <v>102</v>
      </c>
      <c r="K1313" s="147"/>
      <c r="L1313" s="110"/>
      <c r="M1313" s="147"/>
    </row>
    <row r="1314" spans="1:15" s="148" customFormat="1" ht="16.5" hidden="1" customHeight="1">
      <c r="A1314" s="110"/>
      <c r="B1314" s="149"/>
      <c r="C1314" s="150"/>
      <c r="D1314" s="151"/>
      <c r="E1314" s="152"/>
      <c r="F1314" s="153"/>
      <c r="G1314" s="153"/>
      <c r="H1314" s="153"/>
      <c r="I1314" s="185"/>
      <c r="J1314" s="195"/>
      <c r="K1314" s="147"/>
      <c r="L1314" s="110"/>
      <c r="M1314" s="147"/>
    </row>
    <row r="1315" spans="1:15" hidden="1">
      <c r="A1315" s="110"/>
      <c r="B1315" s="147"/>
      <c r="C1315" s="154"/>
      <c r="D1315" s="155"/>
      <c r="E1315" s="156"/>
      <c r="F1315" s="157"/>
      <c r="G1315" s="158"/>
      <c r="H1315" s="110"/>
      <c r="I1315" s="185"/>
      <c r="J1315" s="195" t="s">
        <v>102</v>
      </c>
      <c r="K1315" s="12">
        <f>'doors 2025-26'!H256</f>
        <v>6698</v>
      </c>
      <c r="L1315" s="12" t="s">
        <v>270</v>
      </c>
      <c r="M1315" s="11">
        <f>ROUND(I1315*K1315,0)</f>
        <v>0</v>
      </c>
    </row>
    <row r="1316" spans="1:15" s="148" customFormat="1" ht="16.5" hidden="1" customHeight="1">
      <c r="A1316" s="110">
        <v>4</v>
      </c>
      <c r="B1316" s="147" t="s">
        <v>1399</v>
      </c>
      <c r="C1316" s="141" t="s">
        <v>1409</v>
      </c>
      <c r="D1316" s="142"/>
      <c r="E1316" s="143"/>
      <c r="F1316" s="144"/>
      <c r="G1316" s="144"/>
      <c r="H1316" s="145"/>
      <c r="I1316" s="184"/>
      <c r="J1316" s="195"/>
      <c r="K1316" s="147"/>
      <c r="L1316" s="110"/>
      <c r="M1316" s="147"/>
    </row>
    <row r="1317" spans="1:15" s="148" customFormat="1" ht="16.5" hidden="1" customHeight="1">
      <c r="A1317" s="110"/>
      <c r="B1317" s="149"/>
      <c r="C1317" s="150">
        <v>1</v>
      </c>
      <c r="D1317" s="151" t="s">
        <v>268</v>
      </c>
      <c r="E1317" s="152">
        <v>1</v>
      </c>
      <c r="F1317" s="153">
        <v>1.5</v>
      </c>
      <c r="G1317" s="153">
        <v>0</v>
      </c>
      <c r="H1317" s="153">
        <v>1.35</v>
      </c>
      <c r="I1317" s="185">
        <f>ROUND(IF(AND(F1317:H1317),C1317*E1317*F1317*G1317*H1317,IF(AND(F1317,G1317),C1317*E1317*F1317*G1317,IF(AND(F1317,H1317),C1317*E1317*F1317*H1317,IF(AND(G1317,H1317),C1317*E1317*G1317*H1317,IF(F1317,C1317*E1317*F1317,IF(G1317,C1317*E1317*G1317,IF(H1317,C1317*E1317*H1317,C1317*E1317))))))),2)</f>
        <v>2.0299999999999998</v>
      </c>
      <c r="J1317" s="195" t="s">
        <v>102</v>
      </c>
      <c r="K1317" s="147"/>
      <c r="L1317" s="110"/>
      <c r="M1317" s="147"/>
      <c r="O1317" s="152">
        <v>1</v>
      </c>
    </row>
    <row r="1318" spans="1:15" s="148" customFormat="1" ht="16.5" hidden="1" customHeight="1">
      <c r="A1318" s="110"/>
      <c r="B1318" s="149"/>
      <c r="C1318" s="150">
        <v>1</v>
      </c>
      <c r="D1318" s="151" t="s">
        <v>268</v>
      </c>
      <c r="E1318" s="152">
        <v>2</v>
      </c>
      <c r="F1318" s="153">
        <v>0.6</v>
      </c>
      <c r="G1318" s="153">
        <v>0</v>
      </c>
      <c r="H1318" s="153">
        <v>0.45</v>
      </c>
      <c r="I1318" s="185">
        <f>ROUND(IF(AND(F1318:H1318),C1318*E1318*F1318*G1318*H1318,IF(AND(F1318,G1318),C1318*E1318*F1318*G1318,IF(AND(F1318,H1318),C1318*E1318*F1318*H1318,IF(AND(G1318,H1318),C1318*E1318*G1318*H1318,IF(F1318,C1318*E1318*F1318,IF(G1318,C1318*E1318*G1318,IF(H1318,C1318*E1318*H1318,C1318*E1318))))))),2)</f>
        <v>0.54</v>
      </c>
      <c r="J1318" s="195" t="s">
        <v>102</v>
      </c>
      <c r="K1318" s="147"/>
      <c r="L1318" s="110"/>
      <c r="M1318" s="147"/>
      <c r="O1318" s="152">
        <v>2</v>
      </c>
    </row>
    <row r="1319" spans="1:15" hidden="1">
      <c r="A1319" s="110"/>
      <c r="B1319" s="147"/>
      <c r="C1319" s="154"/>
      <c r="D1319" s="155"/>
      <c r="E1319" s="156"/>
      <c r="F1319" s="157"/>
      <c r="G1319" s="158"/>
      <c r="H1319" s="110"/>
      <c r="I1319" s="185"/>
      <c r="J1319" s="195" t="s">
        <v>102</v>
      </c>
      <c r="K1319" s="12">
        <f>'doors 2025-26'!H261</f>
        <v>6456</v>
      </c>
      <c r="L1319" s="12" t="s">
        <v>270</v>
      </c>
      <c r="M1319" s="11">
        <f>ROUND(I1319*K1319,0)</f>
        <v>0</v>
      </c>
    </row>
    <row r="1320" spans="1:15" ht="27" hidden="1" customHeight="1">
      <c r="A1320" s="110">
        <v>13</v>
      </c>
      <c r="B1320" s="964" t="s">
        <v>974</v>
      </c>
      <c r="C1320" s="964"/>
      <c r="D1320" s="964"/>
      <c r="E1320" s="964"/>
      <c r="F1320" s="964"/>
      <c r="G1320" s="964"/>
      <c r="H1320" s="964"/>
      <c r="I1320" s="183"/>
      <c r="J1320" s="186"/>
      <c r="K1320" s="110"/>
      <c r="L1320" s="110"/>
      <c r="M1320" s="139"/>
    </row>
    <row r="1321" spans="1:15" hidden="1">
      <c r="A1321" s="110"/>
      <c r="B1321" s="632" t="s">
        <v>1898</v>
      </c>
      <c r="C1321" s="671"/>
      <c r="D1321" s="672"/>
      <c r="E1321" s="673"/>
      <c r="F1321" s="632"/>
      <c r="G1321" s="632"/>
      <c r="H1321" s="632"/>
      <c r="I1321" s="183"/>
      <c r="J1321" s="186"/>
      <c r="K1321" s="110"/>
      <c r="L1321" s="210"/>
      <c r="M1321" s="139"/>
    </row>
    <row r="1322" spans="1:15" s="148" customFormat="1" ht="16.5" hidden="1" customHeight="1">
      <c r="A1322" s="110"/>
      <c r="B1322" s="149"/>
      <c r="C1322" s="150">
        <v>1</v>
      </c>
      <c r="D1322" s="151" t="s">
        <v>268</v>
      </c>
      <c r="E1322" s="152">
        <v>1</v>
      </c>
      <c r="F1322" s="153">
        <v>0</v>
      </c>
      <c r="G1322" s="153">
        <v>0</v>
      </c>
      <c r="H1322" s="153">
        <v>0</v>
      </c>
      <c r="I1322" s="185">
        <f>ROUND(IF(AND(F1322:H1322),C1322*E1322*F1322*G1322*H1322,IF(AND(F1322,G1322),C1322*E1322*F1322*G1322,IF(AND(F1322,H1322),C1322*E1322*F1322*H1322,IF(AND(G1322,H1322),C1322*E1322*G1322*H1322,IF(F1322,C1322*E1322*F1322,IF(G1322,C1322*E1322*G1322,IF(H1322,C1322*E1322*H1322,C1322*E1322))))))),2)</f>
        <v>1</v>
      </c>
      <c r="J1322" s="195" t="s">
        <v>114</v>
      </c>
      <c r="K1322" s="147"/>
      <c r="L1322" s="110"/>
      <c r="M1322" s="147"/>
    </row>
    <row r="1323" spans="1:15" s="148" customFormat="1" ht="16.5" hidden="1" customHeight="1">
      <c r="A1323" s="110"/>
      <c r="B1323" s="149"/>
      <c r="C1323" s="150"/>
      <c r="D1323" s="151"/>
      <c r="E1323" s="152"/>
      <c r="F1323" s="153"/>
      <c r="G1323" s="153"/>
      <c r="H1323" s="153"/>
      <c r="I1323" s="185"/>
      <c r="J1323" s="195"/>
      <c r="K1323" s="147"/>
      <c r="L1323" s="110"/>
      <c r="M1323" s="147"/>
    </row>
    <row r="1324" spans="1:15" hidden="1">
      <c r="A1324" s="110"/>
      <c r="B1324" s="147"/>
      <c r="C1324" s="154"/>
      <c r="D1324" s="155"/>
      <c r="E1324" s="156"/>
      <c r="F1324" s="157"/>
      <c r="G1324" s="158"/>
      <c r="H1324" s="110"/>
      <c r="I1324" s="185"/>
      <c r="J1324" s="195" t="s">
        <v>114</v>
      </c>
      <c r="K1324" s="12">
        <f>'doors 2025-26'!H222</f>
        <v>605.57000000000005</v>
      </c>
      <c r="L1324" s="12" t="s">
        <v>271</v>
      </c>
      <c r="M1324" s="11">
        <f>ROUND(I1324*K1324,0)</f>
        <v>0</v>
      </c>
    </row>
    <row r="1325" spans="1:15" s="763" customFormat="1" ht="27" customHeight="1">
      <c r="A1325" s="757">
        <v>31</v>
      </c>
      <c r="B1325" s="965" t="s">
        <v>880</v>
      </c>
      <c r="C1325" s="965"/>
      <c r="D1325" s="965"/>
      <c r="E1325" s="965"/>
      <c r="F1325" s="965"/>
      <c r="G1325" s="965"/>
      <c r="H1325" s="965"/>
      <c r="I1325" s="759"/>
      <c r="J1325" s="760"/>
      <c r="K1325" s="757"/>
      <c r="L1325" s="757"/>
      <c r="M1325" s="762"/>
    </row>
    <row r="1326" spans="1:15" s="771" customFormat="1" ht="16.5" customHeight="1">
      <c r="A1326" s="757"/>
      <c r="B1326" s="773"/>
      <c r="C1326" s="774">
        <v>1</v>
      </c>
      <c r="D1326" s="775" t="s">
        <v>268</v>
      </c>
      <c r="E1326" s="776">
        <v>8</v>
      </c>
      <c r="F1326" s="777">
        <v>0.6</v>
      </c>
      <c r="G1326" s="777">
        <v>0</v>
      </c>
      <c r="H1326" s="777">
        <v>0.23</v>
      </c>
      <c r="I1326" s="769">
        <f>ROUND(IF(AND(F1326:H1326),C1326*E1326*F1326*G1326*H1326,IF(AND(F1326,G1326),C1326*E1326*F1326*G1326,IF(AND(F1326,H1326),C1326*E1326*F1326*H1326,IF(AND(G1326,H1326),C1326*E1326*G1326*H1326,IF(F1326,C1326*E1326*F1326,IF(G1326,C1326*E1326*G1326,IF(H1326,C1326*E1326*H1326,C1326*E1326))))))),2)</f>
        <v>1.1000000000000001</v>
      </c>
      <c r="J1326" s="783" t="s">
        <v>102</v>
      </c>
      <c r="K1326" s="764"/>
      <c r="L1326" s="757"/>
      <c r="M1326" s="764"/>
    </row>
    <row r="1327" spans="1:15" s="771" customFormat="1" ht="16.5" customHeight="1">
      <c r="A1327" s="757"/>
      <c r="B1327" s="773"/>
      <c r="C1327" s="774"/>
      <c r="D1327" s="775"/>
      <c r="E1327" s="776"/>
      <c r="F1327" s="777"/>
      <c r="G1327" s="777"/>
      <c r="H1327" s="777"/>
      <c r="I1327" s="769"/>
      <c r="J1327" s="783"/>
      <c r="K1327" s="764"/>
      <c r="L1327" s="757"/>
      <c r="M1327" s="764"/>
    </row>
    <row r="1328" spans="1:15" s="763" customFormat="1">
      <c r="A1328" s="757"/>
      <c r="B1328" s="764"/>
      <c r="C1328" s="779"/>
      <c r="D1328" s="780"/>
      <c r="E1328" s="767"/>
      <c r="F1328" s="781"/>
      <c r="G1328" s="782"/>
      <c r="H1328" s="757"/>
      <c r="I1328" s="769">
        <f>SUM(I1326:I1327)</f>
        <v>1.1000000000000001</v>
      </c>
      <c r="J1328" s="783" t="s">
        <v>102</v>
      </c>
      <c r="K1328" s="768">
        <f>'doors 2025-26'!H229</f>
        <v>769.31999999999994</v>
      </c>
      <c r="L1328" s="768" t="s">
        <v>270</v>
      </c>
      <c r="M1328" s="784">
        <f>ROUND(I1328*K1328,0)</f>
        <v>846</v>
      </c>
    </row>
    <row r="1329" spans="1:13" s="763" customFormat="1" ht="46.5" customHeight="1">
      <c r="A1329" s="757">
        <v>32</v>
      </c>
      <c r="B1329" s="965" t="s">
        <v>188</v>
      </c>
      <c r="C1329" s="965"/>
      <c r="D1329" s="965"/>
      <c r="E1329" s="965"/>
      <c r="F1329" s="965"/>
      <c r="G1329" s="965"/>
      <c r="H1329" s="965"/>
      <c r="I1329" s="759"/>
      <c r="J1329" s="760"/>
      <c r="K1329" s="757"/>
      <c r="L1329" s="757"/>
      <c r="M1329" s="762"/>
    </row>
    <row r="1330" spans="1:13" s="771" customFormat="1" ht="16.5" customHeight="1">
      <c r="A1330" s="757"/>
      <c r="B1330" s="773" t="s">
        <v>964</v>
      </c>
      <c r="C1330" s="774">
        <v>1</v>
      </c>
      <c r="D1330" s="775" t="s">
        <v>268</v>
      </c>
      <c r="E1330" s="776">
        <v>4</v>
      </c>
      <c r="F1330" s="777">
        <v>45</v>
      </c>
      <c r="G1330" s="777">
        <v>0</v>
      </c>
      <c r="H1330" s="777">
        <v>0</v>
      </c>
      <c r="I1330" s="769">
        <f>ROUND(IF(AND(F1330:H1330),C1330*E1330*F1330*G1330*H1330,IF(AND(F1330,G1330),C1330*E1330*F1330*G1330,IF(AND(F1330,H1330),C1330*E1330*F1330*H1330,IF(AND(G1330,H1330),C1330*E1330*G1330*H1330,IF(F1330,C1330*E1330*F1330,IF(G1330,C1330*E1330*G1330,IF(H1330,C1330*E1330*H1330,C1330*E1330))))))),2)</f>
        <v>180</v>
      </c>
      <c r="J1330" s="783" t="s">
        <v>4</v>
      </c>
      <c r="K1330" s="764"/>
      <c r="L1330" s="757"/>
      <c r="M1330" s="764"/>
    </row>
    <row r="1331" spans="1:13" s="771" customFormat="1" ht="16.5" customHeight="1">
      <c r="A1331" s="757"/>
      <c r="B1331" s="773" t="s">
        <v>964</v>
      </c>
      <c r="C1331" s="774">
        <v>1</v>
      </c>
      <c r="D1331" s="775" t="s">
        <v>268</v>
      </c>
      <c r="E1331" s="776">
        <v>4</v>
      </c>
      <c r="F1331" s="777">
        <v>25</v>
      </c>
      <c r="G1331" s="777">
        <v>0</v>
      </c>
      <c r="H1331" s="777">
        <v>0</v>
      </c>
      <c r="I1331" s="769">
        <f>ROUND(IF(AND(F1331:H1331),C1331*E1331*F1331*G1331*H1331,IF(AND(F1331,G1331),C1331*E1331*F1331*G1331,IF(AND(F1331,H1331),C1331*E1331*F1331*H1331,IF(AND(G1331,H1331),C1331*E1331*G1331*H1331,IF(F1331,C1331*E1331*F1331,IF(G1331,C1331*E1331*G1331,IF(H1331,C1331*E1331*H1331,C1331*E1331))))))),2)</f>
        <v>100</v>
      </c>
      <c r="J1331" s="783" t="s">
        <v>4</v>
      </c>
      <c r="K1331" s="764"/>
      <c r="L1331" s="757"/>
      <c r="M1331" s="764"/>
    </row>
    <row r="1332" spans="1:13" s="771" customFormat="1" ht="16.5" customHeight="1">
      <c r="A1332" s="757"/>
      <c r="B1332" s="773"/>
      <c r="C1332" s="774"/>
      <c r="D1332" s="775"/>
      <c r="E1332" s="776"/>
      <c r="F1332" s="777"/>
      <c r="G1332" s="777"/>
      <c r="H1332" s="777"/>
      <c r="I1332" s="769"/>
      <c r="J1332" s="783"/>
      <c r="K1332" s="764"/>
      <c r="L1332" s="757"/>
      <c r="M1332" s="764"/>
    </row>
    <row r="1333" spans="1:13" s="763" customFormat="1">
      <c r="A1333" s="757"/>
      <c r="B1333" s="764"/>
      <c r="C1333" s="779"/>
      <c r="D1333" s="780"/>
      <c r="E1333" s="767"/>
      <c r="F1333" s="781"/>
      <c r="G1333" s="782"/>
      <c r="H1333" s="757"/>
      <c r="I1333" s="769">
        <f>SUM(I1330:I1332)</f>
        <v>280</v>
      </c>
      <c r="J1333" s="783" t="s">
        <v>4</v>
      </c>
      <c r="K1333" s="768">
        <f>'DATA 2025-26'!G333</f>
        <v>121.03</v>
      </c>
      <c r="L1333" s="768" t="s">
        <v>272</v>
      </c>
      <c r="M1333" s="784">
        <f>ROUND(I1333*K1333,0)</f>
        <v>33888</v>
      </c>
    </row>
    <row r="1334" spans="1:13" ht="65.25" hidden="1" customHeight="1">
      <c r="A1334" s="110">
        <v>5</v>
      </c>
      <c r="B1334" s="964" t="s">
        <v>881</v>
      </c>
      <c r="C1334" s="964"/>
      <c r="D1334" s="964"/>
      <c r="E1334" s="964"/>
      <c r="F1334" s="964"/>
      <c r="G1334" s="964"/>
      <c r="H1334" s="964"/>
      <c r="I1334" s="183"/>
      <c r="J1334" s="186"/>
      <c r="K1334" s="110"/>
      <c r="L1334" s="110"/>
      <c r="M1334" s="139"/>
    </row>
    <row r="1335" spans="1:13" s="148" customFormat="1" ht="16.5" hidden="1" customHeight="1">
      <c r="A1335" s="110"/>
      <c r="B1335" s="149" t="s">
        <v>1373</v>
      </c>
      <c r="C1335" s="150">
        <v>1</v>
      </c>
      <c r="D1335" s="151" t="s">
        <v>268</v>
      </c>
      <c r="E1335" s="152">
        <v>6</v>
      </c>
      <c r="F1335" s="153">
        <v>1.2</v>
      </c>
      <c r="G1335" s="153">
        <v>0</v>
      </c>
      <c r="H1335" s="153">
        <v>1.2</v>
      </c>
      <c r="I1335" s="185">
        <f>ROUND(IF(AND(F1335:H1335),C1335*E1335*F1335*G1335*H1335,IF(AND(F1335,G1335),C1335*E1335*F1335*G1335,IF(AND(F1335,H1335),C1335*E1335*F1335*H1335,IF(AND(G1335,H1335),C1335*E1335*G1335*H1335,IF(F1335,C1335*E1335*F1335,IF(G1335,C1335*E1335*G1335,IF(H1335,C1335*E1335*H1335,C1335*E1335))))))),2)</f>
        <v>8.64</v>
      </c>
      <c r="J1335" s="195" t="s">
        <v>102</v>
      </c>
      <c r="K1335" s="147"/>
      <c r="L1335" s="110"/>
      <c r="M1335" s="147"/>
    </row>
    <row r="1336" spans="1:13" s="148" customFormat="1" ht="16.5" hidden="1" customHeight="1">
      <c r="A1336" s="110"/>
      <c r="B1336" s="149"/>
      <c r="C1336" s="150">
        <v>1</v>
      </c>
      <c r="D1336" s="151" t="s">
        <v>268</v>
      </c>
      <c r="E1336" s="152">
        <v>2</v>
      </c>
      <c r="F1336" s="153">
        <v>0.9</v>
      </c>
      <c r="G1336" s="153">
        <v>0</v>
      </c>
      <c r="H1336" s="153">
        <v>0.9</v>
      </c>
      <c r="I1336" s="185">
        <f>ROUND(IF(AND(F1336:H1336),C1336*E1336*F1336*G1336*H1336,IF(AND(F1336,G1336),C1336*E1336*F1336*G1336,IF(AND(F1336,H1336),C1336*E1336*F1336*H1336,IF(AND(G1336,H1336),C1336*E1336*G1336*H1336,IF(F1336,C1336*E1336*F1336,IF(G1336,C1336*E1336*G1336,IF(H1336,C1336*E1336*H1336,C1336*E1336))))))),2)</f>
        <v>1.62</v>
      </c>
      <c r="J1336" s="195" t="s">
        <v>102</v>
      </c>
      <c r="K1336" s="147"/>
      <c r="L1336" s="110"/>
      <c r="M1336" s="147"/>
    </row>
    <row r="1337" spans="1:13" s="148" customFormat="1" ht="16.5" hidden="1" customHeight="1">
      <c r="A1337" s="110"/>
      <c r="B1337" s="149" t="s">
        <v>1820</v>
      </c>
      <c r="C1337" s="150">
        <v>1</v>
      </c>
      <c r="D1337" s="151" t="s">
        <v>268</v>
      </c>
      <c r="E1337" s="152">
        <v>6</v>
      </c>
      <c r="F1337" s="153">
        <v>1.2</v>
      </c>
      <c r="G1337" s="153">
        <v>0</v>
      </c>
      <c r="H1337" s="153">
        <v>1.2</v>
      </c>
      <c r="I1337" s="185">
        <f>ROUND(IF(AND(F1337:H1337),C1337*E1337*F1337*G1337*H1337,IF(AND(F1337,G1337),C1337*E1337*F1337*G1337,IF(AND(F1337,H1337),C1337*E1337*F1337*H1337,IF(AND(G1337,H1337),C1337*E1337*G1337*H1337,IF(F1337,C1337*E1337*F1337,IF(G1337,C1337*E1337*G1337,IF(H1337,C1337*E1337*H1337,C1337*E1337))))))),2)</f>
        <v>8.64</v>
      </c>
      <c r="J1337" s="195" t="s">
        <v>102</v>
      </c>
      <c r="K1337" s="147"/>
      <c r="L1337" s="110"/>
      <c r="M1337" s="147"/>
    </row>
    <row r="1338" spans="1:13" s="148" customFormat="1" ht="16.5" hidden="1" customHeight="1">
      <c r="A1338" s="110"/>
      <c r="B1338" s="149"/>
      <c r="C1338" s="150">
        <v>1</v>
      </c>
      <c r="D1338" s="151" t="s">
        <v>268</v>
      </c>
      <c r="E1338" s="152">
        <v>2</v>
      </c>
      <c r="F1338" s="153">
        <v>0.9</v>
      </c>
      <c r="G1338" s="153">
        <v>0</v>
      </c>
      <c r="H1338" s="153">
        <v>0.9</v>
      </c>
      <c r="I1338" s="185">
        <f>ROUND(IF(AND(F1338:H1338),C1338*E1338*F1338*G1338*H1338,IF(AND(F1338,G1338),C1338*E1338*F1338*G1338,IF(AND(F1338,H1338),C1338*E1338*F1338*H1338,IF(AND(G1338,H1338),C1338*E1338*G1338*H1338,IF(F1338,C1338*E1338*F1338,IF(G1338,C1338*E1338*G1338,IF(H1338,C1338*E1338*H1338,C1338*E1338))))))),2)</f>
        <v>1.62</v>
      </c>
      <c r="J1338" s="195" t="s">
        <v>102</v>
      </c>
      <c r="K1338" s="147"/>
      <c r="L1338" s="110"/>
      <c r="M1338" s="147"/>
    </row>
    <row r="1339" spans="1:13" s="148" customFormat="1" ht="16.5" hidden="1" customHeight="1">
      <c r="A1339" s="110"/>
      <c r="B1339" s="149"/>
      <c r="C1339" s="150"/>
      <c r="D1339" s="151"/>
      <c r="E1339" s="152"/>
      <c r="F1339" s="153"/>
      <c r="G1339" s="153"/>
      <c r="H1339" s="153"/>
      <c r="I1339" s="185"/>
      <c r="J1339" s="195"/>
      <c r="K1339" s="147"/>
      <c r="L1339" s="110"/>
      <c r="M1339" s="147"/>
    </row>
    <row r="1340" spans="1:13" hidden="1">
      <c r="A1340" s="110"/>
      <c r="B1340" s="147"/>
      <c r="C1340" s="154"/>
      <c r="D1340" s="155"/>
      <c r="E1340" s="156"/>
      <c r="F1340" s="157"/>
      <c r="G1340" s="158"/>
      <c r="H1340" s="110"/>
      <c r="I1340" s="185"/>
      <c r="J1340" s="195" t="s">
        <v>102</v>
      </c>
      <c r="K1340" s="12">
        <f>'DATA 2025-26'!G349</f>
        <v>1927.75</v>
      </c>
      <c r="L1340" s="12" t="s">
        <v>270</v>
      </c>
      <c r="M1340" s="11">
        <f>ROUND(I1340*K1340,0)</f>
        <v>0</v>
      </c>
    </row>
    <row r="1341" spans="1:13" ht="42.75" hidden="1" customHeight="1">
      <c r="A1341" s="110">
        <v>51</v>
      </c>
      <c r="B1341" s="964" t="s">
        <v>615</v>
      </c>
      <c r="C1341" s="964"/>
      <c r="D1341" s="964"/>
      <c r="E1341" s="964"/>
      <c r="F1341" s="964"/>
      <c r="G1341" s="964"/>
      <c r="H1341" s="964"/>
      <c r="I1341" s="183"/>
      <c r="J1341" s="186"/>
      <c r="K1341" s="110"/>
      <c r="L1341" s="110"/>
      <c r="M1341" s="139"/>
    </row>
    <row r="1342" spans="1:13" s="148" customFormat="1" ht="16.5" hidden="1" customHeight="1">
      <c r="A1342" s="110"/>
      <c r="B1342" s="140" t="s">
        <v>1315</v>
      </c>
      <c r="C1342" s="141"/>
      <c r="D1342" s="142"/>
      <c r="E1342" s="143"/>
      <c r="F1342" s="144"/>
      <c r="G1342" s="144"/>
      <c r="H1342" s="145"/>
      <c r="I1342" s="184"/>
      <c r="J1342" s="195"/>
      <c r="K1342" s="147"/>
      <c r="L1342" s="110"/>
      <c r="M1342" s="147"/>
    </row>
    <row r="1343" spans="1:13" s="148" customFormat="1" ht="16.5" hidden="1" customHeight="1">
      <c r="A1343" s="110"/>
      <c r="B1343" s="149" t="s">
        <v>650</v>
      </c>
      <c r="C1343" s="150">
        <v>1</v>
      </c>
      <c r="D1343" s="151" t="s">
        <v>268</v>
      </c>
      <c r="E1343" s="152">
        <v>1</v>
      </c>
      <c r="F1343" s="161">
        <v>58.6</v>
      </c>
      <c r="G1343" s="153">
        <v>0</v>
      </c>
      <c r="H1343" s="153">
        <v>0</v>
      </c>
      <c r="I1343" s="185">
        <f>ROUND(IF(AND(F1343:H1343),C1343*E1343*F1343*G1343*H1343,IF(AND(F1343,G1343),C1343*E1343*F1343*G1343,IF(AND(F1343,H1343),C1343*E1343*F1343*H1343,IF(AND(G1343,H1343),C1343*E1343*G1343*H1343,IF(F1343,C1343*E1343*F1343,IF(G1343,C1343*E1343*G1343,IF(H1343,C1343*E1343*H1343,C1343*E1343))))))),2)</f>
        <v>58.6</v>
      </c>
      <c r="J1343" s="195" t="s">
        <v>139</v>
      </c>
      <c r="K1343" s="147"/>
      <c r="L1343" s="110"/>
      <c r="M1343" s="147"/>
    </row>
    <row r="1344" spans="1:13" s="148" customFormat="1" ht="16.5" hidden="1" customHeight="1">
      <c r="A1344" s="110"/>
      <c r="B1344" s="149"/>
      <c r="C1344" s="150"/>
      <c r="D1344" s="151"/>
      <c r="E1344" s="152"/>
      <c r="F1344" s="161"/>
      <c r="G1344" s="153"/>
      <c r="H1344" s="153"/>
      <c r="I1344" s="185"/>
      <c r="J1344" s="195"/>
      <c r="K1344" s="147"/>
      <c r="L1344" s="110"/>
      <c r="M1344" s="147"/>
    </row>
    <row r="1345" spans="1:13" hidden="1">
      <c r="A1345" s="110"/>
      <c r="B1345" s="147"/>
      <c r="C1345" s="154"/>
      <c r="D1345" s="155"/>
      <c r="E1345" s="156"/>
      <c r="F1345" s="157"/>
      <c r="G1345" s="158"/>
      <c r="H1345" s="110"/>
      <c r="I1345" s="185"/>
      <c r="J1345" s="195" t="s">
        <v>139</v>
      </c>
      <c r="K1345" s="12">
        <f>'DATA 2025-26'!G357</f>
        <v>171.79</v>
      </c>
      <c r="L1345" s="12" t="s">
        <v>272</v>
      </c>
      <c r="M1345" s="11">
        <f>ROUND(I1345*K1345,0)</f>
        <v>0</v>
      </c>
    </row>
    <row r="1346" spans="1:13" ht="132" hidden="1" customHeight="1">
      <c r="A1346" s="110">
        <v>9</v>
      </c>
      <c r="B1346" s="964" t="s">
        <v>876</v>
      </c>
      <c r="C1346" s="964"/>
      <c r="D1346" s="964"/>
      <c r="E1346" s="964"/>
      <c r="F1346" s="964"/>
      <c r="G1346" s="964"/>
      <c r="H1346" s="964"/>
      <c r="I1346" s="183"/>
      <c r="J1346" s="186"/>
      <c r="K1346" s="110"/>
      <c r="L1346" s="110"/>
      <c r="M1346" s="139"/>
    </row>
    <row r="1347" spans="1:13" s="148" customFormat="1" ht="16.5" hidden="1" customHeight="1">
      <c r="A1347" s="110"/>
      <c r="B1347" s="149"/>
      <c r="C1347" s="150">
        <v>1</v>
      </c>
      <c r="D1347" s="151" t="s">
        <v>268</v>
      </c>
      <c r="E1347" s="152">
        <v>1</v>
      </c>
      <c r="F1347" s="161">
        <v>3.65</v>
      </c>
      <c r="G1347" s="153">
        <v>0</v>
      </c>
      <c r="H1347" s="153">
        <v>0.9</v>
      </c>
      <c r="I1347" s="185">
        <f>ROUND(IF(AND(F1347:H1347),C1347*E1347*F1347*G1347*H1347,IF(AND(F1347,G1347),C1347*E1347*F1347*G1347,IF(AND(F1347,H1347),C1347*E1347*F1347*H1347,IF(AND(G1347,H1347),C1347*E1347*G1347*H1347,IF(F1347,C1347*E1347*F1347,IF(G1347,C1347*E1347*G1347,IF(H1347,C1347*E1347*H1347,C1347*E1347))))))),2)</f>
        <v>3.29</v>
      </c>
      <c r="J1347" s="195" t="s">
        <v>102</v>
      </c>
      <c r="K1347" s="147"/>
      <c r="L1347" s="110"/>
      <c r="M1347" s="147"/>
    </row>
    <row r="1348" spans="1:13" s="148" customFormat="1" ht="16.5" hidden="1" customHeight="1">
      <c r="A1348" s="110"/>
      <c r="B1348" s="149"/>
      <c r="C1348" s="150">
        <v>1</v>
      </c>
      <c r="D1348" s="151" t="s">
        <v>268</v>
      </c>
      <c r="E1348" s="152">
        <v>1</v>
      </c>
      <c r="F1348" s="161">
        <v>11.15</v>
      </c>
      <c r="G1348" s="153">
        <v>0</v>
      </c>
      <c r="H1348" s="153">
        <v>0.9</v>
      </c>
      <c r="I1348" s="185">
        <f>ROUND(IF(AND(F1348:H1348),C1348*E1348*F1348*G1348*H1348,IF(AND(F1348,G1348),C1348*E1348*F1348*G1348,IF(AND(F1348,H1348),C1348*E1348*F1348*H1348,IF(AND(G1348,H1348),C1348*E1348*G1348*H1348,IF(F1348,C1348*E1348*F1348,IF(G1348,C1348*E1348*G1348,IF(H1348,C1348*E1348*H1348,C1348*E1348))))))),2)</f>
        <v>10.039999999999999</v>
      </c>
      <c r="J1348" s="195" t="s">
        <v>102</v>
      </c>
      <c r="K1348" s="147"/>
      <c r="L1348" s="110"/>
      <c r="M1348" s="147"/>
    </row>
    <row r="1349" spans="1:13" s="148" customFormat="1" ht="16.5" hidden="1" customHeight="1">
      <c r="A1349" s="110"/>
      <c r="B1349" s="149"/>
      <c r="C1349" s="150">
        <v>1</v>
      </c>
      <c r="D1349" s="151" t="s">
        <v>268</v>
      </c>
      <c r="E1349" s="152">
        <v>1</v>
      </c>
      <c r="F1349" s="161">
        <v>6.9</v>
      </c>
      <c r="G1349" s="153">
        <v>0</v>
      </c>
      <c r="H1349" s="153">
        <v>0.9</v>
      </c>
      <c r="I1349" s="185">
        <f t="shared" ref="I1349:I1350" si="100">ROUND(IF(AND(F1349:H1349),C1349*E1349*F1349*G1349*H1349,IF(AND(F1349,G1349),C1349*E1349*F1349*G1349,IF(AND(F1349,H1349),C1349*E1349*F1349*H1349,IF(AND(G1349,H1349),C1349*E1349*G1349*H1349,IF(F1349,C1349*E1349*F1349,IF(G1349,C1349*E1349*G1349,IF(H1349,C1349*E1349*H1349,C1349*E1349))))))),2)</f>
        <v>6.21</v>
      </c>
      <c r="J1349" s="195" t="s">
        <v>102</v>
      </c>
      <c r="K1349" s="147"/>
      <c r="L1349" s="110"/>
      <c r="M1349" s="147"/>
    </row>
    <row r="1350" spans="1:13" s="148" customFormat="1" ht="16.5" hidden="1" customHeight="1">
      <c r="A1350" s="110"/>
      <c r="B1350" s="149"/>
      <c r="C1350" s="150">
        <v>1</v>
      </c>
      <c r="D1350" s="151" t="s">
        <v>268</v>
      </c>
      <c r="E1350" s="152">
        <v>1</v>
      </c>
      <c r="F1350" s="161">
        <v>4.5</v>
      </c>
      <c r="G1350" s="153">
        <v>0</v>
      </c>
      <c r="H1350" s="153">
        <v>0.9</v>
      </c>
      <c r="I1350" s="185">
        <f t="shared" si="100"/>
        <v>4.05</v>
      </c>
      <c r="J1350" s="195" t="s">
        <v>102</v>
      </c>
      <c r="K1350" s="147"/>
      <c r="L1350" s="110"/>
      <c r="M1350" s="147"/>
    </row>
    <row r="1351" spans="1:13" s="148" customFormat="1" ht="16.5" hidden="1" customHeight="1">
      <c r="A1351" s="110"/>
      <c r="B1351" s="149"/>
      <c r="C1351" s="150"/>
      <c r="D1351" s="151"/>
      <c r="E1351" s="152"/>
      <c r="F1351" s="161"/>
      <c r="G1351" s="153"/>
      <c r="H1351" s="153"/>
      <c r="I1351" s="185"/>
      <c r="J1351" s="195"/>
      <c r="K1351" s="147"/>
      <c r="L1351" s="110"/>
      <c r="M1351" s="147"/>
    </row>
    <row r="1352" spans="1:13" hidden="1">
      <c r="A1352" s="110"/>
      <c r="B1352" s="147"/>
      <c r="C1352" s="154"/>
      <c r="D1352" s="155"/>
      <c r="E1352" s="156"/>
      <c r="F1352" s="157"/>
      <c r="G1352" s="158"/>
      <c r="H1352" s="110"/>
      <c r="I1352" s="185"/>
      <c r="J1352" s="195" t="s">
        <v>102</v>
      </c>
      <c r="K1352" s="12">
        <f>'DATA 2025-26'!G372</f>
        <v>4307.82</v>
      </c>
      <c r="L1352" s="12" t="s">
        <v>270</v>
      </c>
      <c r="M1352" s="11">
        <f>ROUND(I1352*K1352,0)</f>
        <v>0</v>
      </c>
    </row>
    <row r="1353" spans="1:13" ht="30.75" hidden="1" customHeight="1">
      <c r="A1353" s="110">
        <v>8</v>
      </c>
      <c r="B1353" s="964" t="s">
        <v>909</v>
      </c>
      <c r="C1353" s="964"/>
      <c r="D1353" s="964"/>
      <c r="E1353" s="964"/>
      <c r="F1353" s="964"/>
      <c r="G1353" s="964"/>
      <c r="H1353" s="964"/>
      <c r="I1353" s="183"/>
      <c r="J1353" s="186"/>
      <c r="K1353" s="110"/>
      <c r="L1353" s="110"/>
      <c r="M1353" s="139"/>
    </row>
    <row r="1354" spans="1:13" s="148" customFormat="1" ht="16.5" hidden="1" customHeight="1">
      <c r="A1354" s="110"/>
      <c r="B1354" s="147" t="s">
        <v>1316</v>
      </c>
      <c r="C1354" s="141"/>
      <c r="D1354" s="142"/>
      <c r="E1354" s="143"/>
      <c r="F1354" s="144"/>
      <c r="G1354" s="144"/>
      <c r="H1354" s="145"/>
      <c r="I1354" s="184"/>
      <c r="J1354" s="195"/>
      <c r="K1354" s="147"/>
      <c r="L1354" s="110"/>
      <c r="M1354" s="147"/>
    </row>
    <row r="1355" spans="1:13" s="148" customFormat="1" ht="16.5" hidden="1" customHeight="1">
      <c r="A1355" s="110"/>
      <c r="B1355" s="140" t="s">
        <v>571</v>
      </c>
      <c r="C1355" s="141"/>
      <c r="D1355" s="142"/>
      <c r="E1355" s="143"/>
      <c r="F1355" s="144"/>
      <c r="G1355" s="144"/>
      <c r="H1355" s="145"/>
      <c r="I1355" s="184"/>
      <c r="J1355" s="195"/>
      <c r="K1355" s="147"/>
      <c r="L1355" s="110"/>
      <c r="M1355" s="147"/>
    </row>
    <row r="1356" spans="1:13" s="148" customFormat="1" ht="16.5" hidden="1" customHeight="1">
      <c r="A1356" s="110"/>
      <c r="B1356" s="149" t="s">
        <v>566</v>
      </c>
      <c r="C1356" s="150">
        <v>1</v>
      </c>
      <c r="D1356" s="151" t="s">
        <v>268</v>
      </c>
      <c r="E1356" s="152">
        <v>4</v>
      </c>
      <c r="F1356" s="161">
        <v>5.5</v>
      </c>
      <c r="G1356" s="153">
        <v>0</v>
      </c>
      <c r="H1356" s="153">
        <v>0</v>
      </c>
      <c r="I1356" s="185">
        <f>ROUND(IF(AND(F1356:H1356),C1356*E1356*F1356*G1356*H1356,IF(AND(F1356,G1356),C1356*E1356*F1356*G1356,IF(AND(F1356,H1356),C1356*E1356*F1356*H1356,IF(AND(G1356,H1356),C1356*E1356*G1356*H1356,IF(F1356,C1356*E1356*F1356,IF(G1356,C1356*E1356*G1356,IF(H1356,C1356*E1356*H1356,C1356*E1356))))))),2)</f>
        <v>22</v>
      </c>
      <c r="J1356" s="195" t="s">
        <v>274</v>
      </c>
      <c r="K1356" s="147"/>
      <c r="L1356" s="110"/>
      <c r="M1356" s="147"/>
    </row>
    <row r="1357" spans="1:13" s="148" customFormat="1" ht="16.5" hidden="1" customHeight="1">
      <c r="A1357" s="110"/>
      <c r="B1357" s="149" t="s">
        <v>887</v>
      </c>
      <c r="C1357" s="150">
        <v>1</v>
      </c>
      <c r="D1357" s="151" t="s">
        <v>268</v>
      </c>
      <c r="E1357" s="152">
        <v>10</v>
      </c>
      <c r="F1357" s="161">
        <v>1.35</v>
      </c>
      <c r="G1357" s="153">
        <v>0</v>
      </c>
      <c r="H1357" s="153">
        <v>0</v>
      </c>
      <c r="I1357" s="185">
        <f>ROUND(IF(AND(F1357:H1357),C1357*E1357*F1357*G1357*H1357,IF(AND(F1357,G1357),C1357*E1357*F1357*G1357,IF(AND(F1357,H1357),C1357*E1357*F1357*H1357,IF(AND(G1357,H1357),C1357*E1357*G1357*H1357,IF(F1357,C1357*E1357*F1357,IF(G1357,C1357*E1357*G1357,IF(H1357,C1357*E1357*H1357,C1357*E1357))))))),2)</f>
        <v>13.5</v>
      </c>
      <c r="J1357" s="195" t="s">
        <v>274</v>
      </c>
      <c r="K1357" s="147"/>
      <c r="L1357" s="110"/>
      <c r="M1357" s="147"/>
    </row>
    <row r="1358" spans="1:13" s="148" customFormat="1" ht="16.5" hidden="1" customHeight="1">
      <c r="A1358" s="110"/>
      <c r="B1358" s="149" t="s">
        <v>888</v>
      </c>
      <c r="C1358" s="150">
        <v>1</v>
      </c>
      <c r="D1358" s="151" t="s">
        <v>268</v>
      </c>
      <c r="E1358" s="152">
        <v>9</v>
      </c>
      <c r="F1358" s="161">
        <v>1.35</v>
      </c>
      <c r="G1358" s="153">
        <v>0</v>
      </c>
      <c r="H1358" s="153">
        <v>0</v>
      </c>
      <c r="I1358" s="185">
        <f>ROUND(IF(AND(F1358:H1358),C1358*E1358*F1358*G1358*H1358,IF(AND(F1358,G1358),C1358*E1358*F1358*G1358,IF(AND(F1358,H1358),C1358*E1358*F1358*H1358,IF(AND(G1358,H1358),C1358*E1358*G1358*H1358,IF(F1358,C1358*E1358*F1358,IF(G1358,C1358*E1358*G1358,IF(H1358,C1358*E1358*H1358,C1358*E1358))))))),2)</f>
        <v>12.15</v>
      </c>
      <c r="J1358" s="195" t="s">
        <v>274</v>
      </c>
      <c r="K1358" s="147"/>
      <c r="L1358" s="110"/>
      <c r="M1358" s="147"/>
    </row>
    <row r="1359" spans="1:13" s="148" customFormat="1" ht="16.5" hidden="1" customHeight="1">
      <c r="A1359" s="110"/>
      <c r="B1359" s="140" t="s">
        <v>572</v>
      </c>
      <c r="C1359" s="141"/>
      <c r="D1359" s="142"/>
      <c r="E1359" s="143"/>
      <c r="F1359" s="144"/>
      <c r="G1359" s="144"/>
      <c r="H1359" s="145"/>
      <c r="I1359" s="184"/>
      <c r="J1359" s="195"/>
      <c r="K1359" s="147"/>
      <c r="L1359" s="110"/>
      <c r="M1359" s="147"/>
    </row>
    <row r="1360" spans="1:13" s="148" customFormat="1" ht="16.5" hidden="1" customHeight="1">
      <c r="A1360" s="110"/>
      <c r="B1360" s="149" t="s">
        <v>887</v>
      </c>
      <c r="C1360" s="150">
        <v>1</v>
      </c>
      <c r="D1360" s="151" t="s">
        <v>268</v>
      </c>
      <c r="E1360" s="152">
        <v>11</v>
      </c>
      <c r="F1360" s="161">
        <v>1.35</v>
      </c>
      <c r="G1360" s="153">
        <v>0</v>
      </c>
      <c r="H1360" s="153">
        <v>0</v>
      </c>
      <c r="I1360" s="185">
        <f>ROUND(IF(AND(F1360:H1360),C1360*E1360*F1360*G1360*H1360,IF(AND(F1360,G1360),C1360*E1360*F1360*G1360,IF(AND(F1360,H1360),C1360*E1360*F1360*H1360,IF(AND(G1360,H1360),C1360*E1360*G1360*H1360,IF(F1360,C1360*E1360*F1360,IF(G1360,C1360*E1360*G1360,IF(H1360,C1360*E1360*H1360,C1360*E1360))))))),2)</f>
        <v>14.85</v>
      </c>
      <c r="J1360" s="195" t="s">
        <v>274</v>
      </c>
      <c r="K1360" s="147"/>
      <c r="L1360" s="110"/>
      <c r="M1360" s="147"/>
    </row>
    <row r="1361" spans="1:13" s="148" customFormat="1" ht="16.5" hidden="1" customHeight="1">
      <c r="A1361" s="110"/>
      <c r="B1361" s="149" t="s">
        <v>888</v>
      </c>
      <c r="C1361" s="150">
        <v>1</v>
      </c>
      <c r="D1361" s="151" t="s">
        <v>268</v>
      </c>
      <c r="E1361" s="152">
        <v>11</v>
      </c>
      <c r="F1361" s="161">
        <v>1.35</v>
      </c>
      <c r="G1361" s="153">
        <v>0</v>
      </c>
      <c r="H1361" s="153">
        <v>0</v>
      </c>
      <c r="I1361" s="185">
        <f>ROUND(IF(AND(F1361:H1361),C1361*E1361*F1361*G1361*H1361,IF(AND(F1361,G1361),C1361*E1361*F1361*G1361,IF(AND(F1361,H1361),C1361*E1361*F1361*H1361,IF(AND(G1361,H1361),C1361*E1361*G1361*H1361,IF(F1361,C1361*E1361*F1361,IF(G1361,C1361*E1361*G1361,IF(H1361,C1361*E1361*H1361,C1361*E1361))))))),2)</f>
        <v>14.85</v>
      </c>
      <c r="J1361" s="195" t="s">
        <v>274</v>
      </c>
      <c r="K1361" s="147"/>
      <c r="L1361" s="110"/>
      <c r="M1361" s="147"/>
    </row>
    <row r="1362" spans="1:13" s="148" customFormat="1" ht="16.5" hidden="1" customHeight="1">
      <c r="A1362" s="110"/>
      <c r="B1362" s="149"/>
      <c r="C1362" s="150"/>
      <c r="D1362" s="151"/>
      <c r="E1362" s="152"/>
      <c r="F1362" s="161"/>
      <c r="G1362" s="153"/>
      <c r="H1362" s="153"/>
      <c r="I1362" s="185"/>
      <c r="J1362" s="195"/>
      <c r="K1362" s="147"/>
      <c r="L1362" s="110"/>
      <c r="M1362" s="147"/>
    </row>
    <row r="1363" spans="1:13" hidden="1">
      <c r="A1363" s="110"/>
      <c r="B1363" s="147"/>
      <c r="C1363" s="154"/>
      <c r="D1363" s="155"/>
      <c r="E1363" s="156"/>
      <c r="F1363" s="157"/>
      <c r="G1363" s="158"/>
      <c r="H1363" s="110"/>
      <c r="I1363" s="185"/>
      <c r="J1363" s="195" t="s">
        <v>274</v>
      </c>
      <c r="K1363" s="12">
        <f>'DATA 2025-26'!G669</f>
        <v>556</v>
      </c>
      <c r="L1363" s="12" t="s">
        <v>276</v>
      </c>
      <c r="M1363" s="11">
        <f>ROUND(I1363*K1363,0)</f>
        <v>0</v>
      </c>
    </row>
    <row r="1364" spans="1:13" hidden="1">
      <c r="A1364" s="110"/>
      <c r="B1364" s="147" t="s">
        <v>1838</v>
      </c>
      <c r="C1364" s="154"/>
      <c r="D1364" s="155"/>
      <c r="E1364" s="156"/>
      <c r="F1364" s="157"/>
      <c r="G1364" s="158"/>
      <c r="H1364" s="110"/>
      <c r="I1364" s="185"/>
      <c r="J1364" s="195"/>
      <c r="K1364" s="12"/>
      <c r="L1364" s="12"/>
      <c r="M1364" s="11"/>
    </row>
    <row r="1365" spans="1:13" ht="63.75" hidden="1" customHeight="1">
      <c r="A1365" s="110">
        <v>1</v>
      </c>
      <c r="B1365" s="964" t="s">
        <v>303</v>
      </c>
      <c r="C1365" s="964"/>
      <c r="D1365" s="964"/>
      <c r="E1365" s="964"/>
      <c r="F1365" s="964"/>
      <c r="G1365" s="964"/>
      <c r="H1365" s="964"/>
      <c r="I1365" s="183"/>
      <c r="J1365" s="186"/>
      <c r="K1365" s="110"/>
      <c r="L1365" s="110"/>
      <c r="M1365" s="139"/>
    </row>
    <row r="1366" spans="1:13" s="148" customFormat="1" ht="16.5" hidden="1" customHeight="1">
      <c r="A1366" s="110"/>
      <c r="B1366" s="147" t="s">
        <v>1408</v>
      </c>
      <c r="C1366" s="141"/>
      <c r="D1366" s="142"/>
      <c r="E1366" s="143"/>
      <c r="F1366" s="144"/>
      <c r="G1366" s="144"/>
      <c r="H1366" s="145"/>
      <c r="I1366" s="184"/>
      <c r="J1366" s="146"/>
      <c r="K1366" s="147"/>
      <c r="L1366" s="110"/>
      <c r="M1366" s="147"/>
    </row>
    <row r="1367" spans="1:13" s="148" customFormat="1" ht="16.5" hidden="1" customHeight="1">
      <c r="A1367" s="110"/>
      <c r="B1367" s="149"/>
      <c r="C1367" s="150">
        <v>1</v>
      </c>
      <c r="D1367" s="151" t="s">
        <v>268</v>
      </c>
      <c r="E1367" s="152">
        <v>1</v>
      </c>
      <c r="F1367" s="153">
        <v>40</v>
      </c>
      <c r="G1367" s="153">
        <v>0</v>
      </c>
      <c r="H1367" s="153">
        <v>0</v>
      </c>
      <c r="I1367" s="185">
        <f>ROUND(IF(AND(F1367:H1367),C1367*E1367*F1367*G1367*H1367,IF(AND(F1367,G1367),C1367*E1367*F1367*G1367,IF(AND(F1367,H1367),C1367*E1367*F1367*H1367,IF(AND(G1367,H1367),C1367*E1367*G1367*H1367,IF(F1367,C1367*E1367*F1367,IF(G1367,C1367*E1367*G1367,IF(H1367,C1367*E1367*H1367,C1367*E1367))))))),2)</f>
        <v>40</v>
      </c>
      <c r="J1367" s="146" t="s">
        <v>274</v>
      </c>
      <c r="K1367" s="147"/>
      <c r="L1367" s="110"/>
      <c r="M1367" s="147"/>
    </row>
    <row r="1368" spans="1:13" hidden="1">
      <c r="A1368" s="110"/>
      <c r="B1368" s="147"/>
      <c r="C1368" s="154"/>
      <c r="D1368" s="155"/>
      <c r="E1368" s="156"/>
      <c r="F1368" s="157"/>
      <c r="G1368" s="158"/>
      <c r="H1368" s="110"/>
      <c r="I1368" s="185"/>
      <c r="J1368" s="146" t="s">
        <v>274</v>
      </c>
      <c r="K1368" s="12">
        <f>'sani data 2024-25'!G87</f>
        <v>291</v>
      </c>
      <c r="L1368" s="12" t="s">
        <v>276</v>
      </c>
      <c r="M1368" s="11">
        <f>ROUND(I1368*K1368,0)</f>
        <v>0</v>
      </c>
    </row>
    <row r="1369" spans="1:13" ht="63.75" hidden="1" customHeight="1">
      <c r="A1369" s="110">
        <v>29</v>
      </c>
      <c r="B1369" s="964" t="s">
        <v>304</v>
      </c>
      <c r="C1369" s="964"/>
      <c r="D1369" s="964"/>
      <c r="E1369" s="964"/>
      <c r="F1369" s="964"/>
      <c r="G1369" s="964"/>
      <c r="H1369" s="964"/>
      <c r="I1369" s="183"/>
      <c r="J1369" s="186"/>
      <c r="K1369" s="110"/>
      <c r="L1369" s="110"/>
      <c r="M1369" s="139"/>
    </row>
    <row r="1370" spans="1:13" s="148" customFormat="1" ht="16.5" hidden="1" customHeight="1">
      <c r="A1370" s="110"/>
      <c r="B1370" s="149"/>
      <c r="C1370" s="150">
        <v>1</v>
      </c>
      <c r="D1370" s="151" t="s">
        <v>268</v>
      </c>
      <c r="E1370" s="152">
        <v>1</v>
      </c>
      <c r="F1370" s="153">
        <v>50</v>
      </c>
      <c r="G1370" s="153">
        <v>0</v>
      </c>
      <c r="H1370" s="153">
        <v>0</v>
      </c>
      <c r="I1370" s="185">
        <f>ROUND(IF(AND(F1370:H1370),C1370*E1370*F1370*G1370*H1370,IF(AND(F1370,G1370),C1370*E1370*F1370*G1370,IF(AND(F1370,H1370),C1370*E1370*F1370*H1370,IF(AND(G1370,H1370),C1370*E1370*G1370*H1370,IF(F1370,C1370*E1370*F1370,IF(G1370,C1370*E1370*G1370,IF(H1370,C1370*E1370*H1370,C1370*E1370))))))),2)</f>
        <v>50</v>
      </c>
      <c r="J1370" s="146" t="s">
        <v>274</v>
      </c>
      <c r="K1370" s="147"/>
      <c r="L1370" s="110"/>
      <c r="M1370" s="147"/>
    </row>
    <row r="1371" spans="1:13" s="148" customFormat="1" ht="16.5" hidden="1" customHeight="1">
      <c r="A1371" s="110"/>
      <c r="B1371" s="149"/>
      <c r="C1371" s="150"/>
      <c r="D1371" s="151"/>
      <c r="E1371" s="152"/>
      <c r="F1371" s="153"/>
      <c r="G1371" s="153"/>
      <c r="H1371" s="153"/>
      <c r="I1371" s="185"/>
      <c r="J1371" s="146"/>
      <c r="K1371" s="147"/>
      <c r="L1371" s="110"/>
      <c r="M1371" s="147"/>
    </row>
    <row r="1372" spans="1:13" hidden="1">
      <c r="A1372" s="110"/>
      <c r="B1372" s="147"/>
      <c r="C1372" s="154"/>
      <c r="D1372" s="155"/>
      <c r="E1372" s="156"/>
      <c r="F1372" s="157"/>
      <c r="G1372" s="158"/>
      <c r="H1372" s="110"/>
      <c r="I1372" s="185"/>
      <c r="J1372" s="146" t="s">
        <v>274</v>
      </c>
      <c r="K1372" s="12">
        <f>'sani data 2024-25'!G84</f>
        <v>224</v>
      </c>
      <c r="L1372" s="12" t="s">
        <v>276</v>
      </c>
      <c r="M1372" s="11">
        <f>ROUND(I1372*K1372,0)</f>
        <v>0</v>
      </c>
    </row>
    <row r="1373" spans="1:13" ht="63.75" hidden="1" customHeight="1">
      <c r="A1373" s="110">
        <v>1</v>
      </c>
      <c r="B1373" s="964" t="s">
        <v>1341</v>
      </c>
      <c r="C1373" s="964"/>
      <c r="D1373" s="964"/>
      <c r="E1373" s="964"/>
      <c r="F1373" s="964"/>
      <c r="G1373" s="964"/>
      <c r="H1373" s="964"/>
      <c r="I1373" s="183"/>
      <c r="J1373" s="186"/>
      <c r="K1373" s="110"/>
      <c r="L1373" s="110"/>
      <c r="M1373" s="139"/>
    </row>
    <row r="1374" spans="1:13" s="148" customFormat="1" ht="16.5" hidden="1" customHeight="1">
      <c r="A1374" s="110"/>
      <c r="B1374" s="147" t="s">
        <v>1338</v>
      </c>
      <c r="C1374" s="141"/>
      <c r="D1374" s="142"/>
      <c r="E1374" s="143"/>
      <c r="F1374" s="144"/>
      <c r="G1374" s="144"/>
      <c r="H1374" s="145"/>
      <c r="I1374" s="184"/>
      <c r="J1374" s="146"/>
      <c r="K1374" s="147"/>
      <c r="L1374" s="110"/>
      <c r="M1374" s="147"/>
    </row>
    <row r="1375" spans="1:13" s="148" customFormat="1" ht="16.5" hidden="1" customHeight="1">
      <c r="A1375" s="110"/>
      <c r="B1375" s="149" t="s">
        <v>1339</v>
      </c>
      <c r="C1375" s="150">
        <v>1</v>
      </c>
      <c r="D1375" s="151" t="s">
        <v>268</v>
      </c>
      <c r="E1375" s="152">
        <v>1</v>
      </c>
      <c r="F1375" s="153">
        <v>9.1</v>
      </c>
      <c r="G1375" s="153">
        <v>0</v>
      </c>
      <c r="H1375" s="153">
        <v>0</v>
      </c>
      <c r="I1375" s="185">
        <f>ROUND(IF(AND(F1375:H1375),C1375*E1375*F1375*G1375*H1375,IF(AND(F1375,G1375),C1375*E1375*F1375*G1375,IF(AND(F1375,H1375),C1375*E1375*F1375*H1375,IF(AND(G1375,H1375),C1375*E1375*G1375*H1375,IF(F1375,C1375*E1375*F1375,IF(G1375,C1375*E1375*G1375,IF(H1375,C1375*E1375*H1375,C1375*E1375))))))),2)</f>
        <v>9.1</v>
      </c>
      <c r="J1375" s="146" t="s">
        <v>274</v>
      </c>
      <c r="K1375" s="147"/>
      <c r="L1375" s="110"/>
      <c r="M1375" s="147"/>
    </row>
    <row r="1376" spans="1:13" s="148" customFormat="1" ht="16.5" hidden="1" customHeight="1">
      <c r="A1376" s="110"/>
      <c r="B1376" s="149" t="s">
        <v>1340</v>
      </c>
      <c r="C1376" s="150">
        <v>1</v>
      </c>
      <c r="D1376" s="151" t="s">
        <v>268</v>
      </c>
      <c r="E1376" s="152">
        <v>1</v>
      </c>
      <c r="F1376" s="153">
        <v>5.5</v>
      </c>
      <c r="G1376" s="153">
        <v>0</v>
      </c>
      <c r="H1376" s="153">
        <v>0</v>
      </c>
      <c r="I1376" s="185">
        <f>ROUND(IF(AND(F1376:H1376),C1376*E1376*F1376*G1376*H1376,IF(AND(F1376,G1376),C1376*E1376*F1376*G1376,IF(AND(F1376,H1376),C1376*E1376*F1376*H1376,IF(AND(G1376,H1376),C1376*E1376*G1376*H1376,IF(F1376,C1376*E1376*F1376,IF(G1376,C1376*E1376*G1376,IF(H1376,C1376*E1376*H1376,C1376*E1376))))))),2)</f>
        <v>5.5</v>
      </c>
      <c r="J1376" s="146" t="s">
        <v>274</v>
      </c>
      <c r="K1376" s="147"/>
      <c r="L1376" s="110"/>
      <c r="M1376" s="147"/>
    </row>
    <row r="1377" spans="1:13" s="148" customFormat="1" ht="16.5" hidden="1" customHeight="1">
      <c r="A1377" s="110"/>
      <c r="B1377" s="149"/>
      <c r="C1377" s="150"/>
      <c r="D1377" s="151"/>
      <c r="E1377" s="152"/>
      <c r="F1377" s="153"/>
      <c r="G1377" s="153"/>
      <c r="H1377" s="153"/>
      <c r="I1377" s="185"/>
      <c r="J1377" s="146"/>
      <c r="K1377" s="147"/>
      <c r="L1377" s="110"/>
      <c r="M1377" s="147"/>
    </row>
    <row r="1378" spans="1:13" hidden="1">
      <c r="A1378" s="110"/>
      <c r="B1378" s="147"/>
      <c r="C1378" s="154"/>
      <c r="D1378" s="155"/>
      <c r="E1378" s="156"/>
      <c r="F1378" s="157"/>
      <c r="G1378" s="158"/>
      <c r="H1378" s="110"/>
      <c r="I1378" s="185"/>
      <c r="J1378" s="146" t="s">
        <v>274</v>
      </c>
      <c r="K1378" s="12">
        <f>'sani data 2024-25'!G81</f>
        <v>186</v>
      </c>
      <c r="L1378" s="12" t="s">
        <v>276</v>
      </c>
      <c r="M1378" s="11">
        <f>ROUND(I1378*K1378,0)</f>
        <v>0</v>
      </c>
    </row>
    <row r="1379" spans="1:13" ht="41.25" hidden="1" customHeight="1">
      <c r="A1379" s="110">
        <v>2</v>
      </c>
      <c r="B1379" s="964" t="s">
        <v>1044</v>
      </c>
      <c r="C1379" s="964"/>
      <c r="D1379" s="964"/>
      <c r="E1379" s="964"/>
      <c r="F1379" s="964"/>
      <c r="G1379" s="964"/>
      <c r="H1379" s="964"/>
      <c r="I1379" s="183"/>
      <c r="J1379" s="186"/>
      <c r="K1379" s="110"/>
      <c r="L1379" s="110"/>
      <c r="M1379" s="139"/>
    </row>
    <row r="1380" spans="1:13" s="148" customFormat="1" ht="16.5" hidden="1" customHeight="1">
      <c r="A1380" s="110"/>
      <c r="B1380" s="147" t="s">
        <v>1025</v>
      </c>
      <c r="C1380" s="141"/>
      <c r="D1380" s="142"/>
      <c r="E1380" s="143"/>
      <c r="F1380" s="144"/>
      <c r="G1380" s="144"/>
      <c r="H1380" s="145"/>
      <c r="I1380" s="184"/>
      <c r="J1380" s="146"/>
      <c r="K1380" s="147"/>
      <c r="L1380" s="110"/>
      <c r="M1380" s="147"/>
    </row>
    <row r="1381" spans="1:13" s="148" customFormat="1" ht="16.5" hidden="1" customHeight="1">
      <c r="A1381" s="110"/>
      <c r="B1381" s="149"/>
      <c r="C1381" s="150">
        <v>1</v>
      </c>
      <c r="D1381" s="151" t="s">
        <v>268</v>
      </c>
      <c r="E1381" s="152">
        <v>1</v>
      </c>
      <c r="F1381" s="153">
        <v>85</v>
      </c>
      <c r="G1381" s="153">
        <v>0</v>
      </c>
      <c r="H1381" s="153">
        <v>0</v>
      </c>
      <c r="I1381" s="185">
        <f>ROUND(IF(AND(F1381:H1381),C1381*E1381*F1381*G1381*H1381,IF(AND(F1381,G1381),C1381*E1381*F1381*G1381,IF(AND(F1381,H1381),C1381*E1381*F1381*H1381,IF(AND(G1381,H1381),C1381*E1381*G1381*H1381,IF(F1381,C1381*E1381*F1381,IF(G1381,C1381*E1381*G1381,IF(H1381,C1381*E1381*H1381,C1381*E1381))))))),2)</f>
        <v>85</v>
      </c>
      <c r="J1381" s="146" t="s">
        <v>274</v>
      </c>
      <c r="K1381" s="147"/>
      <c r="L1381" s="110"/>
      <c r="M1381" s="147"/>
    </row>
    <row r="1382" spans="1:13" hidden="1">
      <c r="A1382" s="110"/>
      <c r="B1382" s="147"/>
      <c r="C1382" s="154"/>
      <c r="D1382" s="155"/>
      <c r="E1382" s="156"/>
      <c r="F1382" s="157"/>
      <c r="G1382" s="158"/>
      <c r="H1382" s="110"/>
      <c r="I1382" s="185"/>
      <c r="J1382" s="146" t="s">
        <v>274</v>
      </c>
      <c r="K1382" s="12">
        <f>'sani data 2024-25'!G91</f>
        <v>25</v>
      </c>
      <c r="L1382" s="12" t="s">
        <v>276</v>
      </c>
      <c r="M1382" s="11">
        <f>ROUND(I1382*K1382,0)</f>
        <v>0</v>
      </c>
    </row>
    <row r="1383" spans="1:13" ht="63.75" hidden="1" customHeight="1">
      <c r="A1383" s="110">
        <v>30</v>
      </c>
      <c r="B1383" s="964" t="s">
        <v>275</v>
      </c>
      <c r="C1383" s="964"/>
      <c r="D1383" s="964"/>
      <c r="E1383" s="964"/>
      <c r="F1383" s="964"/>
      <c r="G1383" s="964"/>
      <c r="H1383" s="964"/>
      <c r="I1383" s="183"/>
      <c r="J1383" s="186"/>
      <c r="K1383" s="110"/>
      <c r="L1383" s="110"/>
      <c r="M1383" s="139"/>
    </row>
    <row r="1384" spans="1:13" s="148" customFormat="1" ht="16.5" hidden="1" customHeight="1">
      <c r="A1384" s="110"/>
      <c r="B1384" s="149" t="s">
        <v>1374</v>
      </c>
      <c r="C1384" s="150">
        <v>1</v>
      </c>
      <c r="D1384" s="151" t="s">
        <v>268</v>
      </c>
      <c r="E1384" s="152">
        <v>1</v>
      </c>
      <c r="F1384" s="153">
        <v>50</v>
      </c>
      <c r="G1384" s="153">
        <v>0</v>
      </c>
      <c r="H1384" s="153">
        <v>0</v>
      </c>
      <c r="I1384" s="185">
        <f>ROUND(IF(AND(F1384:H1384),C1384*E1384*F1384*G1384*H1384,IF(AND(F1384,G1384),C1384*E1384*F1384*G1384,IF(AND(F1384,H1384),C1384*E1384*F1384*H1384,IF(AND(G1384,H1384),C1384*E1384*G1384*H1384,IF(F1384,C1384*E1384*F1384,IF(G1384,C1384*E1384*G1384,IF(H1384,C1384*E1384*H1384,C1384*E1384))))))),2)</f>
        <v>50</v>
      </c>
      <c r="J1384" s="146" t="s">
        <v>274</v>
      </c>
      <c r="K1384" s="147"/>
      <c r="L1384" s="110"/>
      <c r="M1384" s="147"/>
    </row>
    <row r="1385" spans="1:13" s="148" customFormat="1" ht="16.5" hidden="1" customHeight="1">
      <c r="A1385" s="110"/>
      <c r="B1385" s="149"/>
      <c r="C1385" s="150"/>
      <c r="D1385" s="151"/>
      <c r="E1385" s="152"/>
      <c r="F1385" s="153"/>
      <c r="G1385" s="153"/>
      <c r="H1385" s="153"/>
      <c r="I1385" s="185"/>
      <c r="J1385" s="146"/>
      <c r="K1385" s="147"/>
      <c r="L1385" s="110"/>
      <c r="M1385" s="147"/>
    </row>
    <row r="1386" spans="1:13" hidden="1">
      <c r="A1386" s="110"/>
      <c r="B1386" s="147"/>
      <c r="C1386" s="154"/>
      <c r="D1386" s="155"/>
      <c r="E1386" s="156"/>
      <c r="F1386" s="157"/>
      <c r="G1386" s="158"/>
      <c r="H1386" s="110"/>
      <c r="I1386" s="185"/>
      <c r="J1386" s="146" t="s">
        <v>274</v>
      </c>
      <c r="K1386" s="12">
        <f>'sani data 2024-25'!G95</f>
        <v>37</v>
      </c>
      <c r="L1386" s="12" t="s">
        <v>276</v>
      </c>
      <c r="M1386" s="11">
        <f>ROUND(I1386*K1386,0)</f>
        <v>0</v>
      </c>
    </row>
    <row r="1387" spans="1:13" ht="39.75" hidden="1" customHeight="1">
      <c r="A1387" s="110">
        <v>32</v>
      </c>
      <c r="B1387" s="964" t="s">
        <v>348</v>
      </c>
      <c r="C1387" s="964"/>
      <c r="D1387" s="964"/>
      <c r="E1387" s="964"/>
      <c r="F1387" s="964"/>
      <c r="G1387" s="964"/>
      <c r="H1387" s="964"/>
      <c r="I1387" s="183"/>
      <c r="J1387" s="186"/>
      <c r="K1387" s="110"/>
      <c r="L1387" s="110"/>
      <c r="M1387" s="139"/>
    </row>
    <row r="1388" spans="1:13" s="148" customFormat="1" ht="16.5" hidden="1" customHeight="1">
      <c r="A1388" s="110"/>
      <c r="B1388" s="149"/>
      <c r="C1388" s="150">
        <v>2</v>
      </c>
      <c r="D1388" s="151" t="s">
        <v>268</v>
      </c>
      <c r="E1388" s="152">
        <v>3</v>
      </c>
      <c r="F1388" s="153">
        <v>0</v>
      </c>
      <c r="G1388" s="153">
        <v>0</v>
      </c>
      <c r="H1388" s="153">
        <v>0</v>
      </c>
      <c r="I1388" s="327">
        <f>ROUND(IF(AND(F1388:H1388),C1388*E1388*F1388*G1388*H1388,IF(AND(F1388,G1388),C1388*E1388*F1388*G1388,IF(AND(F1388,H1388),C1388*E1388*F1388*H1388,IF(AND(G1388,H1388),C1388*E1388*G1388*H1388,IF(F1388,C1388*E1388*F1388,IF(G1388,C1388*E1388*G1388,IF(H1388,C1388*E1388*H1388,C1388*E1388))))))),2)</f>
        <v>6</v>
      </c>
      <c r="J1388" s="146" t="s">
        <v>114</v>
      </c>
      <c r="K1388" s="147"/>
      <c r="L1388" s="110"/>
      <c r="M1388" s="147"/>
    </row>
    <row r="1389" spans="1:13" s="148" customFormat="1" ht="16.5" hidden="1" customHeight="1">
      <c r="A1389" s="110"/>
      <c r="B1389" s="149"/>
      <c r="C1389" s="150"/>
      <c r="D1389" s="151"/>
      <c r="E1389" s="152"/>
      <c r="F1389" s="153"/>
      <c r="G1389" s="153"/>
      <c r="H1389" s="153"/>
      <c r="I1389" s="327"/>
      <c r="J1389" s="146"/>
      <c r="K1389" s="147"/>
      <c r="L1389" s="110"/>
      <c r="M1389" s="147"/>
    </row>
    <row r="1390" spans="1:13" hidden="1">
      <c r="A1390" s="110"/>
      <c r="B1390" s="147"/>
      <c r="C1390" s="154"/>
      <c r="D1390" s="155"/>
      <c r="E1390" s="156"/>
      <c r="F1390" s="157"/>
      <c r="G1390" s="158"/>
      <c r="H1390" s="110"/>
      <c r="I1390" s="327"/>
      <c r="J1390" s="146" t="s">
        <v>114</v>
      </c>
      <c r="K1390" s="12">
        <f>'sani data 2024-25'!G64</f>
        <v>391</v>
      </c>
      <c r="L1390" s="12" t="s">
        <v>271</v>
      </c>
      <c r="M1390" s="11">
        <f>ROUND(I1390*K1390,0)</f>
        <v>0</v>
      </c>
    </row>
    <row r="1391" spans="1:13" ht="28.5" hidden="1" customHeight="1">
      <c r="A1391" s="110">
        <v>4</v>
      </c>
      <c r="B1391" s="964" t="s">
        <v>674</v>
      </c>
      <c r="C1391" s="964"/>
      <c r="D1391" s="964"/>
      <c r="E1391" s="964"/>
      <c r="F1391" s="964"/>
      <c r="G1391" s="964"/>
      <c r="H1391" s="964"/>
      <c r="I1391" s="183"/>
      <c r="J1391" s="186"/>
      <c r="K1391" s="110"/>
      <c r="L1391" s="110"/>
      <c r="M1391" s="139"/>
    </row>
    <row r="1392" spans="1:13" s="148" customFormat="1" ht="16.5" hidden="1" customHeight="1">
      <c r="A1392" s="110"/>
      <c r="B1392" s="140" t="s">
        <v>596</v>
      </c>
      <c r="C1392" s="141"/>
      <c r="D1392" s="142"/>
      <c r="E1392" s="143"/>
      <c r="F1392" s="144"/>
      <c r="G1392" s="144"/>
      <c r="H1392" s="145"/>
      <c r="I1392" s="184"/>
      <c r="J1392" s="146"/>
      <c r="K1392" s="147"/>
      <c r="L1392" s="110"/>
      <c r="M1392" s="147"/>
    </row>
    <row r="1393" spans="1:13" s="148" customFormat="1" ht="16.5" hidden="1" customHeight="1">
      <c r="A1393" s="110"/>
      <c r="B1393" s="149"/>
      <c r="C1393" s="150">
        <v>1</v>
      </c>
      <c r="D1393" s="151" t="s">
        <v>268</v>
      </c>
      <c r="E1393" s="152">
        <v>2</v>
      </c>
      <c r="F1393" s="153">
        <f>I1387</f>
        <v>0</v>
      </c>
      <c r="G1393" s="153">
        <v>0</v>
      </c>
      <c r="H1393" s="153">
        <v>0</v>
      </c>
      <c r="I1393" s="185">
        <f>ROUND(IF(AND(F1393:H1393),C1393*E1393*F1393*G1393*H1393,IF(AND(F1393,G1393),C1393*E1393*F1393*G1393,IF(AND(F1393,H1393),C1393*E1393*F1393*H1393,IF(AND(G1393,H1393),C1393*E1393*G1393*H1393,IF(F1393,C1393*E1393*F1393,IF(G1393,C1393*E1393*G1393,IF(H1393,C1393*E1393*H1393,C1393*E1393))))))),2)</f>
        <v>2</v>
      </c>
      <c r="J1393" s="146" t="s">
        <v>114</v>
      </c>
      <c r="K1393" s="147"/>
      <c r="L1393" s="110"/>
      <c r="M1393" s="147"/>
    </row>
    <row r="1394" spans="1:13" hidden="1">
      <c r="A1394" s="110"/>
      <c r="B1394" s="147"/>
      <c r="C1394" s="154"/>
      <c r="D1394" s="155"/>
      <c r="E1394" s="156"/>
      <c r="F1394" s="157"/>
      <c r="G1394" s="158"/>
      <c r="H1394" s="110"/>
      <c r="I1394" s="185"/>
      <c r="J1394" s="146" t="s">
        <v>114</v>
      </c>
      <c r="K1394" s="12">
        <f>'sani data 2024-25'!G60</f>
        <v>1658</v>
      </c>
      <c r="L1394" s="12" t="s">
        <v>271</v>
      </c>
      <c r="M1394" s="11">
        <f>ROUND(I1394*K1394,0)</f>
        <v>0</v>
      </c>
    </row>
    <row r="1395" spans="1:13" ht="29.25" hidden="1" customHeight="1">
      <c r="A1395" s="110">
        <v>33</v>
      </c>
      <c r="B1395" s="964" t="s">
        <v>337</v>
      </c>
      <c r="C1395" s="964"/>
      <c r="D1395" s="964"/>
      <c r="E1395" s="964"/>
      <c r="F1395" s="964"/>
      <c r="G1395" s="964"/>
      <c r="H1395" s="964"/>
      <c r="I1395" s="183"/>
      <c r="J1395" s="186"/>
      <c r="K1395" s="110"/>
      <c r="L1395" s="110"/>
      <c r="M1395" s="139"/>
    </row>
    <row r="1396" spans="1:13" s="148" customFormat="1" ht="16.5" hidden="1" customHeight="1">
      <c r="A1396" s="110"/>
      <c r="B1396" s="149"/>
      <c r="C1396" s="150">
        <v>1</v>
      </c>
      <c r="D1396" s="151" t="s">
        <v>268</v>
      </c>
      <c r="E1396" s="152">
        <v>1</v>
      </c>
      <c r="F1396" s="153">
        <v>10</v>
      </c>
      <c r="G1396" s="153">
        <v>0</v>
      </c>
      <c r="H1396" s="153">
        <v>0</v>
      </c>
      <c r="I1396" s="185">
        <f>ROUND(IF(AND(F1396:H1396),C1396*E1396*F1396*G1396*H1396,IF(AND(F1396,G1396),C1396*E1396*F1396*G1396,IF(AND(F1396,H1396),C1396*E1396*F1396*H1396,IF(AND(G1396,H1396),C1396*E1396*G1396*H1396,IF(F1396,C1396*E1396*F1396,IF(G1396,C1396*E1396*G1396,IF(H1396,C1396*E1396*H1396,C1396*E1396))))))),2)</f>
        <v>10</v>
      </c>
      <c r="J1396" s="146" t="s">
        <v>274</v>
      </c>
      <c r="K1396" s="147"/>
      <c r="L1396" s="110"/>
      <c r="M1396" s="147"/>
    </row>
    <row r="1397" spans="1:13" s="148" customFormat="1" ht="16.5" hidden="1" customHeight="1">
      <c r="A1397" s="110"/>
      <c r="B1397" s="149"/>
      <c r="C1397" s="150">
        <v>1</v>
      </c>
      <c r="D1397" s="151" t="s">
        <v>268</v>
      </c>
      <c r="E1397" s="152">
        <v>1</v>
      </c>
      <c r="F1397" s="153">
        <v>5</v>
      </c>
      <c r="G1397" s="153">
        <v>0</v>
      </c>
      <c r="H1397" s="153">
        <v>0</v>
      </c>
      <c r="I1397" s="185">
        <f>ROUND(IF(AND(F1397:H1397),C1397*E1397*F1397*G1397*H1397,IF(AND(F1397,G1397),C1397*E1397*F1397*G1397,IF(AND(F1397,H1397),C1397*E1397*F1397*H1397,IF(AND(G1397,H1397),C1397*E1397*G1397*H1397,IF(F1397,C1397*E1397*F1397,IF(G1397,C1397*E1397*G1397,IF(H1397,C1397*E1397*H1397,C1397*E1397))))))),2)</f>
        <v>5</v>
      </c>
      <c r="J1397" s="146" t="s">
        <v>274</v>
      </c>
      <c r="K1397" s="147"/>
      <c r="L1397" s="110"/>
      <c r="M1397" s="147"/>
    </row>
    <row r="1398" spans="1:13" s="148" customFormat="1" ht="16.5" hidden="1" customHeight="1">
      <c r="A1398" s="110"/>
      <c r="B1398" s="149"/>
      <c r="C1398" s="150"/>
      <c r="D1398" s="151"/>
      <c r="E1398" s="152"/>
      <c r="F1398" s="153"/>
      <c r="G1398" s="153"/>
      <c r="H1398" s="153"/>
      <c r="I1398" s="185"/>
      <c r="J1398" s="146"/>
      <c r="K1398" s="147"/>
      <c r="L1398" s="110"/>
      <c r="M1398" s="147"/>
    </row>
    <row r="1399" spans="1:13" hidden="1">
      <c r="A1399" s="110"/>
      <c r="B1399" s="147"/>
      <c r="C1399" s="154"/>
      <c r="D1399" s="155"/>
      <c r="E1399" s="156"/>
      <c r="F1399" s="157"/>
      <c r="G1399" s="158"/>
      <c r="H1399" s="110"/>
      <c r="I1399" s="185"/>
      <c r="J1399" s="146" t="s">
        <v>274</v>
      </c>
      <c r="K1399" s="12">
        <f>'sani data 2024-25'!G40</f>
        <v>150.33333333333334</v>
      </c>
      <c r="L1399" s="12" t="s">
        <v>276</v>
      </c>
      <c r="M1399" s="11">
        <f>ROUND(I1399*K1399,0)</f>
        <v>0</v>
      </c>
    </row>
    <row r="1400" spans="1:13" ht="29.25" hidden="1" customHeight="1">
      <c r="A1400" s="110">
        <v>6</v>
      </c>
      <c r="B1400" s="964" t="s">
        <v>342</v>
      </c>
      <c r="C1400" s="964"/>
      <c r="D1400" s="964"/>
      <c r="E1400" s="964"/>
      <c r="F1400" s="964"/>
      <c r="G1400" s="964"/>
      <c r="H1400" s="964"/>
      <c r="I1400" s="183"/>
      <c r="J1400" s="186"/>
      <c r="K1400" s="110"/>
      <c r="L1400" s="110"/>
      <c r="M1400" s="139"/>
    </row>
    <row r="1401" spans="1:13" s="148" customFormat="1" ht="16.5" hidden="1" customHeight="1">
      <c r="A1401" s="110"/>
      <c r="B1401" s="147" t="s">
        <v>1335</v>
      </c>
      <c r="C1401" s="141"/>
      <c r="D1401" s="142"/>
      <c r="E1401" s="143"/>
      <c r="F1401" s="144"/>
      <c r="G1401" s="144"/>
      <c r="H1401" s="145"/>
      <c r="I1401" s="184"/>
      <c r="J1401" s="146"/>
      <c r="K1401" s="147"/>
      <c r="L1401" s="110"/>
      <c r="M1401" s="147"/>
    </row>
    <row r="1402" spans="1:13" s="148" customFormat="1" ht="16.5" hidden="1" customHeight="1">
      <c r="A1402" s="110"/>
      <c r="B1402" s="149"/>
      <c r="C1402" s="150">
        <v>1</v>
      </c>
      <c r="D1402" s="151" t="s">
        <v>268</v>
      </c>
      <c r="E1402" s="152">
        <v>1</v>
      </c>
      <c r="F1402" s="153">
        <v>10</v>
      </c>
      <c r="G1402" s="153">
        <v>0</v>
      </c>
      <c r="H1402" s="153">
        <v>0</v>
      </c>
      <c r="I1402" s="185">
        <f>ROUND(IF(AND(F1402:H1402),C1402*E1402*F1402*G1402*H1402,IF(AND(F1402,G1402),C1402*E1402*F1402*G1402,IF(AND(F1402,H1402),C1402*E1402*F1402*H1402,IF(AND(G1402,H1402),C1402*E1402*G1402*H1402,IF(F1402,C1402*E1402*F1402,IF(G1402,C1402*E1402*G1402,IF(H1402,C1402*E1402*H1402,C1402*E1402))))))),2)</f>
        <v>10</v>
      </c>
      <c r="J1402" s="146" t="s">
        <v>274</v>
      </c>
      <c r="K1402" s="147"/>
      <c r="L1402" s="110"/>
      <c r="M1402" s="147"/>
    </row>
    <row r="1403" spans="1:13" hidden="1">
      <c r="A1403" s="110"/>
      <c r="B1403" s="147"/>
      <c r="C1403" s="154"/>
      <c r="D1403" s="155"/>
      <c r="E1403" s="156"/>
      <c r="F1403" s="157"/>
      <c r="G1403" s="158"/>
      <c r="H1403" s="110"/>
      <c r="I1403" s="185"/>
      <c r="J1403" s="146" t="s">
        <v>274</v>
      </c>
      <c r="K1403" s="12">
        <f>'sani data 2024-25'!G46</f>
        <v>143</v>
      </c>
      <c r="L1403" s="12" t="s">
        <v>276</v>
      </c>
      <c r="M1403" s="11">
        <f>ROUND(I1403*K1403,0)</f>
        <v>0</v>
      </c>
    </row>
    <row r="1404" spans="1:13" ht="29.25" hidden="1" customHeight="1">
      <c r="A1404" s="110">
        <v>34</v>
      </c>
      <c r="B1404" s="964" t="s">
        <v>344</v>
      </c>
      <c r="C1404" s="964"/>
      <c r="D1404" s="964"/>
      <c r="E1404" s="964"/>
      <c r="F1404" s="964"/>
      <c r="G1404" s="964"/>
      <c r="H1404" s="964"/>
      <c r="I1404" s="183"/>
      <c r="J1404" s="186"/>
      <c r="K1404" s="110"/>
      <c r="L1404" s="110"/>
      <c r="M1404" s="139"/>
    </row>
    <row r="1405" spans="1:13" s="148" customFormat="1" ht="16.5" hidden="1" customHeight="1">
      <c r="A1405" s="110"/>
      <c r="B1405" s="149"/>
      <c r="C1405" s="150">
        <v>1</v>
      </c>
      <c r="D1405" s="151" t="s">
        <v>268</v>
      </c>
      <c r="E1405" s="152">
        <v>1</v>
      </c>
      <c r="F1405" s="153">
        <v>6</v>
      </c>
      <c r="G1405" s="153">
        <v>0</v>
      </c>
      <c r="H1405" s="153">
        <v>0</v>
      </c>
      <c r="I1405" s="185">
        <f>ROUND(IF(AND(F1405:H1405),C1405*E1405*F1405*G1405*H1405,IF(AND(F1405,G1405),C1405*E1405*F1405*G1405,IF(AND(F1405,H1405),C1405*E1405*F1405*H1405,IF(AND(G1405,H1405),C1405*E1405*G1405*H1405,IF(F1405,C1405*E1405*F1405,IF(G1405,C1405*E1405*G1405,IF(H1405,C1405*E1405*H1405,C1405*E1405))))))),2)</f>
        <v>6</v>
      </c>
      <c r="J1405" s="146" t="s">
        <v>274</v>
      </c>
      <c r="K1405" s="147"/>
      <c r="L1405" s="110"/>
      <c r="M1405" s="147"/>
    </row>
    <row r="1406" spans="1:13" s="148" customFormat="1" ht="16.5" hidden="1" customHeight="1">
      <c r="A1406" s="110"/>
      <c r="B1406" s="149"/>
      <c r="C1406" s="150"/>
      <c r="D1406" s="151"/>
      <c r="E1406" s="152"/>
      <c r="F1406" s="153"/>
      <c r="G1406" s="153"/>
      <c r="H1406" s="153"/>
      <c r="I1406" s="185"/>
      <c r="J1406" s="146"/>
      <c r="K1406" s="147"/>
      <c r="L1406" s="110"/>
      <c r="M1406" s="147"/>
    </row>
    <row r="1407" spans="1:13" hidden="1">
      <c r="A1407" s="110"/>
      <c r="B1407" s="147"/>
      <c r="C1407" s="154"/>
      <c r="D1407" s="155"/>
      <c r="E1407" s="156"/>
      <c r="F1407" s="157"/>
      <c r="G1407" s="158"/>
      <c r="H1407" s="110"/>
      <c r="I1407" s="185"/>
      <c r="J1407" s="146" t="s">
        <v>274</v>
      </c>
      <c r="K1407" s="12">
        <f>'sani data 2024-25'!G52</f>
        <v>90</v>
      </c>
      <c r="L1407" s="12" t="s">
        <v>276</v>
      </c>
      <c r="M1407" s="11">
        <f>ROUND(I1407*K1407,0)</f>
        <v>0</v>
      </c>
    </row>
    <row r="1408" spans="1:13" ht="53.25" hidden="1" customHeight="1">
      <c r="A1408" s="110">
        <v>35</v>
      </c>
      <c r="B1408" s="964" t="s">
        <v>346</v>
      </c>
      <c r="C1408" s="964"/>
      <c r="D1408" s="964"/>
      <c r="E1408" s="964"/>
      <c r="F1408" s="964"/>
      <c r="G1408" s="964"/>
      <c r="H1408" s="964"/>
      <c r="I1408" s="183"/>
      <c r="J1408" s="186"/>
      <c r="K1408" s="110"/>
      <c r="L1408" s="110"/>
      <c r="M1408" s="139"/>
    </row>
    <row r="1409" spans="1:13" s="148" customFormat="1" ht="16.5" hidden="1" customHeight="1">
      <c r="A1409" s="110"/>
      <c r="B1409" s="149" t="s">
        <v>415</v>
      </c>
      <c r="C1409" s="150">
        <v>1</v>
      </c>
      <c r="D1409" s="151" t="s">
        <v>268</v>
      </c>
      <c r="E1409" s="152">
        <v>1</v>
      </c>
      <c r="F1409" s="153">
        <v>15</v>
      </c>
      <c r="G1409" s="153">
        <v>0</v>
      </c>
      <c r="H1409" s="153">
        <v>0</v>
      </c>
      <c r="I1409" s="185">
        <f>ROUND(IF(AND(F1409:H1409),C1409*E1409*F1409*G1409*H1409,IF(AND(F1409,G1409),C1409*E1409*F1409*G1409,IF(AND(F1409,H1409),C1409*E1409*F1409*H1409,IF(AND(G1409,H1409),C1409*E1409*G1409*H1409,IF(F1409,C1409*E1409*F1409,IF(G1409,C1409*E1409*G1409,IF(H1409,C1409*E1409*H1409,C1409*E1409))))))),2)</f>
        <v>15</v>
      </c>
      <c r="J1409" s="146" t="s">
        <v>274</v>
      </c>
      <c r="K1409" s="147"/>
      <c r="L1409" s="110"/>
      <c r="M1409" s="147"/>
    </row>
    <row r="1410" spans="1:13" s="148" customFormat="1" ht="16.5" hidden="1" customHeight="1">
      <c r="A1410" s="110"/>
      <c r="B1410" s="149" t="s">
        <v>841</v>
      </c>
      <c r="C1410" s="150">
        <v>1</v>
      </c>
      <c r="D1410" s="151" t="s">
        <v>268</v>
      </c>
      <c r="E1410" s="152">
        <v>1</v>
      </c>
      <c r="F1410" s="153">
        <v>6</v>
      </c>
      <c r="G1410" s="153">
        <v>0</v>
      </c>
      <c r="H1410" s="153">
        <v>0</v>
      </c>
      <c r="I1410" s="185">
        <f>ROUND(IF(AND(F1410:H1410),C1410*E1410*F1410*G1410*H1410,IF(AND(F1410,G1410),C1410*E1410*F1410*G1410,IF(AND(F1410,H1410),C1410*E1410*F1410*H1410,IF(AND(G1410,H1410),C1410*E1410*G1410*H1410,IF(F1410,C1410*E1410*F1410,IF(G1410,C1410*E1410*G1410,IF(H1410,C1410*E1410*H1410,C1410*E1410))))))),2)</f>
        <v>6</v>
      </c>
      <c r="J1410" s="146" t="s">
        <v>274</v>
      </c>
      <c r="K1410" s="147"/>
      <c r="L1410" s="110"/>
      <c r="M1410" s="147"/>
    </row>
    <row r="1411" spans="1:13" s="148" customFormat="1" ht="16.5" hidden="1" customHeight="1">
      <c r="A1411" s="110"/>
      <c r="B1411" s="149"/>
      <c r="C1411" s="150"/>
      <c r="D1411" s="151"/>
      <c r="E1411" s="152"/>
      <c r="F1411" s="153"/>
      <c r="G1411" s="153"/>
      <c r="H1411" s="153"/>
      <c r="I1411" s="185"/>
      <c r="J1411" s="146"/>
      <c r="K1411" s="147"/>
      <c r="L1411" s="110"/>
      <c r="M1411" s="147"/>
    </row>
    <row r="1412" spans="1:13" hidden="1">
      <c r="A1412" s="110"/>
      <c r="B1412" s="147"/>
      <c r="C1412" s="154"/>
      <c r="D1412" s="155"/>
      <c r="E1412" s="156"/>
      <c r="F1412" s="157"/>
      <c r="G1412" s="158"/>
      <c r="H1412" s="110"/>
      <c r="I1412" s="185"/>
      <c r="J1412" s="146" t="s">
        <v>274</v>
      </c>
      <c r="K1412" s="12">
        <f>'sani data 2024-25'!G56</f>
        <v>85</v>
      </c>
      <c r="L1412" s="12" t="s">
        <v>276</v>
      </c>
      <c r="M1412" s="11">
        <f>ROUND(I1412*K1412,0)</f>
        <v>0</v>
      </c>
    </row>
    <row r="1413" spans="1:13" ht="66" hidden="1" customHeight="1">
      <c r="A1413" s="110">
        <v>36</v>
      </c>
      <c r="B1413" s="964" t="s">
        <v>322</v>
      </c>
      <c r="C1413" s="964"/>
      <c r="D1413" s="964"/>
      <c r="E1413" s="964"/>
      <c r="F1413" s="964"/>
      <c r="G1413" s="964"/>
      <c r="H1413" s="964"/>
      <c r="I1413" s="183"/>
      <c r="J1413" s="186"/>
      <c r="K1413" s="110"/>
      <c r="L1413" s="110"/>
      <c r="M1413" s="139"/>
    </row>
    <row r="1414" spans="1:13" s="148" customFormat="1" ht="16.5" hidden="1" customHeight="1">
      <c r="A1414" s="110"/>
      <c r="B1414" s="149" t="s">
        <v>305</v>
      </c>
      <c r="C1414" s="150">
        <v>1</v>
      </c>
      <c r="D1414" s="151" t="s">
        <v>268</v>
      </c>
      <c r="E1414" s="152">
        <v>3</v>
      </c>
      <c r="F1414" s="153">
        <v>0</v>
      </c>
      <c r="G1414" s="153">
        <v>0</v>
      </c>
      <c r="H1414" s="153">
        <v>0</v>
      </c>
      <c r="I1414" s="327">
        <f>ROUND(IF(AND(F1414:H1414),C1414*E1414*F1414*G1414*H1414,IF(AND(F1414,G1414),C1414*E1414*F1414*G1414,IF(AND(F1414,H1414),C1414*E1414*F1414*H1414,IF(AND(G1414,H1414),C1414*E1414*G1414*H1414,IF(F1414,C1414*E1414*F1414,IF(G1414,C1414*E1414*G1414,IF(H1414,C1414*E1414*H1414,C1414*E1414))))))),2)</f>
        <v>3</v>
      </c>
      <c r="J1414" s="146" t="s">
        <v>114</v>
      </c>
      <c r="K1414" s="147"/>
      <c r="L1414" s="110"/>
      <c r="M1414" s="147"/>
    </row>
    <row r="1415" spans="1:13" hidden="1">
      <c r="A1415" s="110"/>
      <c r="B1415" s="147"/>
      <c r="C1415" s="154"/>
      <c r="D1415" s="155"/>
      <c r="E1415" s="156"/>
      <c r="F1415" s="157"/>
      <c r="G1415" s="158"/>
      <c r="H1415" s="110"/>
      <c r="I1415" s="327"/>
      <c r="J1415" s="146" t="s">
        <v>114</v>
      </c>
      <c r="K1415" s="12">
        <f>'sani data 2024-25'!G10</f>
        <v>5340</v>
      </c>
      <c r="L1415" s="12" t="s">
        <v>271</v>
      </c>
      <c r="M1415" s="11">
        <f>ROUND(I1415*K1415,0)</f>
        <v>0</v>
      </c>
    </row>
    <row r="1416" spans="1:13" ht="36" hidden="1" customHeight="1">
      <c r="A1416" s="110">
        <v>8</v>
      </c>
      <c r="B1416" s="964" t="s">
        <v>597</v>
      </c>
      <c r="C1416" s="964"/>
      <c r="D1416" s="964"/>
      <c r="E1416" s="964"/>
      <c r="F1416" s="964"/>
      <c r="G1416" s="964"/>
      <c r="H1416" s="964"/>
      <c r="I1416" s="183"/>
      <c r="J1416" s="186"/>
      <c r="K1416" s="110"/>
      <c r="L1416" s="110"/>
      <c r="M1416" s="139"/>
    </row>
    <row r="1417" spans="1:13" s="148" customFormat="1" ht="16.5" hidden="1" customHeight="1">
      <c r="A1417" s="110"/>
      <c r="B1417" s="140" t="s">
        <v>596</v>
      </c>
      <c r="C1417" s="141"/>
      <c r="D1417" s="142"/>
      <c r="E1417" s="143"/>
      <c r="F1417" s="144"/>
      <c r="G1417" s="144"/>
      <c r="H1417" s="145"/>
      <c r="I1417" s="184"/>
      <c r="J1417" s="146"/>
      <c r="K1417" s="147"/>
      <c r="L1417" s="110"/>
      <c r="M1417" s="147"/>
    </row>
    <row r="1418" spans="1:13" s="148" customFormat="1" ht="16.5" hidden="1" customHeight="1">
      <c r="A1418" s="110"/>
      <c r="B1418" s="149" t="s">
        <v>305</v>
      </c>
      <c r="C1418" s="150">
        <v>1</v>
      </c>
      <c r="D1418" s="151" t="s">
        <v>268</v>
      </c>
      <c r="E1418" s="152">
        <v>1</v>
      </c>
      <c r="F1418" s="153">
        <v>0</v>
      </c>
      <c r="G1418" s="153">
        <v>0</v>
      </c>
      <c r="H1418" s="153">
        <v>0</v>
      </c>
      <c r="I1418" s="185">
        <f>ROUND(IF(AND(F1418:H1418),C1418*E1418*F1418*G1418*H1418,IF(AND(F1418,G1418),C1418*E1418*F1418*G1418,IF(AND(F1418,H1418),C1418*E1418*F1418*H1418,IF(AND(G1418,H1418),C1418*E1418*G1418*H1418,IF(F1418,C1418*E1418*F1418,IF(G1418,C1418*E1418*G1418,IF(H1418,C1418*E1418*H1418,C1418*E1418))))))),2)</f>
        <v>1</v>
      </c>
      <c r="J1418" s="146" t="s">
        <v>114</v>
      </c>
      <c r="K1418" s="147"/>
      <c r="L1418" s="110"/>
      <c r="M1418" s="147"/>
    </row>
    <row r="1419" spans="1:13" hidden="1">
      <c r="A1419" s="110"/>
      <c r="B1419" s="147"/>
      <c r="C1419" s="154"/>
      <c r="D1419" s="155"/>
      <c r="E1419" s="156"/>
      <c r="F1419" s="157"/>
      <c r="G1419" s="158"/>
      <c r="H1419" s="110"/>
      <c r="I1419" s="185"/>
      <c r="J1419" s="146" t="s">
        <v>114</v>
      </c>
      <c r="K1419" s="12">
        <f>'sani data 2024-25'!G13</f>
        <v>1045</v>
      </c>
      <c r="L1419" s="12" t="s">
        <v>271</v>
      </c>
      <c r="M1419" s="11">
        <f>ROUND(I1419*K1419,0)</f>
        <v>0</v>
      </c>
    </row>
    <row r="1420" spans="1:13" ht="57" hidden="1" customHeight="1">
      <c r="A1420" s="110">
        <v>10</v>
      </c>
      <c r="B1420" s="964" t="s">
        <v>1045</v>
      </c>
      <c r="C1420" s="964"/>
      <c r="D1420" s="964"/>
      <c r="E1420" s="964"/>
      <c r="F1420" s="964"/>
      <c r="G1420" s="964"/>
      <c r="H1420" s="964"/>
      <c r="I1420" s="183"/>
      <c r="J1420" s="186"/>
      <c r="K1420" s="110"/>
      <c r="L1420" s="110"/>
      <c r="M1420" s="139"/>
    </row>
    <row r="1421" spans="1:13" s="148" customFormat="1" ht="16.5" hidden="1" customHeight="1">
      <c r="A1421" s="110"/>
      <c r="B1421" s="147" t="s">
        <v>1025</v>
      </c>
      <c r="C1421" s="141"/>
      <c r="D1421" s="142"/>
      <c r="E1421" s="143"/>
      <c r="F1421" s="144"/>
      <c r="G1421" s="144"/>
      <c r="H1421" s="145"/>
      <c r="I1421" s="184"/>
      <c r="J1421" s="146"/>
      <c r="K1421" s="147"/>
      <c r="L1421" s="110"/>
      <c r="M1421" s="147"/>
    </row>
    <row r="1422" spans="1:13" s="148" customFormat="1" ht="16.5" hidden="1" customHeight="1">
      <c r="A1422" s="110"/>
      <c r="B1422" s="149" t="s">
        <v>305</v>
      </c>
      <c r="C1422" s="150">
        <v>1</v>
      </c>
      <c r="D1422" s="151" t="s">
        <v>268</v>
      </c>
      <c r="E1422" s="152">
        <v>2</v>
      </c>
      <c r="F1422" s="153">
        <v>0</v>
      </c>
      <c r="G1422" s="153">
        <v>0</v>
      </c>
      <c r="H1422" s="153">
        <v>0</v>
      </c>
      <c r="I1422" s="185">
        <f>ROUND(IF(AND(F1422:H1422),C1422*E1422*F1422*G1422*H1422,IF(AND(F1422,G1422),C1422*E1422*F1422*G1422,IF(AND(F1422,H1422),C1422*E1422*F1422*H1422,IF(AND(G1422,H1422),C1422*E1422*G1422*H1422,IF(F1422,C1422*E1422*F1422,IF(G1422,C1422*E1422*G1422,IF(H1422,C1422*E1422*H1422,C1422*E1422))))))),2)</f>
        <v>2</v>
      </c>
      <c r="J1422" s="146" t="s">
        <v>114</v>
      </c>
      <c r="K1422" s="147"/>
      <c r="L1422" s="110"/>
      <c r="M1422" s="147"/>
    </row>
    <row r="1423" spans="1:13" hidden="1">
      <c r="A1423" s="110"/>
      <c r="B1423" s="147"/>
      <c r="C1423" s="154"/>
      <c r="D1423" s="155"/>
      <c r="E1423" s="156"/>
      <c r="F1423" s="157"/>
      <c r="G1423" s="158"/>
      <c r="H1423" s="110"/>
      <c r="I1423" s="185"/>
      <c r="J1423" s="146" t="s">
        <v>114</v>
      </c>
      <c r="K1423" s="12">
        <f>'sani data 2024-25'!G16</f>
        <v>2666</v>
      </c>
      <c r="L1423" s="12" t="s">
        <v>271</v>
      </c>
      <c r="M1423" s="11">
        <f>ROUND(I1423*K1423,0)</f>
        <v>0</v>
      </c>
    </row>
    <row r="1424" spans="1:13" ht="132.75" hidden="1" customHeight="1">
      <c r="A1424" s="110">
        <v>37</v>
      </c>
      <c r="B1424" s="964" t="s">
        <v>327</v>
      </c>
      <c r="C1424" s="964"/>
      <c r="D1424" s="964"/>
      <c r="E1424" s="964"/>
      <c r="F1424" s="964"/>
      <c r="G1424" s="964"/>
      <c r="H1424" s="964"/>
      <c r="I1424" s="183"/>
      <c r="J1424" s="186"/>
      <c r="K1424" s="110"/>
      <c r="L1424" s="110"/>
      <c r="M1424" s="139"/>
    </row>
    <row r="1425" spans="1:13" s="148" customFormat="1" ht="16.5" hidden="1" customHeight="1">
      <c r="A1425" s="110"/>
      <c r="B1425" s="149"/>
      <c r="C1425" s="150">
        <v>1</v>
      </c>
      <c r="D1425" s="151" t="s">
        <v>268</v>
      </c>
      <c r="E1425" s="152">
        <v>2</v>
      </c>
      <c r="F1425" s="153">
        <v>0</v>
      </c>
      <c r="G1425" s="153">
        <v>0</v>
      </c>
      <c r="H1425" s="153">
        <v>0</v>
      </c>
      <c r="I1425" s="327">
        <f>ROUND(IF(AND(F1425:H1425),C1425*E1425*F1425*G1425*H1425,IF(AND(F1425,G1425),C1425*E1425*F1425*G1425,IF(AND(F1425,H1425),C1425*E1425*F1425*H1425,IF(AND(G1425,H1425),C1425*E1425*G1425*H1425,IF(F1425,C1425*E1425*F1425,IF(G1425,C1425*E1425*G1425,IF(H1425,C1425*E1425*H1425,C1425*E1425))))))),2)</f>
        <v>2</v>
      </c>
      <c r="J1425" s="146" t="s">
        <v>114</v>
      </c>
      <c r="K1425" s="147"/>
      <c r="L1425" s="110"/>
      <c r="M1425" s="147"/>
    </row>
    <row r="1426" spans="1:13" hidden="1">
      <c r="A1426" s="110"/>
      <c r="B1426" s="147"/>
      <c r="C1426" s="154"/>
      <c r="D1426" s="155"/>
      <c r="E1426" s="156"/>
      <c r="F1426" s="157"/>
      <c r="G1426" s="158"/>
      <c r="H1426" s="110"/>
      <c r="I1426" s="327"/>
      <c r="J1426" s="146" t="s">
        <v>114</v>
      </c>
      <c r="K1426" s="12">
        <f>'sani data 2024-25'!G24</f>
        <v>2044</v>
      </c>
      <c r="L1426" s="12" t="s">
        <v>271</v>
      </c>
      <c r="M1426" s="11">
        <f>ROUND(I1426*K1426,0)</f>
        <v>0</v>
      </c>
    </row>
    <row r="1427" spans="1:13" ht="21.75" hidden="1" customHeight="1">
      <c r="A1427" s="110">
        <v>38</v>
      </c>
      <c r="B1427" s="964" t="s">
        <v>711</v>
      </c>
      <c r="C1427" s="964"/>
      <c r="D1427" s="964"/>
      <c r="E1427" s="964"/>
      <c r="F1427" s="964"/>
      <c r="G1427" s="964"/>
      <c r="H1427" s="964"/>
      <c r="I1427" s="327"/>
      <c r="J1427" s="186"/>
      <c r="K1427" s="110"/>
      <c r="L1427" s="110"/>
      <c r="M1427" s="139"/>
    </row>
    <row r="1428" spans="1:13" s="148" customFormat="1" ht="16.5" hidden="1" customHeight="1">
      <c r="A1428" s="110"/>
      <c r="B1428" s="149"/>
      <c r="C1428" s="150">
        <v>1</v>
      </c>
      <c r="D1428" s="151" t="s">
        <v>268</v>
      </c>
      <c r="E1428" s="152">
        <v>3</v>
      </c>
      <c r="F1428" s="153">
        <v>0</v>
      </c>
      <c r="G1428" s="153">
        <v>0</v>
      </c>
      <c r="H1428" s="153">
        <v>0</v>
      </c>
      <c r="I1428" s="327">
        <f>ROUND(IF(AND(F1428:H1428),C1428*E1428*F1428*G1428*H1428,IF(AND(F1428,G1428),C1428*E1428*F1428*G1428,IF(AND(F1428,H1428),C1428*E1428*F1428*H1428,IF(AND(G1428,H1428),C1428*E1428*G1428*H1428,IF(F1428,C1428*E1428*F1428,IF(G1428,C1428*E1428*G1428,IF(H1428,C1428*E1428*H1428,C1428*E1428))))))),2)</f>
        <v>3</v>
      </c>
      <c r="J1428" s="146" t="s">
        <v>114</v>
      </c>
      <c r="K1428" s="147"/>
      <c r="L1428" s="110"/>
      <c r="M1428" s="147"/>
    </row>
    <row r="1429" spans="1:13" hidden="1">
      <c r="A1429" s="110"/>
      <c r="B1429" s="147"/>
      <c r="C1429" s="154"/>
      <c r="D1429" s="155"/>
      <c r="E1429" s="156"/>
      <c r="F1429" s="157"/>
      <c r="G1429" s="158"/>
      <c r="H1429" s="110"/>
      <c r="I1429" s="327"/>
      <c r="J1429" s="146" t="s">
        <v>114</v>
      </c>
      <c r="K1429" s="12">
        <f>'sani data 2024-25'!G152</f>
        <v>115</v>
      </c>
      <c r="L1429" s="12" t="s">
        <v>271</v>
      </c>
      <c r="M1429" s="11">
        <f>ROUND(I1429*K1429,0)</f>
        <v>0</v>
      </c>
    </row>
    <row r="1430" spans="1:13" ht="58.5" hidden="1" customHeight="1">
      <c r="A1430" s="110">
        <v>39</v>
      </c>
      <c r="B1430" s="964" t="s">
        <v>288</v>
      </c>
      <c r="C1430" s="964"/>
      <c r="D1430" s="964"/>
      <c r="E1430" s="964"/>
      <c r="F1430" s="964"/>
      <c r="G1430" s="964"/>
      <c r="H1430" s="964"/>
      <c r="I1430" s="183"/>
      <c r="J1430" s="186"/>
      <c r="K1430" s="110"/>
      <c r="L1430" s="110"/>
      <c r="M1430" s="139"/>
    </row>
    <row r="1431" spans="1:13" s="148" customFormat="1" ht="16.5" hidden="1" customHeight="1">
      <c r="A1431" s="110"/>
      <c r="B1431" s="149"/>
      <c r="C1431" s="150">
        <v>1</v>
      </c>
      <c r="D1431" s="151" t="s">
        <v>268</v>
      </c>
      <c r="E1431" s="152">
        <v>1</v>
      </c>
      <c r="F1431" s="160">
        <v>500</v>
      </c>
      <c r="G1431" s="153">
        <v>0</v>
      </c>
      <c r="H1431" s="153">
        <v>0</v>
      </c>
      <c r="I1431" s="185">
        <f>ROUND(IF(AND(F1431:H1431),C1431*E1431*F1431*G1431*H1431,IF(AND(F1431,G1431),C1431*E1431*F1431*G1431,IF(AND(F1431,H1431),C1431*E1431*F1431*H1431,IF(AND(G1431,H1431),C1431*E1431*G1431*H1431,IF(F1431,C1431*E1431*F1431,IF(G1431,C1431*E1431*G1431,IF(H1431,C1431*E1431*H1431,C1431*E1431))))))),2)</f>
        <v>500</v>
      </c>
      <c r="J1431" s="146" t="s">
        <v>289</v>
      </c>
      <c r="K1431" s="147"/>
      <c r="L1431" s="110"/>
      <c r="M1431" s="147"/>
    </row>
    <row r="1432" spans="1:13" hidden="1">
      <c r="A1432" s="110"/>
      <c r="B1432" s="147"/>
      <c r="C1432" s="154"/>
      <c r="D1432" s="155"/>
      <c r="E1432" s="156"/>
      <c r="F1432" s="157"/>
      <c r="G1432" s="158"/>
      <c r="H1432" s="110"/>
      <c r="I1432" s="185"/>
      <c r="J1432" s="146" t="s">
        <v>289</v>
      </c>
      <c r="K1432" s="12">
        <f>'sani data 2024-25'!G74</f>
        <v>11</v>
      </c>
      <c r="L1432" s="12" t="s">
        <v>271</v>
      </c>
      <c r="M1432" s="11">
        <f>ROUND(I1432*K1432,0)</f>
        <v>0</v>
      </c>
    </row>
    <row r="1433" spans="1:13" ht="146.25" hidden="1" customHeight="1">
      <c r="A1433" s="110">
        <v>3</v>
      </c>
      <c r="B1433" s="964" t="s">
        <v>439</v>
      </c>
      <c r="C1433" s="964"/>
      <c r="D1433" s="964"/>
      <c r="E1433" s="964"/>
      <c r="F1433" s="964"/>
      <c r="G1433" s="964"/>
      <c r="H1433" s="964"/>
      <c r="I1433" s="183"/>
      <c r="J1433" s="186"/>
      <c r="K1433" s="110"/>
      <c r="L1433" s="110"/>
      <c r="M1433" s="139"/>
    </row>
    <row r="1434" spans="1:13" s="148" customFormat="1" ht="16.5" hidden="1" customHeight="1">
      <c r="A1434" s="110"/>
      <c r="B1434" s="149" t="s">
        <v>579</v>
      </c>
      <c r="C1434" s="150"/>
      <c r="D1434" s="151" t="s">
        <v>268</v>
      </c>
      <c r="E1434" s="152">
        <v>1</v>
      </c>
      <c r="F1434" s="161">
        <v>90</v>
      </c>
      <c r="G1434" s="153">
        <v>0</v>
      </c>
      <c r="H1434" s="153">
        <v>0</v>
      </c>
      <c r="I1434" s="185">
        <f>ROUND(IF(AND(F1434:H1434),C1434*E1434*F1434*G1434*H1434,IF(AND(F1434,G1434),C1434*E1434*F1434*G1434,IF(AND(F1434,H1434),C1434*E1434*F1434*H1434,IF(AND(G1434,H1434),C1434*E1434*G1434*H1434,IF(F1434,C1434*E1434*F1434,IF(G1434,C1434*E1434*G1434,IF(H1434,C1434*E1434*H1434,C1434*E1434))))))),2)</f>
        <v>0</v>
      </c>
      <c r="J1434" s="146" t="s">
        <v>274</v>
      </c>
      <c r="K1434" s="173">
        <f>'sani data 2024-25'!G113</f>
        <v>492.16</v>
      </c>
      <c r="L1434" s="110" t="s">
        <v>276</v>
      </c>
      <c r="M1434" s="11">
        <f>ROUND(I1434*K1434,0)</f>
        <v>0</v>
      </c>
    </row>
    <row r="1435" spans="1:13" s="148" customFormat="1" ht="16.5" hidden="1" customHeight="1">
      <c r="A1435" s="110"/>
      <c r="B1435" s="149" t="s">
        <v>580</v>
      </c>
      <c r="C1435" s="150"/>
      <c r="D1435" s="151" t="s">
        <v>268</v>
      </c>
      <c r="E1435" s="152">
        <v>1</v>
      </c>
      <c r="F1435" s="160">
        <v>30</v>
      </c>
      <c r="G1435" s="153">
        <v>0</v>
      </c>
      <c r="H1435" s="153">
        <v>0</v>
      </c>
      <c r="I1435" s="185">
        <f>ROUND(IF(AND(F1435:H1435),C1435*E1435*F1435*G1435*H1435,IF(AND(F1435,G1435),C1435*E1435*F1435*G1435,IF(AND(F1435,H1435),C1435*E1435*F1435*H1435,IF(AND(G1435,H1435),C1435*E1435*G1435*H1435,IF(F1435,C1435*E1435*F1435,IF(G1435,C1435*E1435*G1435,IF(H1435,C1435*E1435*H1435,C1435*E1435))))))),2)</f>
        <v>0</v>
      </c>
      <c r="J1435" s="146" t="s">
        <v>274</v>
      </c>
      <c r="K1435" s="173">
        <f>'sani data 2024-25'!G115</f>
        <v>526.54999999999995</v>
      </c>
      <c r="L1435" s="110" t="s">
        <v>276</v>
      </c>
      <c r="M1435" s="11">
        <f>ROUND(I1435*K1435,0)</f>
        <v>0</v>
      </c>
    </row>
    <row r="1436" spans="1:13" s="148" customFormat="1" ht="16.5" hidden="1" customHeight="1">
      <c r="A1436" s="110"/>
      <c r="B1436" s="149" t="s">
        <v>581</v>
      </c>
      <c r="C1436" s="150"/>
      <c r="D1436" s="151" t="s">
        <v>268</v>
      </c>
      <c r="E1436" s="152">
        <v>1</v>
      </c>
      <c r="F1436" s="160">
        <v>60</v>
      </c>
      <c r="G1436" s="153">
        <v>0</v>
      </c>
      <c r="H1436" s="153">
        <v>0</v>
      </c>
      <c r="I1436" s="185">
        <f>ROUND(IF(AND(F1436:H1436),C1436*E1436*F1436*G1436*H1436,IF(AND(F1436,G1436),C1436*E1436*F1436*G1436,IF(AND(F1436,H1436),C1436*E1436*F1436*H1436,IF(AND(G1436,H1436),C1436*E1436*G1436*H1436,IF(F1436,C1436*E1436*F1436,IF(G1436,C1436*E1436*G1436,IF(H1436,C1436*E1436*H1436,C1436*E1436))))))),2)</f>
        <v>0</v>
      </c>
      <c r="J1436" s="146" t="s">
        <v>274</v>
      </c>
      <c r="K1436" s="173">
        <f>'sani data 2024-25'!G117</f>
        <v>590.61</v>
      </c>
      <c r="L1436" s="110" t="s">
        <v>276</v>
      </c>
      <c r="M1436" s="11">
        <f>ROUND(I1436*K1436,0)</f>
        <v>0</v>
      </c>
    </row>
    <row r="1437" spans="1:13" hidden="1">
      <c r="A1437" s="110"/>
      <c r="B1437" s="147"/>
      <c r="C1437" s="154"/>
      <c r="D1437" s="155"/>
      <c r="E1437" s="156"/>
      <c r="F1437" s="157"/>
      <c r="G1437" s="158"/>
      <c r="H1437" s="110"/>
      <c r="I1437" s="185"/>
      <c r="J1437" s="146"/>
      <c r="K1437" s="12"/>
      <c r="L1437" s="12"/>
      <c r="M1437" s="11"/>
    </row>
    <row r="1438" spans="1:13" ht="43.5" hidden="1" customHeight="1">
      <c r="A1438" s="110">
        <v>4</v>
      </c>
      <c r="B1438" s="964" t="s">
        <v>440</v>
      </c>
      <c r="C1438" s="964"/>
      <c r="D1438" s="964"/>
      <c r="E1438" s="964"/>
      <c r="F1438" s="964"/>
      <c r="G1438" s="964"/>
      <c r="H1438" s="964"/>
      <c r="I1438" s="183"/>
      <c r="J1438" s="186"/>
      <c r="K1438" s="110"/>
      <c r="L1438" s="110"/>
      <c r="M1438" s="139"/>
    </row>
    <row r="1439" spans="1:13" s="148" customFormat="1" ht="16.5" hidden="1" customHeight="1">
      <c r="A1439" s="110"/>
      <c r="B1439" s="149"/>
      <c r="C1439" s="150">
        <v>1</v>
      </c>
      <c r="D1439" s="151" t="s">
        <v>268</v>
      </c>
      <c r="E1439" s="152">
        <v>1</v>
      </c>
      <c r="F1439" s="161">
        <v>12</v>
      </c>
      <c r="G1439" s="153">
        <v>0</v>
      </c>
      <c r="H1439" s="153">
        <v>0</v>
      </c>
      <c r="I1439" s="185">
        <f>ROUND(IF(AND(F1439:H1439),C1439*E1439*F1439*G1439*H1439,IF(AND(F1439,G1439),C1439*E1439*F1439*G1439,IF(AND(F1439,H1439),C1439*E1439*F1439*H1439,IF(AND(G1439,H1439),C1439*E1439*G1439*H1439,IF(F1439,C1439*E1439*F1439,IF(G1439,C1439*E1439*G1439,IF(H1439,C1439*E1439*H1439,C1439*E1439))))))),2)</f>
        <v>12</v>
      </c>
      <c r="J1439" s="146" t="s">
        <v>274</v>
      </c>
      <c r="K1439" s="147"/>
      <c r="L1439" s="110"/>
      <c r="M1439" s="147"/>
    </row>
    <row r="1440" spans="1:13" hidden="1">
      <c r="A1440" s="110"/>
      <c r="B1440" s="147"/>
      <c r="C1440" s="154"/>
      <c r="D1440" s="155"/>
      <c r="E1440" s="156"/>
      <c r="F1440" s="157"/>
      <c r="G1440" s="158"/>
      <c r="H1440" s="110"/>
      <c r="I1440" s="185"/>
      <c r="J1440" s="146" t="s">
        <v>274</v>
      </c>
      <c r="K1440" s="12">
        <f>'sani data 2024-25'!G127</f>
        <v>358.31</v>
      </c>
      <c r="L1440" s="12" t="s">
        <v>271</v>
      </c>
      <c r="M1440" s="11">
        <f>ROUND(I1440*K1440,0)</f>
        <v>0</v>
      </c>
    </row>
    <row r="1441" spans="1:17" s="53" customFormat="1" ht="44.25" hidden="1" customHeight="1">
      <c r="A1441" s="13">
        <v>5</v>
      </c>
      <c r="B1441" s="966" t="s">
        <v>1318</v>
      </c>
      <c r="C1441" s="966"/>
      <c r="D1441" s="966"/>
      <c r="E1441" s="966"/>
      <c r="F1441" s="966"/>
      <c r="G1441" s="966"/>
      <c r="H1441" s="966"/>
      <c r="I1441" s="614"/>
      <c r="J1441" s="121"/>
      <c r="K1441" s="13"/>
      <c r="L1441" s="13"/>
      <c r="M1441" s="615"/>
      <c r="N1441" s="615"/>
      <c r="O1441" s="53" t="s">
        <v>0</v>
      </c>
      <c r="Q1441" s="53" t="s">
        <v>0</v>
      </c>
    </row>
    <row r="1442" spans="1:17" s="53" customFormat="1" ht="15" hidden="1">
      <c r="A1442" s="13"/>
      <c r="B1442" s="174"/>
      <c r="C1442" s="616">
        <v>1</v>
      </c>
      <c r="D1442" s="175" t="s">
        <v>268</v>
      </c>
      <c r="E1442" s="121">
        <v>1</v>
      </c>
      <c r="F1442" s="176">
        <v>0</v>
      </c>
      <c r="G1442" s="15">
        <v>0</v>
      </c>
      <c r="H1442" s="176">
        <v>0</v>
      </c>
      <c r="I1442" s="617">
        <f>ROUND(IF(AND(F1442:H1442),C1442*E1442*F1442*G1442*H1442,IF(AND(F1442,G1442),C1442*E1442*F1442*G1442,IF(AND(F1442,H1442),C1442*E1442*F1442*H1442,IF(AND(G1442,H1442),C1442*E1442*G1442*H1442,IF(F1442,C1442*E1442*F1442,IF(G1442,C1442*E1442*G1442,IF(H1442,C1442*E1442*H1442,C1442*E1442))))))),2)</f>
        <v>1</v>
      </c>
      <c r="J1442" s="114" t="s">
        <v>114</v>
      </c>
      <c r="K1442" s="13"/>
      <c r="L1442" s="13"/>
      <c r="M1442" s="615"/>
      <c r="N1442" s="615"/>
    </row>
    <row r="1443" spans="1:17" s="53" customFormat="1" ht="15" hidden="1">
      <c r="A1443" s="13"/>
      <c r="B1443" s="17"/>
      <c r="C1443" s="331"/>
      <c r="D1443" s="332"/>
      <c r="E1443" s="121"/>
      <c r="F1443" s="333"/>
      <c r="G1443" s="334"/>
      <c r="H1443" s="333"/>
      <c r="I1443" s="618"/>
      <c r="J1443" s="114" t="s">
        <v>114</v>
      </c>
      <c r="K1443" s="15">
        <f>'sani data 2024-25'!G124</f>
        <v>22228</v>
      </c>
      <c r="L1443" s="15" t="s">
        <v>274</v>
      </c>
      <c r="M1443" s="16">
        <f>ROUND(I1443*K1443,0)</f>
        <v>0</v>
      </c>
      <c r="N1443" s="615"/>
      <c r="O1443" s="53" t="s">
        <v>0</v>
      </c>
    </row>
    <row r="1444" spans="1:17" s="53" customFormat="1" ht="30.75" hidden="1" customHeight="1">
      <c r="A1444" s="13">
        <v>6</v>
      </c>
      <c r="B1444" s="966" t="s">
        <v>582</v>
      </c>
      <c r="C1444" s="966"/>
      <c r="D1444" s="966"/>
      <c r="E1444" s="966"/>
      <c r="F1444" s="966"/>
      <c r="G1444" s="966"/>
      <c r="H1444" s="966"/>
      <c r="I1444" s="614"/>
      <c r="J1444" s="121"/>
      <c r="K1444" s="13"/>
      <c r="L1444" s="13"/>
      <c r="M1444" s="615"/>
      <c r="N1444" s="615"/>
      <c r="O1444" s="53" t="s">
        <v>0</v>
      </c>
      <c r="Q1444" s="53" t="s">
        <v>0</v>
      </c>
    </row>
    <row r="1445" spans="1:17" s="53" customFormat="1" ht="15" hidden="1">
      <c r="A1445" s="13"/>
      <c r="B1445" s="174"/>
      <c r="C1445" s="616">
        <v>1</v>
      </c>
      <c r="D1445" s="175" t="s">
        <v>268</v>
      </c>
      <c r="E1445" s="121">
        <v>1</v>
      </c>
      <c r="F1445" s="75">
        <v>85</v>
      </c>
      <c r="G1445" s="15">
        <v>0</v>
      </c>
      <c r="H1445" s="176">
        <v>0</v>
      </c>
      <c r="I1445" s="619">
        <f>ROUND(IF(AND(F1445:H1445),C1445*E1445*F1445*G1445*H1445,IF(AND(F1445,G1445),C1445*E1445*F1445*G1445,IF(AND(F1445,H1445),C1445*E1445*F1445*H1445,IF(AND(G1445,H1445),C1445*E1445*G1445*H1445,IF(F1445,C1445*E1445*F1445,IF(G1445,C1445*E1445*G1445,IF(H1445,C1445*E1445*H1445,C1445*E1445))))))),2)</f>
        <v>85</v>
      </c>
      <c r="J1445" s="114" t="s">
        <v>274</v>
      </c>
      <c r="K1445" s="13"/>
      <c r="L1445" s="13"/>
      <c r="M1445" s="615"/>
      <c r="N1445" s="615"/>
    </row>
    <row r="1446" spans="1:17" s="53" customFormat="1" ht="15" hidden="1">
      <c r="A1446" s="13"/>
      <c r="B1446" s="17"/>
      <c r="C1446" s="331"/>
      <c r="D1446" s="332"/>
      <c r="E1446" s="121"/>
      <c r="F1446" s="333"/>
      <c r="G1446" s="334"/>
      <c r="H1446" s="333"/>
      <c r="I1446" s="214"/>
      <c r="J1446" s="114" t="s">
        <v>274</v>
      </c>
      <c r="K1446" s="15">
        <f>'sani data 2024-25'!G130</f>
        <v>80</v>
      </c>
      <c r="L1446" s="15" t="s">
        <v>274</v>
      </c>
      <c r="M1446" s="16">
        <f>ROUND(I1446*K1446,0)</f>
        <v>0</v>
      </c>
      <c r="N1446" s="615"/>
      <c r="O1446" s="53" t="s">
        <v>0</v>
      </c>
    </row>
    <row r="1447" spans="1:17" s="53" customFormat="1" ht="20.25" hidden="1" customHeight="1">
      <c r="A1447" s="13">
        <v>7</v>
      </c>
      <c r="B1447" s="966" t="s">
        <v>282</v>
      </c>
      <c r="C1447" s="966"/>
      <c r="D1447" s="966"/>
      <c r="E1447" s="966"/>
      <c r="F1447" s="966"/>
      <c r="G1447" s="966"/>
      <c r="H1447" s="966"/>
      <c r="I1447" s="614"/>
      <c r="J1447" s="121"/>
      <c r="K1447" s="13"/>
      <c r="L1447" s="13"/>
      <c r="M1447" s="615"/>
      <c r="N1447" s="615"/>
      <c r="O1447" s="53" t="s">
        <v>0</v>
      </c>
      <c r="Q1447" s="53" t="s">
        <v>0</v>
      </c>
    </row>
    <row r="1448" spans="1:17" s="53" customFormat="1" ht="15" hidden="1">
      <c r="A1448" s="13"/>
      <c r="B1448" s="174"/>
      <c r="C1448" s="616">
        <v>1</v>
      </c>
      <c r="D1448" s="175" t="s">
        <v>268</v>
      </c>
      <c r="E1448" s="121">
        <v>1</v>
      </c>
      <c r="F1448" s="176">
        <v>0</v>
      </c>
      <c r="G1448" s="15">
        <v>0</v>
      </c>
      <c r="H1448" s="176">
        <v>0</v>
      </c>
      <c r="I1448" s="617">
        <f>ROUND(IF(AND(F1448:H1448),C1448*E1448*F1448*G1448*H1448,IF(AND(F1448,G1448),C1448*E1448*F1448*G1448,IF(AND(F1448,H1448),C1448*E1448*F1448*H1448,IF(AND(G1448,H1448),C1448*E1448*G1448*H1448,IF(F1448,C1448*E1448*F1448,IF(G1448,C1448*E1448*G1448,IF(H1448,C1448*E1448*H1448,C1448*E1448))))))),2)</f>
        <v>1</v>
      </c>
      <c r="J1448" s="114" t="s">
        <v>114</v>
      </c>
      <c r="K1448" s="13"/>
      <c r="L1448" s="13"/>
      <c r="M1448" s="615"/>
      <c r="N1448" s="615"/>
    </row>
    <row r="1449" spans="1:17" s="53" customFormat="1" ht="15" hidden="1">
      <c r="A1449" s="13"/>
      <c r="B1449" s="17"/>
      <c r="C1449" s="331"/>
      <c r="D1449" s="332"/>
      <c r="E1449" s="121"/>
      <c r="F1449" s="333"/>
      <c r="G1449" s="334"/>
      <c r="H1449" s="333"/>
      <c r="I1449" s="618"/>
      <c r="J1449" s="114" t="s">
        <v>114</v>
      </c>
      <c r="K1449" s="15">
        <f>'sani data 2024-25'!G136</f>
        <v>330.75</v>
      </c>
      <c r="L1449" s="15" t="s">
        <v>114</v>
      </c>
      <c r="M1449" s="16">
        <f>ROUND(I1449*K1449,0)</f>
        <v>0</v>
      </c>
      <c r="N1449" s="615"/>
      <c r="O1449" s="53" t="s">
        <v>0</v>
      </c>
    </row>
    <row r="1450" spans="1:17" s="53" customFormat="1" ht="20.25" hidden="1" customHeight="1">
      <c r="A1450" s="13">
        <v>8</v>
      </c>
      <c r="B1450" s="966" t="s">
        <v>1654</v>
      </c>
      <c r="C1450" s="966"/>
      <c r="D1450" s="966"/>
      <c r="E1450" s="966"/>
      <c r="F1450" s="966"/>
      <c r="G1450" s="966"/>
      <c r="H1450" s="966"/>
      <c r="I1450" s="614"/>
      <c r="J1450" s="121"/>
      <c r="K1450" s="13"/>
      <c r="L1450" s="13"/>
      <c r="M1450" s="615"/>
      <c r="N1450" s="615"/>
      <c r="O1450" s="53" t="s">
        <v>0</v>
      </c>
      <c r="Q1450" s="53" t="s">
        <v>0</v>
      </c>
    </row>
    <row r="1451" spans="1:17" s="53" customFormat="1" ht="15" hidden="1">
      <c r="A1451" s="13"/>
      <c r="B1451" s="174"/>
      <c r="C1451" s="616">
        <v>1</v>
      </c>
      <c r="D1451" s="175" t="s">
        <v>268</v>
      </c>
      <c r="E1451" s="121">
        <v>1</v>
      </c>
      <c r="F1451" s="176">
        <v>0.5</v>
      </c>
      <c r="G1451" s="15">
        <v>0</v>
      </c>
      <c r="H1451" s="176">
        <v>0</v>
      </c>
      <c r="I1451" s="619">
        <f>ROUND(IF(AND(F1451:H1451),C1451*E1451*F1451*G1451*H1451,IF(AND(F1451,G1451),C1451*E1451*F1451*G1451,IF(AND(F1451,H1451),C1451*E1451*F1451*H1451,IF(AND(G1451,H1451),C1451*E1451*G1451*H1451,IF(F1451,C1451*E1451*F1451,IF(G1451,C1451*E1451*G1451,IF(H1451,C1451*E1451*H1451,C1451*E1451))))))),2)</f>
        <v>0.5</v>
      </c>
      <c r="J1451" s="114" t="s">
        <v>274</v>
      </c>
      <c r="K1451" s="13"/>
      <c r="L1451" s="13"/>
      <c r="M1451" s="615"/>
      <c r="N1451" s="615"/>
    </row>
    <row r="1452" spans="1:17" s="53" customFormat="1" ht="15" hidden="1">
      <c r="A1452" s="13"/>
      <c r="B1452" s="17"/>
      <c r="C1452" s="331"/>
      <c r="D1452" s="332"/>
      <c r="E1452" s="121"/>
      <c r="F1452" s="333"/>
      <c r="G1452" s="334"/>
      <c r="H1452" s="333"/>
      <c r="I1452" s="214"/>
      <c r="J1452" s="114" t="s">
        <v>274</v>
      </c>
      <c r="K1452" s="15">
        <f>'sani data 2024-25'!G139</f>
        <v>400</v>
      </c>
      <c r="L1452" s="15" t="s">
        <v>274</v>
      </c>
      <c r="M1452" s="16">
        <f>ROUND(I1452*K1452,0)</f>
        <v>0</v>
      </c>
      <c r="N1452" s="615"/>
      <c r="O1452" s="53" t="s">
        <v>0</v>
      </c>
    </row>
    <row r="1453" spans="1:17" s="53" customFormat="1" ht="20.25" hidden="1" customHeight="1">
      <c r="A1453" s="13">
        <v>9</v>
      </c>
      <c r="B1453" s="966" t="s">
        <v>1652</v>
      </c>
      <c r="C1453" s="966"/>
      <c r="D1453" s="966"/>
      <c r="E1453" s="966"/>
      <c r="F1453" s="966"/>
      <c r="G1453" s="966"/>
      <c r="H1453" s="966"/>
      <c r="I1453" s="614"/>
      <c r="J1453" s="121"/>
      <c r="K1453" s="13"/>
      <c r="L1453" s="13"/>
      <c r="M1453" s="615"/>
      <c r="N1453" s="615"/>
      <c r="O1453" s="53" t="s">
        <v>0</v>
      </c>
      <c r="Q1453" s="53" t="s">
        <v>0</v>
      </c>
    </row>
    <row r="1454" spans="1:17" s="53" customFormat="1" ht="15" hidden="1">
      <c r="A1454" s="13"/>
      <c r="B1454" s="174"/>
      <c r="C1454" s="616">
        <v>1</v>
      </c>
      <c r="D1454" s="175" t="s">
        <v>268</v>
      </c>
      <c r="E1454" s="121">
        <v>1</v>
      </c>
      <c r="F1454" s="176">
        <v>0</v>
      </c>
      <c r="G1454" s="15">
        <v>0</v>
      </c>
      <c r="H1454" s="176">
        <v>0</v>
      </c>
      <c r="I1454" s="617">
        <f>ROUND(IF(AND(F1454:H1454),C1454*E1454*F1454*G1454*H1454,IF(AND(F1454,G1454),C1454*E1454*F1454*G1454,IF(AND(F1454,H1454),C1454*E1454*F1454*H1454,IF(AND(G1454,H1454),C1454*E1454*G1454*H1454,IF(F1454,C1454*E1454*F1454,IF(G1454,C1454*E1454*G1454,IF(H1454,C1454*E1454*H1454,C1454*E1454))))))),2)</f>
        <v>1</v>
      </c>
      <c r="J1454" s="114" t="s">
        <v>114</v>
      </c>
      <c r="K1454" s="13"/>
      <c r="L1454" s="13"/>
      <c r="M1454" s="615"/>
      <c r="N1454" s="615"/>
    </row>
    <row r="1455" spans="1:17" s="53" customFormat="1" ht="15" hidden="1">
      <c r="A1455" s="13"/>
      <c r="B1455" s="17"/>
      <c r="C1455" s="331"/>
      <c r="D1455" s="332"/>
      <c r="E1455" s="121"/>
      <c r="F1455" s="333"/>
      <c r="G1455" s="334"/>
      <c r="H1455" s="333"/>
      <c r="I1455" s="618"/>
      <c r="J1455" s="114" t="s">
        <v>114</v>
      </c>
      <c r="K1455" s="15">
        <f>'sani data 2024-25'!G142</f>
        <v>78</v>
      </c>
      <c r="L1455" s="15" t="s">
        <v>114</v>
      </c>
      <c r="M1455" s="16">
        <f>ROUND(I1455*K1455,0)</f>
        <v>0</v>
      </c>
      <c r="N1455" s="615"/>
      <c r="O1455" s="53" t="s">
        <v>0</v>
      </c>
    </row>
    <row r="1456" spans="1:17" s="53" customFormat="1" ht="20.25" hidden="1" customHeight="1">
      <c r="A1456" s="13">
        <v>10</v>
      </c>
      <c r="B1456" s="966" t="s">
        <v>285</v>
      </c>
      <c r="C1456" s="966"/>
      <c r="D1456" s="966"/>
      <c r="E1456" s="966"/>
      <c r="F1456" s="966"/>
      <c r="G1456" s="966"/>
      <c r="H1456" s="966"/>
      <c r="I1456" s="614"/>
      <c r="J1456" s="121"/>
      <c r="K1456" s="13"/>
      <c r="L1456" s="13"/>
      <c r="M1456" s="615"/>
      <c r="N1456" s="615"/>
      <c r="O1456" s="53" t="s">
        <v>0</v>
      </c>
      <c r="Q1456" s="53" t="s">
        <v>0</v>
      </c>
    </row>
    <row r="1457" spans="1:17" s="53" customFormat="1" ht="15" hidden="1">
      <c r="A1457" s="13"/>
      <c r="B1457" s="174"/>
      <c r="C1457" s="616">
        <v>1</v>
      </c>
      <c r="D1457" s="175" t="s">
        <v>268</v>
      </c>
      <c r="E1457" s="121">
        <v>1</v>
      </c>
      <c r="F1457" s="176">
        <v>0</v>
      </c>
      <c r="G1457" s="15">
        <v>0</v>
      </c>
      <c r="H1457" s="176">
        <v>0</v>
      </c>
      <c r="I1457" s="617">
        <f>ROUND(IF(AND(F1457:H1457),C1457*E1457*F1457*G1457*H1457,IF(AND(F1457,G1457),C1457*E1457*F1457*G1457,IF(AND(F1457,H1457),C1457*E1457*F1457*H1457,IF(AND(G1457,H1457),C1457*E1457*G1457*H1457,IF(F1457,C1457*E1457*F1457,IF(G1457,C1457*E1457*G1457,IF(H1457,C1457*E1457*H1457,C1457*E1457))))))),2)</f>
        <v>1</v>
      </c>
      <c r="J1457" s="114" t="s">
        <v>114</v>
      </c>
      <c r="K1457" s="13"/>
      <c r="L1457" s="13"/>
      <c r="M1457" s="615"/>
      <c r="N1457" s="615"/>
    </row>
    <row r="1458" spans="1:17" s="53" customFormat="1" ht="15" hidden="1">
      <c r="A1458" s="13"/>
      <c r="B1458" s="17"/>
      <c r="C1458" s="331"/>
      <c r="D1458" s="332"/>
      <c r="E1458" s="121"/>
      <c r="F1458" s="333"/>
      <c r="G1458" s="334"/>
      <c r="H1458" s="333"/>
      <c r="I1458" s="618"/>
      <c r="J1458" s="114" t="s">
        <v>114</v>
      </c>
      <c r="K1458" s="15">
        <f>'sani data 2024-25'!G133</f>
        <v>173</v>
      </c>
      <c r="L1458" s="15" t="s">
        <v>114</v>
      </c>
      <c r="M1458" s="16">
        <f>ROUND(I1458*K1458,0)</f>
        <v>0</v>
      </c>
      <c r="N1458" s="615"/>
      <c r="O1458" s="53" t="s">
        <v>0</v>
      </c>
    </row>
    <row r="1459" spans="1:17" s="53" customFormat="1" ht="48" hidden="1" customHeight="1">
      <c r="A1459" s="13">
        <v>11</v>
      </c>
      <c r="B1459" s="966" t="s">
        <v>286</v>
      </c>
      <c r="C1459" s="966"/>
      <c r="D1459" s="966"/>
      <c r="E1459" s="966"/>
      <c r="F1459" s="966"/>
      <c r="G1459" s="966"/>
      <c r="H1459" s="966"/>
      <c r="I1459" s="614"/>
      <c r="J1459" s="121"/>
      <c r="K1459" s="13"/>
      <c r="L1459" s="13"/>
      <c r="M1459" s="615"/>
      <c r="N1459" s="615"/>
      <c r="O1459" s="53" t="s">
        <v>0</v>
      </c>
      <c r="Q1459" s="53" t="s">
        <v>0</v>
      </c>
    </row>
    <row r="1460" spans="1:17" s="53" customFormat="1" ht="15" hidden="1">
      <c r="A1460" s="13"/>
      <c r="B1460" s="174"/>
      <c r="C1460" s="616">
        <v>1</v>
      </c>
      <c r="D1460" s="175" t="s">
        <v>268</v>
      </c>
      <c r="E1460" s="121">
        <v>1</v>
      </c>
      <c r="F1460" s="15">
        <v>90</v>
      </c>
      <c r="G1460" s="15">
        <v>0</v>
      </c>
      <c r="H1460" s="176">
        <v>0</v>
      </c>
      <c r="I1460" s="619">
        <f>ROUND(IF(AND(F1460:H1460),C1460*E1460*F1460*G1460*H1460,IF(AND(F1460,G1460),C1460*E1460*F1460*G1460,IF(AND(F1460,H1460),C1460*E1460*F1460*H1460,IF(AND(G1460,H1460),C1460*E1460*G1460*H1460,IF(F1460,C1460*E1460*F1460,IF(G1460,C1460*E1460*G1460,IF(H1460,C1460*E1460*H1460,C1460*E1460))))))),2)</f>
        <v>90</v>
      </c>
      <c r="J1460" s="114" t="s">
        <v>274</v>
      </c>
      <c r="K1460" s="13"/>
      <c r="L1460" s="13"/>
      <c r="M1460" s="615"/>
      <c r="N1460" s="615"/>
    </row>
    <row r="1461" spans="1:17" s="53" customFormat="1" ht="17.25" hidden="1" customHeight="1">
      <c r="A1461" s="13"/>
      <c r="B1461" s="17"/>
      <c r="C1461" s="331"/>
      <c r="D1461" s="332"/>
      <c r="E1461" s="121"/>
      <c r="F1461" s="333"/>
      <c r="G1461" s="334"/>
      <c r="H1461" s="333"/>
      <c r="I1461" s="214"/>
      <c r="J1461" s="114" t="s">
        <v>274</v>
      </c>
      <c r="K1461" s="15">
        <f>'sani data 2024-25'!G145</f>
        <v>109</v>
      </c>
      <c r="L1461" s="15" t="s">
        <v>274</v>
      </c>
      <c r="M1461" s="16">
        <f>ROUND(I1461*K1461,0)</f>
        <v>0</v>
      </c>
      <c r="N1461" s="615"/>
      <c r="O1461" s="53" t="s">
        <v>0</v>
      </c>
    </row>
    <row r="1462" spans="1:17" s="53" customFormat="1" ht="81" hidden="1" customHeight="1">
      <c r="A1462" s="13">
        <v>12</v>
      </c>
      <c r="B1462" s="971" t="s">
        <v>376</v>
      </c>
      <c r="C1462" s="966"/>
      <c r="D1462" s="966"/>
      <c r="E1462" s="966"/>
      <c r="F1462" s="966"/>
      <c r="G1462" s="966"/>
      <c r="H1462" s="966"/>
      <c r="I1462" s="614"/>
      <c r="J1462" s="121"/>
      <c r="K1462" s="13"/>
      <c r="L1462" s="13"/>
      <c r="M1462" s="615"/>
      <c r="N1462" s="615"/>
      <c r="O1462" s="53" t="s">
        <v>0</v>
      </c>
      <c r="Q1462" s="53" t="s">
        <v>0</v>
      </c>
    </row>
    <row r="1463" spans="1:17" s="53" customFormat="1" ht="15" hidden="1">
      <c r="A1463" s="13"/>
      <c r="B1463" s="174"/>
      <c r="C1463" s="616">
        <v>1</v>
      </c>
      <c r="D1463" s="175" t="s">
        <v>268</v>
      </c>
      <c r="E1463" s="121">
        <v>1</v>
      </c>
      <c r="F1463" s="176">
        <v>0</v>
      </c>
      <c r="G1463" s="15">
        <v>0</v>
      </c>
      <c r="H1463" s="176">
        <v>0</v>
      </c>
      <c r="I1463" s="619">
        <f>ROUND(IF(AND(F1463:H1463),C1463*E1463*F1463*G1463*H1463,IF(AND(F1463,G1463),C1463*E1463*F1463*G1463,IF(AND(F1463,H1463),C1463*E1463*F1463*H1463,IF(AND(G1463,H1463),C1463*E1463*G1463*H1463,IF(F1463,C1463*E1463*F1463,IF(G1463,C1463*E1463*G1463,IF(H1463,C1463*E1463*H1463,C1463*E1463))))))),2)</f>
        <v>1</v>
      </c>
      <c r="J1463" s="114" t="s">
        <v>114</v>
      </c>
      <c r="K1463" s="13"/>
      <c r="L1463" s="13"/>
      <c r="M1463" s="615"/>
      <c r="N1463" s="615"/>
    </row>
    <row r="1464" spans="1:17" s="53" customFormat="1" ht="17.25" hidden="1" customHeight="1">
      <c r="A1464" s="13"/>
      <c r="B1464" s="17"/>
      <c r="C1464" s="331"/>
      <c r="D1464" s="332"/>
      <c r="E1464" s="121"/>
      <c r="F1464" s="333"/>
      <c r="G1464" s="334"/>
      <c r="H1464" s="333"/>
      <c r="I1464" s="214"/>
      <c r="J1464" s="114" t="s">
        <v>114</v>
      </c>
      <c r="K1464" s="15">
        <f>'sani data 2024-25'!G148</f>
        <v>5990</v>
      </c>
      <c r="L1464" s="15" t="s">
        <v>271</v>
      </c>
      <c r="M1464" s="16">
        <f>ROUND(I1464*K1464,0)</f>
        <v>0</v>
      </c>
      <c r="N1464" s="615"/>
      <c r="O1464" s="53" t="s">
        <v>0</v>
      </c>
    </row>
    <row r="1465" spans="1:17" s="53" customFormat="1" ht="17.25" hidden="1" customHeight="1">
      <c r="A1465" s="13"/>
      <c r="B1465" s="17" t="s">
        <v>1839</v>
      </c>
      <c r="C1465" s="331"/>
      <c r="D1465" s="332"/>
      <c r="E1465" s="121"/>
      <c r="F1465" s="333"/>
      <c r="G1465" s="334"/>
      <c r="H1465" s="333"/>
      <c r="I1465" s="214"/>
      <c r="J1465" s="114"/>
      <c r="K1465" s="15"/>
      <c r="L1465" s="15"/>
      <c r="M1465" s="16"/>
      <c r="N1465" s="162"/>
    </row>
    <row r="1466" spans="1:17" s="763" customFormat="1" ht="56.25" customHeight="1">
      <c r="A1466" s="757">
        <v>33</v>
      </c>
      <c r="B1466" s="965" t="s">
        <v>573</v>
      </c>
      <c r="C1466" s="965"/>
      <c r="D1466" s="965"/>
      <c r="E1466" s="965"/>
      <c r="F1466" s="965"/>
      <c r="G1466" s="965"/>
      <c r="H1466" s="965"/>
      <c r="I1466" s="759"/>
      <c r="J1466" s="760"/>
      <c r="K1466" s="757"/>
      <c r="L1466" s="757"/>
      <c r="M1466" s="762"/>
    </row>
    <row r="1467" spans="1:17" s="771" customFormat="1" ht="16.5" customHeight="1">
      <c r="A1467" s="757"/>
      <c r="B1467" s="809"/>
      <c r="C1467" s="810">
        <v>1</v>
      </c>
      <c r="D1467" s="811" t="s">
        <v>268</v>
      </c>
      <c r="E1467" s="812">
        <v>1</v>
      </c>
      <c r="F1467" s="813">
        <v>50</v>
      </c>
      <c r="G1467" s="777">
        <v>0</v>
      </c>
      <c r="H1467" s="777">
        <v>0</v>
      </c>
      <c r="I1467" s="769">
        <f>ROUND(IF(AND(F1467:H1467),C1467*E1467*F1467*G1467*H1467,IF(AND(F1467,G1467),C1467*E1467*F1467*G1467,IF(AND(F1467,H1467),C1467*E1467*F1467*H1467,IF(AND(G1467,H1467),C1467*E1467*G1467*H1467,IF(F1467,C1467*E1467*F1467,IF(G1467,C1467*E1467*G1467,IF(H1467,C1467*E1467*H1467,C1467*E1467))))))),2)</f>
        <v>50</v>
      </c>
      <c r="J1467" s="803" t="s">
        <v>274</v>
      </c>
      <c r="K1467" s="764"/>
      <c r="L1467" s="757"/>
      <c r="M1467" s="764"/>
    </row>
    <row r="1468" spans="1:17" s="771" customFormat="1" ht="16.5" customHeight="1">
      <c r="A1468" s="757"/>
      <c r="B1468" s="809"/>
      <c r="C1468" s="810"/>
      <c r="D1468" s="811"/>
      <c r="E1468" s="812"/>
      <c r="F1468" s="813"/>
      <c r="G1468" s="777"/>
      <c r="H1468" s="777"/>
      <c r="I1468" s="769"/>
      <c r="J1468" s="803"/>
      <c r="K1468" s="764"/>
      <c r="L1468" s="757"/>
      <c r="M1468" s="764"/>
    </row>
    <row r="1469" spans="1:17" s="763" customFormat="1">
      <c r="A1469" s="757"/>
      <c r="B1469" s="764"/>
      <c r="C1469" s="779"/>
      <c r="D1469" s="780"/>
      <c r="E1469" s="767"/>
      <c r="F1469" s="781"/>
      <c r="G1469" s="782"/>
      <c r="H1469" s="757"/>
      <c r="I1469" s="769">
        <f>SUM(I1467:I1468)</f>
        <v>50</v>
      </c>
      <c r="J1469" s="803" t="s">
        <v>274</v>
      </c>
      <c r="K1469" s="768">
        <f>'Ele Data 2025-26'!I17</f>
        <v>93.96</v>
      </c>
      <c r="L1469" s="768" t="s">
        <v>276</v>
      </c>
      <c r="M1469" s="784">
        <f>ROUND(I1469*K1469,0)</f>
        <v>4698</v>
      </c>
    </row>
    <row r="1470" spans="1:17" s="763" customFormat="1" ht="56.25" customHeight="1">
      <c r="A1470" s="757">
        <v>34</v>
      </c>
      <c r="B1470" s="965" t="s">
        <v>302</v>
      </c>
      <c r="C1470" s="965"/>
      <c r="D1470" s="965"/>
      <c r="E1470" s="965"/>
      <c r="F1470" s="965"/>
      <c r="G1470" s="965"/>
      <c r="H1470" s="965"/>
      <c r="I1470" s="759"/>
      <c r="J1470" s="760"/>
      <c r="K1470" s="757"/>
      <c r="L1470" s="757"/>
      <c r="M1470" s="762"/>
    </row>
    <row r="1471" spans="1:17" s="771" customFormat="1" ht="16.5" customHeight="1">
      <c r="A1471" s="757"/>
      <c r="B1471" s="764"/>
      <c r="C1471" s="759">
        <v>1</v>
      </c>
      <c r="D1471" s="780" t="s">
        <v>268</v>
      </c>
      <c r="E1471" s="767">
        <v>1</v>
      </c>
      <c r="F1471" s="768">
        <v>100</v>
      </c>
      <c r="G1471" s="768">
        <v>0</v>
      </c>
      <c r="H1471" s="768">
        <v>0</v>
      </c>
      <c r="I1471" s="769">
        <f>ROUND(IF(AND(F1471:H1471),C1471*E1471*F1471*G1471*H1471,IF(AND(F1471,G1471),C1471*E1471*F1471*G1471,IF(AND(F1471,H1471),C1471*E1471*F1471*H1471,IF(AND(G1471,H1471),C1471*E1471*G1471*H1471,IF(F1471,C1471*E1471*F1471,IF(G1471,C1471*E1471*G1471,IF(H1471,C1471*E1471*H1471,C1471*E1471))))))),2)</f>
        <v>100</v>
      </c>
      <c r="J1471" s="770" t="s">
        <v>274</v>
      </c>
      <c r="K1471" s="764"/>
      <c r="L1471" s="757"/>
      <c r="M1471" s="764"/>
    </row>
    <row r="1472" spans="1:17" s="771" customFormat="1" ht="16.5" customHeight="1">
      <c r="A1472" s="757"/>
      <c r="B1472" s="773"/>
      <c r="C1472" s="774"/>
      <c r="D1472" s="775"/>
      <c r="E1472" s="776"/>
      <c r="F1472" s="777"/>
      <c r="G1472" s="777"/>
      <c r="H1472" s="777"/>
      <c r="I1472" s="769"/>
      <c r="J1472" s="803"/>
      <c r="K1472" s="764"/>
      <c r="L1472" s="757"/>
      <c r="M1472" s="764"/>
    </row>
    <row r="1473" spans="1:13" s="763" customFormat="1">
      <c r="A1473" s="757"/>
      <c r="B1473" s="764"/>
      <c r="C1473" s="779"/>
      <c r="D1473" s="780"/>
      <c r="E1473" s="767"/>
      <c r="F1473" s="781"/>
      <c r="G1473" s="782"/>
      <c r="H1473" s="757"/>
      <c r="I1473" s="769">
        <f>SUM(I1471:I1472)</f>
        <v>100</v>
      </c>
      <c r="J1473" s="803" t="s">
        <v>274</v>
      </c>
      <c r="K1473" s="768">
        <f>'Ele Data 2025-26'!I34</f>
        <v>113.94</v>
      </c>
      <c r="L1473" s="768" t="s">
        <v>276</v>
      </c>
      <c r="M1473" s="784">
        <f>ROUND(I1473*K1473,0)</f>
        <v>11394</v>
      </c>
    </row>
    <row r="1474" spans="1:13" ht="17.25" hidden="1" customHeight="1">
      <c r="A1474" s="110">
        <v>3</v>
      </c>
      <c r="B1474" s="964" t="s">
        <v>384</v>
      </c>
      <c r="C1474" s="964"/>
      <c r="D1474" s="964"/>
      <c r="E1474" s="964"/>
      <c r="F1474" s="964"/>
      <c r="G1474" s="964"/>
      <c r="H1474" s="964"/>
      <c r="I1474" s="183"/>
      <c r="J1474" s="186"/>
      <c r="K1474" s="110"/>
      <c r="L1474" s="110"/>
      <c r="M1474" s="139"/>
    </row>
    <row r="1475" spans="1:13" s="148" customFormat="1" ht="16.5" hidden="1" customHeight="1">
      <c r="A1475" s="110"/>
      <c r="B1475" s="174" t="s">
        <v>733</v>
      </c>
      <c r="C1475" s="141"/>
      <c r="D1475" s="142"/>
      <c r="E1475" s="143"/>
      <c r="F1475" s="144"/>
      <c r="G1475" s="144"/>
      <c r="H1475" s="145"/>
      <c r="I1475" s="184"/>
      <c r="J1475" s="146"/>
      <c r="K1475" s="147"/>
      <c r="L1475" s="110"/>
      <c r="M1475" s="147"/>
    </row>
    <row r="1476" spans="1:13" s="148" customFormat="1" ht="16.5" hidden="1" customHeight="1">
      <c r="A1476" s="110"/>
      <c r="B1476" s="149" t="s">
        <v>676</v>
      </c>
      <c r="C1476" s="150"/>
      <c r="D1476" s="151"/>
      <c r="E1476" s="152"/>
      <c r="F1476" s="153"/>
      <c r="G1476" s="153"/>
      <c r="H1476" s="153"/>
      <c r="I1476" s="185"/>
      <c r="J1476" s="146"/>
      <c r="K1476" s="147"/>
      <c r="L1476" s="110"/>
      <c r="M1476" s="147"/>
    </row>
    <row r="1477" spans="1:13" s="148" customFormat="1" ht="16.5" hidden="1" customHeight="1">
      <c r="A1477" s="110"/>
      <c r="B1477" s="149" t="s">
        <v>648</v>
      </c>
      <c r="C1477" s="150">
        <v>1</v>
      </c>
      <c r="D1477" s="151" t="s">
        <v>268</v>
      </c>
      <c r="E1477" s="152">
        <v>1</v>
      </c>
      <c r="F1477" s="153">
        <v>4</v>
      </c>
      <c r="G1477" s="153">
        <v>0</v>
      </c>
      <c r="H1477" s="153">
        <v>0</v>
      </c>
      <c r="I1477" s="185">
        <f>ROUND(IF(AND(F1477:H1477),C1477*E1477*F1477*G1477*H1477,IF(AND(F1477,G1477),C1477*E1477*F1477*G1477,IF(AND(F1477,H1477),C1477*E1477*F1477*H1477,IF(AND(G1477,H1477),C1477*E1477*G1477*H1477,IF(F1477,C1477*E1477*F1477,IF(G1477,C1477*E1477*G1477,IF(H1477,C1477*E1477*H1477,C1477*E1477))))))),2)</f>
        <v>4</v>
      </c>
      <c r="J1477" s="146" t="s">
        <v>274</v>
      </c>
      <c r="K1477" s="147"/>
      <c r="L1477" s="110"/>
      <c r="M1477" s="147"/>
    </row>
    <row r="1478" spans="1:13" s="148" customFormat="1" ht="16.5" hidden="1" customHeight="1">
      <c r="A1478" s="110"/>
      <c r="B1478" s="140" t="s">
        <v>677</v>
      </c>
      <c r="C1478" s="150">
        <v>1</v>
      </c>
      <c r="D1478" s="151" t="s">
        <v>268</v>
      </c>
      <c r="E1478" s="152">
        <v>1</v>
      </c>
      <c r="F1478" s="153">
        <v>1.8</v>
      </c>
      <c r="G1478" s="153">
        <v>0</v>
      </c>
      <c r="H1478" s="153">
        <v>0</v>
      </c>
      <c r="I1478" s="185">
        <f>ROUND(IF(AND(F1478:H1478),C1478*E1478*F1478*G1478*H1478,IF(AND(F1478,G1478),C1478*E1478*F1478*G1478,IF(AND(F1478,H1478),C1478*E1478*F1478*H1478,IF(AND(G1478,H1478),C1478*E1478*G1478*H1478,IF(F1478,C1478*E1478*F1478,IF(G1478,C1478*E1478*G1478,IF(H1478,C1478*E1478*H1478,C1478*E1478))))))),2)</f>
        <v>1.8</v>
      </c>
      <c r="J1478" s="146" t="s">
        <v>274</v>
      </c>
      <c r="K1478" s="147"/>
      <c r="L1478" s="110"/>
      <c r="M1478" s="147"/>
    </row>
    <row r="1479" spans="1:13" s="148" customFormat="1" ht="16.5" hidden="1" customHeight="1">
      <c r="A1479" s="110"/>
      <c r="B1479" s="149" t="s">
        <v>678</v>
      </c>
      <c r="C1479" s="150">
        <v>1</v>
      </c>
      <c r="D1479" s="151" t="s">
        <v>268</v>
      </c>
      <c r="E1479" s="152">
        <v>1</v>
      </c>
      <c r="F1479" s="153">
        <v>2</v>
      </c>
      <c r="G1479" s="153">
        <v>0</v>
      </c>
      <c r="H1479" s="153">
        <v>0</v>
      </c>
      <c r="I1479" s="185">
        <f>ROUND(IF(AND(F1479:H1479),C1479*E1479*F1479*G1479*H1479,IF(AND(F1479,G1479),C1479*E1479*F1479*G1479,IF(AND(F1479,H1479),C1479*E1479*F1479*H1479,IF(AND(G1479,H1479),C1479*E1479*G1479*H1479,IF(F1479,C1479*E1479*F1479,IF(G1479,C1479*E1479*G1479,IF(H1479,C1479*E1479*H1479,C1479*E1479))))))),2)</f>
        <v>2</v>
      </c>
      <c r="J1479" s="146" t="s">
        <v>274</v>
      </c>
      <c r="K1479" s="147"/>
      <c r="L1479" s="110"/>
      <c r="M1479" s="147"/>
    </row>
    <row r="1480" spans="1:13" s="148" customFormat="1" ht="16.5" hidden="1" customHeight="1">
      <c r="A1480" s="110"/>
      <c r="B1480" s="149"/>
      <c r="C1480" s="150"/>
      <c r="D1480" s="151"/>
      <c r="E1480" s="152"/>
      <c r="F1480" s="153"/>
      <c r="G1480" s="153"/>
      <c r="H1480" s="153"/>
      <c r="I1480" s="185"/>
      <c r="J1480" s="146"/>
      <c r="K1480" s="147"/>
      <c r="L1480" s="110"/>
      <c r="M1480" s="147"/>
    </row>
    <row r="1481" spans="1:13" hidden="1">
      <c r="A1481" s="110"/>
      <c r="B1481" s="147"/>
      <c r="C1481" s="154"/>
      <c r="D1481" s="155"/>
      <c r="E1481" s="156"/>
      <c r="F1481" s="157"/>
      <c r="G1481" s="158"/>
      <c r="H1481" s="110"/>
      <c r="I1481" s="185"/>
      <c r="J1481" s="146" t="s">
        <v>274</v>
      </c>
      <c r="K1481" s="12">
        <f>'Ele Data 2025-26'!I38</f>
        <v>78</v>
      </c>
      <c r="L1481" s="12" t="s">
        <v>276</v>
      </c>
      <c r="M1481" s="11">
        <f>ROUND(I1481*K1481,0)</f>
        <v>0</v>
      </c>
    </row>
    <row r="1482" spans="1:13" s="763" customFormat="1" ht="27" customHeight="1">
      <c r="A1482" s="757">
        <v>35</v>
      </c>
      <c r="B1482" s="965" t="s">
        <v>417</v>
      </c>
      <c r="C1482" s="965"/>
      <c r="D1482" s="965"/>
      <c r="E1482" s="965"/>
      <c r="F1482" s="965"/>
      <c r="G1482" s="965"/>
      <c r="H1482" s="965"/>
      <c r="I1482" s="759"/>
      <c r="J1482" s="760"/>
      <c r="K1482" s="757"/>
      <c r="L1482" s="757"/>
      <c r="M1482" s="762"/>
    </row>
    <row r="1483" spans="1:13" s="771" customFormat="1" ht="16.5" customHeight="1">
      <c r="A1483" s="757"/>
      <c r="B1483" s="814"/>
      <c r="C1483" s="774">
        <v>1</v>
      </c>
      <c r="D1483" s="775" t="s">
        <v>268</v>
      </c>
      <c r="E1483" s="776">
        <v>5</v>
      </c>
      <c r="F1483" s="777">
        <v>0</v>
      </c>
      <c r="G1483" s="777">
        <v>0</v>
      </c>
      <c r="H1483" s="777">
        <v>0</v>
      </c>
      <c r="I1483" s="815">
        <f>ROUND(IF(AND(F1483:H1483),C1483*E1483*F1483*G1483*H1483,IF(AND(F1483,G1483),C1483*E1483*F1483*G1483,IF(AND(F1483,H1483),C1483*E1483*F1483*H1483,IF(AND(G1483,H1483),C1483*E1483*G1483*H1483,IF(F1483,C1483*E1483*F1483,IF(G1483,C1483*E1483*G1483,IF(H1483,C1483*E1483*H1483,C1483*E1483))))))),2)</f>
        <v>5</v>
      </c>
      <c r="J1483" s="803" t="s">
        <v>114</v>
      </c>
      <c r="K1483" s="764"/>
      <c r="L1483" s="757"/>
      <c r="M1483" s="764"/>
    </row>
    <row r="1484" spans="1:13" s="771" customFormat="1" ht="16.5" customHeight="1">
      <c r="A1484" s="757"/>
      <c r="B1484" s="814"/>
      <c r="C1484" s="774"/>
      <c r="D1484" s="775"/>
      <c r="E1484" s="776"/>
      <c r="F1484" s="777"/>
      <c r="G1484" s="777"/>
      <c r="H1484" s="777"/>
      <c r="I1484" s="815"/>
      <c r="J1484" s="803"/>
      <c r="K1484" s="764"/>
      <c r="L1484" s="757"/>
      <c r="M1484" s="764"/>
    </row>
    <row r="1485" spans="1:13" s="763" customFormat="1">
      <c r="A1485" s="757"/>
      <c r="B1485" s="764"/>
      <c r="C1485" s="779"/>
      <c r="D1485" s="780"/>
      <c r="E1485" s="767"/>
      <c r="F1485" s="781"/>
      <c r="G1485" s="782"/>
      <c r="H1485" s="757"/>
      <c r="I1485" s="815">
        <f>SUM(I1483:I1484)</f>
        <v>5</v>
      </c>
      <c r="J1485" s="803" t="s">
        <v>114</v>
      </c>
      <c r="K1485" s="768">
        <f>'Ele Data 2025-26'!I42</f>
        <v>278.36</v>
      </c>
      <c r="L1485" s="768" t="s">
        <v>271</v>
      </c>
      <c r="M1485" s="784">
        <f>ROUND(I1485*K1485,0)</f>
        <v>1392</v>
      </c>
    </row>
    <row r="1486" spans="1:13" ht="27" hidden="1" customHeight="1">
      <c r="A1486" s="110">
        <v>15</v>
      </c>
      <c r="B1486" s="964" t="s">
        <v>599</v>
      </c>
      <c r="C1486" s="964"/>
      <c r="D1486" s="964"/>
      <c r="E1486" s="964"/>
      <c r="F1486" s="964"/>
      <c r="G1486" s="964"/>
      <c r="H1486" s="964"/>
      <c r="I1486" s="183"/>
      <c r="J1486" s="186"/>
      <c r="K1486" s="110"/>
      <c r="L1486" s="110"/>
      <c r="M1486" s="139"/>
    </row>
    <row r="1487" spans="1:13" s="148" customFormat="1" ht="16.5" hidden="1" customHeight="1">
      <c r="A1487" s="110"/>
      <c r="B1487" s="140"/>
      <c r="C1487" s="150">
        <v>1</v>
      </c>
      <c r="D1487" s="151" t="s">
        <v>268</v>
      </c>
      <c r="E1487" s="152">
        <v>3</v>
      </c>
      <c r="F1487" s="153">
        <v>0</v>
      </c>
      <c r="G1487" s="153">
        <v>0</v>
      </c>
      <c r="H1487" s="153">
        <v>0</v>
      </c>
      <c r="I1487" s="327">
        <f>ROUND(IF(AND(F1487:H1487),C1487*E1487*F1487*G1487*H1487,IF(AND(F1487,G1487),C1487*E1487*F1487*G1487,IF(AND(F1487,H1487),C1487*E1487*F1487*H1487,IF(AND(G1487,H1487),C1487*E1487*G1487*H1487,IF(F1487,C1487*E1487*F1487,IF(G1487,C1487*E1487*G1487,IF(H1487,C1487*E1487*H1487,C1487*E1487))))))),2)</f>
        <v>3</v>
      </c>
      <c r="J1487" s="146" t="s">
        <v>114</v>
      </c>
      <c r="K1487" s="147"/>
      <c r="L1487" s="110"/>
      <c r="M1487" s="147"/>
    </row>
    <row r="1488" spans="1:13" s="148" customFormat="1" ht="16.5" hidden="1" customHeight="1">
      <c r="A1488" s="110"/>
      <c r="B1488" s="140"/>
      <c r="C1488" s="150"/>
      <c r="D1488" s="151"/>
      <c r="E1488" s="152"/>
      <c r="F1488" s="153"/>
      <c r="G1488" s="153"/>
      <c r="H1488" s="153"/>
      <c r="I1488" s="185"/>
      <c r="J1488" s="146"/>
      <c r="K1488" s="147"/>
      <c r="L1488" s="110"/>
      <c r="M1488" s="147"/>
    </row>
    <row r="1489" spans="1:13" hidden="1">
      <c r="A1489" s="110"/>
      <c r="B1489" s="147"/>
      <c r="C1489" s="154"/>
      <c r="D1489" s="155"/>
      <c r="E1489" s="156"/>
      <c r="F1489" s="157"/>
      <c r="G1489" s="158"/>
      <c r="H1489" s="110"/>
      <c r="I1489" s="327"/>
      <c r="J1489" s="146" t="s">
        <v>114</v>
      </c>
      <c r="K1489" s="12">
        <f>'Ele Data 2025-26'!I46</f>
        <v>230.64</v>
      </c>
      <c r="L1489" s="12" t="s">
        <v>271</v>
      </c>
      <c r="M1489" s="11">
        <f>ROUND(I1489*K1489,0)</f>
        <v>0</v>
      </c>
    </row>
    <row r="1490" spans="1:13" ht="27" hidden="1" customHeight="1">
      <c r="A1490" s="110">
        <v>13</v>
      </c>
      <c r="B1490" s="964" t="s">
        <v>679</v>
      </c>
      <c r="C1490" s="964"/>
      <c r="D1490" s="964"/>
      <c r="E1490" s="964"/>
      <c r="F1490" s="964"/>
      <c r="G1490" s="964"/>
      <c r="H1490" s="964"/>
      <c r="I1490" s="183"/>
      <c r="J1490" s="186"/>
      <c r="K1490" s="110"/>
      <c r="L1490" s="110"/>
      <c r="M1490" s="139"/>
    </row>
    <row r="1491" spans="1:13" s="148" customFormat="1" ht="16.5" hidden="1" customHeight="1">
      <c r="A1491" s="110"/>
      <c r="B1491" s="140"/>
      <c r="C1491" s="150">
        <v>1</v>
      </c>
      <c r="D1491" s="151" t="s">
        <v>268</v>
      </c>
      <c r="E1491" s="152">
        <v>1</v>
      </c>
      <c r="F1491" s="153">
        <v>0</v>
      </c>
      <c r="G1491" s="153">
        <v>0</v>
      </c>
      <c r="H1491" s="153">
        <v>0</v>
      </c>
      <c r="I1491" s="327">
        <f>ROUND(IF(AND(F1491:H1491),C1491*E1491*F1491*G1491*H1491,IF(AND(F1491,G1491),C1491*E1491*F1491*G1491,IF(AND(F1491,H1491),C1491*E1491*F1491*H1491,IF(AND(G1491,H1491),C1491*E1491*G1491*H1491,IF(F1491,C1491*E1491*F1491,IF(G1491,C1491*E1491*G1491,IF(H1491,C1491*E1491*H1491,C1491*E1491))))))),2)</f>
        <v>1</v>
      </c>
      <c r="J1491" s="146" t="s">
        <v>114</v>
      </c>
      <c r="K1491" s="147"/>
      <c r="L1491" s="110"/>
      <c r="M1491" s="147"/>
    </row>
    <row r="1492" spans="1:13" s="148" customFormat="1" ht="16.5" hidden="1" customHeight="1">
      <c r="A1492" s="110"/>
      <c r="B1492" s="140"/>
      <c r="C1492" s="150"/>
      <c r="D1492" s="151"/>
      <c r="E1492" s="152"/>
      <c r="F1492" s="153"/>
      <c r="G1492" s="153"/>
      <c r="H1492" s="153"/>
      <c r="I1492" s="327"/>
      <c r="J1492" s="146"/>
      <c r="K1492" s="147"/>
      <c r="L1492" s="110"/>
      <c r="M1492" s="147"/>
    </row>
    <row r="1493" spans="1:13" hidden="1">
      <c r="A1493" s="110"/>
      <c r="B1493" s="147"/>
      <c r="C1493" s="154"/>
      <c r="D1493" s="155"/>
      <c r="E1493" s="156"/>
      <c r="F1493" s="157"/>
      <c r="G1493" s="158"/>
      <c r="H1493" s="110"/>
      <c r="I1493" s="327"/>
      <c r="J1493" s="146" t="s">
        <v>114</v>
      </c>
      <c r="K1493" s="12">
        <f>'Ele Data 2025-26'!I49</f>
        <v>155</v>
      </c>
      <c r="L1493" s="12" t="s">
        <v>271</v>
      </c>
      <c r="M1493" s="11">
        <f>ROUND(I1493*K1493,0)</f>
        <v>0</v>
      </c>
    </row>
    <row r="1494" spans="1:13" ht="27" hidden="1" customHeight="1">
      <c r="A1494" s="110">
        <v>4</v>
      </c>
      <c r="B1494" s="964" t="s">
        <v>1280</v>
      </c>
      <c r="C1494" s="964"/>
      <c r="D1494" s="964"/>
      <c r="E1494" s="964"/>
      <c r="F1494" s="964"/>
      <c r="G1494" s="964"/>
      <c r="H1494" s="964"/>
      <c r="I1494" s="183"/>
      <c r="J1494" s="186"/>
      <c r="K1494" s="110"/>
      <c r="L1494" s="110"/>
      <c r="M1494" s="139"/>
    </row>
    <row r="1495" spans="1:13" s="148" customFormat="1" ht="16.5" hidden="1" customHeight="1">
      <c r="A1495" s="110"/>
      <c r="B1495" s="147" t="s">
        <v>1262</v>
      </c>
      <c r="C1495" s="141"/>
      <c r="D1495" s="142"/>
      <c r="E1495" s="143"/>
      <c r="F1495" s="144"/>
      <c r="G1495" s="144"/>
      <c r="H1495" s="145"/>
      <c r="I1495" s="184"/>
      <c r="J1495" s="146"/>
      <c r="K1495" s="147"/>
      <c r="L1495" s="110"/>
      <c r="M1495" s="147"/>
    </row>
    <row r="1496" spans="1:13" s="148" customFormat="1" ht="16.5" hidden="1" customHeight="1">
      <c r="A1496" s="110"/>
      <c r="B1496" s="140" t="s">
        <v>574</v>
      </c>
      <c r="C1496" s="150">
        <v>1</v>
      </c>
      <c r="D1496" s="151" t="s">
        <v>268</v>
      </c>
      <c r="E1496" s="152">
        <v>1</v>
      </c>
      <c r="F1496" s="153">
        <v>0</v>
      </c>
      <c r="G1496" s="153">
        <v>0</v>
      </c>
      <c r="H1496" s="153">
        <v>0</v>
      </c>
      <c r="I1496" s="185">
        <f>ROUND(IF(AND(F1496:H1496),C1496*E1496*F1496*G1496*H1496,IF(AND(F1496,G1496),C1496*E1496*F1496*G1496,IF(AND(F1496,H1496),C1496*E1496*F1496*H1496,IF(AND(G1496,H1496),C1496*E1496*G1496*H1496,IF(F1496,C1496*E1496*F1496,IF(G1496,C1496*E1496*G1496,IF(H1496,C1496*E1496*H1496,C1496*E1496))))))),2)</f>
        <v>1</v>
      </c>
      <c r="J1496" s="146" t="s">
        <v>114</v>
      </c>
      <c r="K1496" s="147"/>
      <c r="L1496" s="110"/>
      <c r="M1496" s="147"/>
    </row>
    <row r="1497" spans="1:13" s="148" customFormat="1" ht="16.5" hidden="1" customHeight="1">
      <c r="A1497" s="110"/>
      <c r="B1497" s="140" t="s">
        <v>1264</v>
      </c>
      <c r="C1497" s="150">
        <v>1</v>
      </c>
      <c r="D1497" s="151" t="s">
        <v>268</v>
      </c>
      <c r="E1497" s="152">
        <v>1</v>
      </c>
      <c r="F1497" s="153">
        <v>0</v>
      </c>
      <c r="G1497" s="153">
        <v>0</v>
      </c>
      <c r="H1497" s="153">
        <v>0</v>
      </c>
      <c r="I1497" s="185">
        <f>ROUND(IF(AND(F1497:H1497),C1497*E1497*F1497*G1497*H1497,IF(AND(F1497,G1497),C1497*E1497*F1497*G1497,IF(AND(F1497,H1497),C1497*E1497*F1497*H1497,IF(AND(G1497,H1497),C1497*E1497*G1497*H1497,IF(F1497,C1497*E1497*F1497,IF(G1497,C1497*E1497*G1497,IF(H1497,C1497*E1497*H1497,C1497*E1497))))))),2)</f>
        <v>1</v>
      </c>
      <c r="J1497" s="146" t="s">
        <v>114</v>
      </c>
      <c r="K1497" s="147"/>
      <c r="L1497" s="110"/>
      <c r="M1497" s="147"/>
    </row>
    <row r="1498" spans="1:13" s="148" customFormat="1" ht="16.5" hidden="1" customHeight="1">
      <c r="A1498" s="110"/>
      <c r="B1498" s="140" t="s">
        <v>1263</v>
      </c>
      <c r="C1498" s="150">
        <v>1</v>
      </c>
      <c r="D1498" s="151" t="s">
        <v>268</v>
      </c>
      <c r="E1498" s="152">
        <v>1</v>
      </c>
      <c r="F1498" s="153">
        <v>0</v>
      </c>
      <c r="G1498" s="153">
        <v>0</v>
      </c>
      <c r="H1498" s="153">
        <v>0</v>
      </c>
      <c r="I1498" s="185">
        <f>ROUND(IF(AND(F1498:H1498),C1498*E1498*F1498*G1498*H1498,IF(AND(F1498,G1498),C1498*E1498*F1498*G1498,IF(AND(F1498,H1498),C1498*E1498*F1498*H1498,IF(AND(G1498,H1498),C1498*E1498*G1498*H1498,IF(F1498,C1498*E1498*F1498,IF(G1498,C1498*E1498*G1498,IF(H1498,C1498*E1498*H1498,C1498*E1498))))))),2)</f>
        <v>1</v>
      </c>
      <c r="J1498" s="146" t="s">
        <v>114</v>
      </c>
      <c r="K1498" s="147"/>
      <c r="L1498" s="110"/>
      <c r="M1498" s="147"/>
    </row>
    <row r="1499" spans="1:13" s="148" customFormat="1" ht="16.5" hidden="1" customHeight="1">
      <c r="A1499" s="110"/>
      <c r="B1499" s="140" t="s">
        <v>228</v>
      </c>
      <c r="C1499" s="150">
        <v>1</v>
      </c>
      <c r="D1499" s="151" t="s">
        <v>268</v>
      </c>
      <c r="E1499" s="152">
        <v>2</v>
      </c>
      <c r="F1499" s="153">
        <v>0</v>
      </c>
      <c r="G1499" s="153">
        <v>0</v>
      </c>
      <c r="H1499" s="153">
        <v>0</v>
      </c>
      <c r="I1499" s="185">
        <f>ROUND(IF(AND(F1499:H1499),C1499*E1499*F1499*G1499*H1499,IF(AND(F1499,G1499),C1499*E1499*F1499*G1499,IF(AND(F1499,H1499),C1499*E1499*F1499*H1499,IF(AND(G1499,H1499),C1499*E1499*G1499*H1499,IF(F1499,C1499*E1499*F1499,IF(G1499,C1499*E1499*G1499,IF(H1499,C1499*E1499*H1499,C1499*E1499))))))),2)</f>
        <v>2</v>
      </c>
      <c r="J1499" s="146" t="s">
        <v>114</v>
      </c>
      <c r="K1499" s="147"/>
      <c r="L1499" s="110"/>
      <c r="M1499" s="147"/>
    </row>
    <row r="1500" spans="1:13" hidden="1">
      <c r="A1500" s="110"/>
      <c r="B1500" s="147"/>
      <c r="C1500" s="154"/>
      <c r="D1500" s="155"/>
      <c r="E1500" s="156"/>
      <c r="F1500" s="157"/>
      <c r="G1500" s="158"/>
      <c r="H1500" s="110"/>
      <c r="I1500" s="185"/>
      <c r="J1500" s="146" t="s">
        <v>114</v>
      </c>
      <c r="K1500" s="12">
        <f>'Ele Data 2025-26'!I60</f>
        <v>359</v>
      </c>
      <c r="L1500" s="12" t="s">
        <v>271</v>
      </c>
      <c r="M1500" s="11">
        <f>ROUND(I1500*K1500,0)</f>
        <v>0</v>
      </c>
    </row>
    <row r="1501" spans="1:13" ht="27" hidden="1" customHeight="1">
      <c r="A1501" s="110">
        <v>6</v>
      </c>
      <c r="B1501" s="964" t="s">
        <v>601</v>
      </c>
      <c r="C1501" s="964"/>
      <c r="D1501" s="964"/>
      <c r="E1501" s="964"/>
      <c r="F1501" s="964"/>
      <c r="G1501" s="964"/>
      <c r="H1501" s="964"/>
      <c r="I1501" s="183"/>
      <c r="J1501" s="186"/>
      <c r="K1501" s="110"/>
      <c r="L1501" s="110"/>
      <c r="M1501" s="139"/>
    </row>
    <row r="1502" spans="1:13" s="148" customFormat="1" ht="16.5" hidden="1" customHeight="1">
      <c r="A1502" s="110"/>
      <c r="B1502" s="140" t="s">
        <v>596</v>
      </c>
      <c r="C1502" s="141"/>
      <c r="D1502" s="142"/>
      <c r="E1502" s="143"/>
      <c r="F1502" s="144"/>
      <c r="G1502" s="144"/>
      <c r="H1502" s="145"/>
      <c r="I1502" s="184"/>
      <c r="J1502" s="146"/>
      <c r="K1502" s="147"/>
      <c r="L1502" s="110"/>
      <c r="M1502" s="147"/>
    </row>
    <row r="1503" spans="1:13" s="148" customFormat="1" ht="16.5" hidden="1" customHeight="1">
      <c r="A1503" s="110"/>
      <c r="B1503" s="140" t="s">
        <v>991</v>
      </c>
      <c r="C1503" s="150">
        <v>2</v>
      </c>
      <c r="D1503" s="151" t="s">
        <v>268</v>
      </c>
      <c r="E1503" s="152">
        <v>1</v>
      </c>
      <c r="F1503" s="153">
        <v>0</v>
      </c>
      <c r="G1503" s="153">
        <v>0</v>
      </c>
      <c r="H1503" s="153">
        <v>0</v>
      </c>
      <c r="I1503" s="185">
        <f>ROUND(IF(AND(F1503:H1503),C1503*E1503*F1503*G1503*H1503,IF(AND(F1503,G1503),C1503*E1503*F1503*G1503,IF(AND(F1503,H1503),C1503*E1503*F1503*H1503,IF(AND(G1503,H1503),C1503*E1503*G1503*H1503,IF(F1503,C1503*E1503*F1503,IF(G1503,C1503*E1503*G1503,IF(H1503,C1503*E1503*H1503,C1503*E1503))))))),2)</f>
        <v>2</v>
      </c>
      <c r="J1503" s="146" t="s">
        <v>114</v>
      </c>
      <c r="K1503" s="147"/>
      <c r="L1503" s="110"/>
      <c r="M1503" s="147"/>
    </row>
    <row r="1504" spans="1:13" hidden="1">
      <c r="A1504" s="110"/>
      <c r="B1504" s="147"/>
      <c r="C1504" s="154"/>
      <c r="D1504" s="155"/>
      <c r="E1504" s="156"/>
      <c r="F1504" s="157"/>
      <c r="G1504" s="158"/>
      <c r="H1504" s="110"/>
      <c r="I1504" s="185"/>
      <c r="J1504" s="146" t="s">
        <v>114</v>
      </c>
      <c r="K1504" s="12">
        <f>'Ele Data 2025-26'!I56</f>
        <v>400</v>
      </c>
      <c r="L1504" s="12" t="s">
        <v>271</v>
      </c>
      <c r="M1504" s="11">
        <f>ROUND(I1504*K1504,0)</f>
        <v>0</v>
      </c>
    </row>
    <row r="1505" spans="1:13" ht="27" hidden="1" customHeight="1">
      <c r="A1505" s="110">
        <v>14</v>
      </c>
      <c r="B1505" s="964" t="s">
        <v>736</v>
      </c>
      <c r="C1505" s="964"/>
      <c r="D1505" s="964"/>
      <c r="E1505" s="964"/>
      <c r="F1505" s="964"/>
      <c r="G1505" s="964"/>
      <c r="H1505" s="964"/>
      <c r="I1505" s="183"/>
      <c r="J1505" s="186"/>
      <c r="K1505" s="110"/>
      <c r="L1505" s="110"/>
      <c r="M1505" s="139"/>
    </row>
    <row r="1506" spans="1:13" s="148" customFormat="1" ht="16.5" hidden="1" customHeight="1">
      <c r="A1506" s="110"/>
      <c r="B1506" s="140"/>
      <c r="C1506" s="150">
        <v>1</v>
      </c>
      <c r="D1506" s="151" t="s">
        <v>268</v>
      </c>
      <c r="E1506" s="152">
        <v>4</v>
      </c>
      <c r="F1506" s="153">
        <v>0</v>
      </c>
      <c r="G1506" s="153">
        <v>0</v>
      </c>
      <c r="H1506" s="153">
        <v>0</v>
      </c>
      <c r="I1506" s="327">
        <f>ROUND(IF(AND(F1506:H1506),C1506*E1506*F1506*G1506*H1506,IF(AND(F1506,G1506),C1506*E1506*F1506*G1506,IF(AND(F1506,H1506),C1506*E1506*F1506*H1506,IF(AND(G1506,H1506),C1506*E1506*G1506*H1506,IF(F1506,C1506*E1506*F1506,IF(G1506,C1506*E1506*G1506,IF(H1506,C1506*E1506*H1506,C1506*E1506))))))),2)</f>
        <v>4</v>
      </c>
      <c r="J1506" s="146" t="s">
        <v>114</v>
      </c>
      <c r="K1506" s="147"/>
      <c r="L1506" s="110"/>
      <c r="M1506" s="147"/>
    </row>
    <row r="1507" spans="1:13" s="148" customFormat="1" ht="16.5" hidden="1" customHeight="1">
      <c r="A1507" s="110"/>
      <c r="B1507" s="140"/>
      <c r="C1507" s="150"/>
      <c r="D1507" s="151"/>
      <c r="E1507" s="152"/>
      <c r="F1507" s="153"/>
      <c r="G1507" s="153"/>
      <c r="H1507" s="153"/>
      <c r="I1507" s="327"/>
      <c r="J1507" s="146"/>
      <c r="K1507" s="147"/>
      <c r="L1507" s="110"/>
      <c r="M1507" s="147"/>
    </row>
    <row r="1508" spans="1:13" hidden="1">
      <c r="A1508" s="110"/>
      <c r="B1508" s="147"/>
      <c r="C1508" s="154"/>
      <c r="D1508" s="155"/>
      <c r="E1508" s="156"/>
      <c r="F1508" s="157"/>
      <c r="G1508" s="158"/>
      <c r="H1508" s="110"/>
      <c r="I1508" s="327"/>
      <c r="J1508" s="146" t="s">
        <v>114</v>
      </c>
      <c r="K1508" s="12">
        <f>'Ele Data 2025-26'!I52</f>
        <v>114</v>
      </c>
      <c r="L1508" s="12" t="s">
        <v>271</v>
      </c>
      <c r="M1508" s="11">
        <f>ROUND(I1508*K1508,0)</f>
        <v>0</v>
      </c>
    </row>
    <row r="1509" spans="1:13" ht="27" hidden="1" customHeight="1">
      <c r="A1509" s="110">
        <v>43</v>
      </c>
      <c r="B1509" s="964" t="s">
        <v>418</v>
      </c>
      <c r="C1509" s="964"/>
      <c r="D1509" s="964"/>
      <c r="E1509" s="964"/>
      <c r="F1509" s="964"/>
      <c r="G1509" s="964"/>
      <c r="H1509" s="964"/>
      <c r="I1509" s="183"/>
      <c r="J1509" s="186"/>
      <c r="K1509" s="110"/>
      <c r="L1509" s="110"/>
      <c r="M1509" s="139"/>
    </row>
    <row r="1510" spans="1:13" s="148" customFormat="1" ht="16.5" hidden="1" customHeight="1">
      <c r="A1510" s="110"/>
      <c r="B1510" s="140" t="s">
        <v>566</v>
      </c>
      <c r="C1510" s="150">
        <v>1</v>
      </c>
      <c r="D1510" s="151" t="s">
        <v>268</v>
      </c>
      <c r="E1510" s="152">
        <v>3</v>
      </c>
      <c r="F1510" s="153">
        <v>0</v>
      </c>
      <c r="G1510" s="153">
        <v>0</v>
      </c>
      <c r="H1510" s="153">
        <v>0</v>
      </c>
      <c r="I1510" s="327">
        <f>ROUND(IF(AND(F1510:H1510),C1510*E1510*F1510*G1510*H1510,IF(AND(F1510,G1510),C1510*E1510*F1510*G1510,IF(AND(F1510,H1510),C1510*E1510*F1510*H1510,IF(AND(G1510,H1510),C1510*E1510*G1510*H1510,IF(F1510,C1510*E1510*F1510,IF(G1510,C1510*E1510*G1510,IF(H1510,C1510*E1510*H1510,C1510*E1510))))))),2)</f>
        <v>3</v>
      </c>
      <c r="J1510" s="146" t="s">
        <v>114</v>
      </c>
      <c r="K1510" s="147"/>
      <c r="L1510" s="110"/>
      <c r="M1510" s="147"/>
    </row>
    <row r="1511" spans="1:13" hidden="1">
      <c r="A1511" s="110"/>
      <c r="B1511" s="147"/>
      <c r="C1511" s="154"/>
      <c r="D1511" s="155"/>
      <c r="E1511" s="156"/>
      <c r="F1511" s="157"/>
      <c r="G1511" s="158"/>
      <c r="H1511" s="110"/>
      <c r="I1511" s="327"/>
      <c r="J1511" s="146" t="s">
        <v>114</v>
      </c>
      <c r="K1511" s="12">
        <f>'Ele Data 2025-26'!I63</f>
        <v>68</v>
      </c>
      <c r="L1511" s="12" t="s">
        <v>271</v>
      </c>
      <c r="M1511" s="11">
        <f>ROUND(I1511*K1511,0)</f>
        <v>0</v>
      </c>
    </row>
    <row r="1512" spans="1:13" s="763" customFormat="1" ht="64.5" customHeight="1">
      <c r="A1512" s="757">
        <v>36</v>
      </c>
      <c r="B1512" s="965" t="s">
        <v>681</v>
      </c>
      <c r="C1512" s="965"/>
      <c r="D1512" s="965"/>
      <c r="E1512" s="965"/>
      <c r="F1512" s="965"/>
      <c r="G1512" s="965"/>
      <c r="H1512" s="965"/>
      <c r="I1512" s="759"/>
      <c r="J1512" s="760"/>
      <c r="K1512" s="757"/>
      <c r="L1512" s="757"/>
      <c r="M1512" s="762"/>
    </row>
    <row r="1513" spans="1:13" s="771" customFormat="1" ht="16.5" customHeight="1">
      <c r="A1513" s="757"/>
      <c r="B1513" s="814" t="s">
        <v>2266</v>
      </c>
      <c r="C1513" s="774">
        <v>1</v>
      </c>
      <c r="D1513" s="775" t="s">
        <v>268</v>
      </c>
      <c r="E1513" s="776">
        <v>8</v>
      </c>
      <c r="F1513" s="777">
        <v>0</v>
      </c>
      <c r="G1513" s="777">
        <v>0</v>
      </c>
      <c r="H1513" s="777">
        <v>0</v>
      </c>
      <c r="I1513" s="815">
        <f>ROUND(IF(AND(F1513:H1513),C1513*E1513*F1513*G1513*H1513,IF(AND(F1513,G1513),C1513*E1513*F1513*G1513,IF(AND(F1513,H1513),C1513*E1513*F1513*H1513,IF(AND(G1513,H1513),C1513*E1513*G1513*H1513,IF(F1513,C1513*E1513*F1513,IF(G1513,C1513*E1513*G1513,IF(H1513,C1513*E1513*H1513,C1513*E1513))))))),2)</f>
        <v>8</v>
      </c>
      <c r="J1513" s="803" t="s">
        <v>421</v>
      </c>
      <c r="K1513" s="764"/>
      <c r="L1513" s="757"/>
      <c r="M1513" s="764"/>
    </row>
    <row r="1514" spans="1:13" s="771" customFormat="1" ht="16.5" customHeight="1">
      <c r="A1514" s="757"/>
      <c r="B1514" s="814" t="s">
        <v>2267</v>
      </c>
      <c r="C1514" s="774">
        <v>1</v>
      </c>
      <c r="D1514" s="775" t="s">
        <v>268</v>
      </c>
      <c r="E1514" s="776">
        <v>6</v>
      </c>
      <c r="F1514" s="777">
        <v>0</v>
      </c>
      <c r="G1514" s="777">
        <v>0</v>
      </c>
      <c r="H1514" s="777">
        <v>0</v>
      </c>
      <c r="I1514" s="815">
        <f>ROUND(IF(AND(F1514:H1514),C1514*E1514*F1514*G1514*H1514,IF(AND(F1514,G1514),C1514*E1514*F1514*G1514,IF(AND(F1514,H1514),C1514*E1514*F1514*H1514,IF(AND(G1514,H1514),C1514*E1514*G1514*H1514,IF(F1514,C1514*E1514*F1514,IF(G1514,C1514*E1514*G1514,IF(H1514,C1514*E1514*H1514,C1514*E1514))))))),2)</f>
        <v>6</v>
      </c>
      <c r="J1514" s="803" t="s">
        <v>421</v>
      </c>
      <c r="K1514" s="764"/>
      <c r="L1514" s="757"/>
      <c r="M1514" s="764"/>
    </row>
    <row r="1515" spans="1:13" s="771" customFormat="1" ht="16.5" customHeight="1">
      <c r="A1515" s="757"/>
      <c r="B1515" s="814"/>
      <c r="C1515" s="774"/>
      <c r="D1515" s="775"/>
      <c r="E1515" s="776"/>
      <c r="F1515" s="777"/>
      <c r="G1515" s="777"/>
      <c r="H1515" s="777"/>
      <c r="I1515" s="815"/>
      <c r="J1515" s="803"/>
      <c r="K1515" s="764"/>
      <c r="L1515" s="757"/>
      <c r="M1515" s="764"/>
    </row>
    <row r="1516" spans="1:13" s="763" customFormat="1">
      <c r="A1516" s="757"/>
      <c r="B1516" s="764"/>
      <c r="C1516" s="779"/>
      <c r="D1516" s="780"/>
      <c r="E1516" s="767"/>
      <c r="F1516" s="781"/>
      <c r="G1516" s="782"/>
      <c r="H1516" s="757"/>
      <c r="I1516" s="815">
        <f>SUM(I1513:I1515)</f>
        <v>14</v>
      </c>
      <c r="J1516" s="803" t="s">
        <v>421</v>
      </c>
      <c r="K1516" s="768">
        <f>'Ele Data 2025-26'!I104</f>
        <v>603.67999999999995</v>
      </c>
      <c r="L1516" s="768" t="s">
        <v>422</v>
      </c>
      <c r="M1516" s="784">
        <f>ROUND(I1516*K1516,0)</f>
        <v>8452</v>
      </c>
    </row>
    <row r="1517" spans="1:13" s="763" customFormat="1" ht="67.5" customHeight="1">
      <c r="A1517" s="757">
        <v>37</v>
      </c>
      <c r="B1517" s="965" t="s">
        <v>682</v>
      </c>
      <c r="C1517" s="965"/>
      <c r="D1517" s="965"/>
      <c r="E1517" s="965"/>
      <c r="F1517" s="965"/>
      <c r="G1517" s="965"/>
      <c r="H1517" s="965"/>
      <c r="I1517" s="759"/>
      <c r="J1517" s="760"/>
      <c r="K1517" s="757"/>
      <c r="L1517" s="757"/>
      <c r="M1517" s="762"/>
    </row>
    <row r="1518" spans="1:13" s="771" customFormat="1" ht="16.5" customHeight="1">
      <c r="A1518" s="757"/>
      <c r="B1518" s="814" t="s">
        <v>2187</v>
      </c>
      <c r="C1518" s="774">
        <v>1</v>
      </c>
      <c r="D1518" s="775" t="s">
        <v>268</v>
      </c>
      <c r="E1518" s="776">
        <v>6</v>
      </c>
      <c r="F1518" s="777">
        <v>0</v>
      </c>
      <c r="G1518" s="777">
        <v>0</v>
      </c>
      <c r="H1518" s="777">
        <v>0</v>
      </c>
      <c r="I1518" s="815">
        <f t="shared" ref="I1518" si="101">ROUND(IF(AND(F1518:H1518),C1518*E1518*F1518*G1518*H1518,IF(AND(F1518,G1518),C1518*E1518*F1518*G1518,IF(AND(F1518,H1518),C1518*E1518*F1518*H1518,IF(AND(G1518,H1518),C1518*E1518*G1518*H1518,IF(F1518,C1518*E1518*F1518,IF(G1518,C1518*E1518*G1518,IF(H1518,C1518*E1518*H1518,C1518*E1518))))))),2)</f>
        <v>6</v>
      </c>
      <c r="J1518" s="803" t="s">
        <v>421</v>
      </c>
      <c r="K1518" s="764"/>
      <c r="L1518" s="757"/>
      <c r="M1518" s="764"/>
    </row>
    <row r="1519" spans="1:13" s="771" customFormat="1" ht="16.5" customHeight="1">
      <c r="A1519" s="757"/>
      <c r="B1519" s="814"/>
      <c r="C1519" s="774"/>
      <c r="D1519" s="775"/>
      <c r="E1519" s="776"/>
      <c r="F1519" s="777"/>
      <c r="G1519" s="777"/>
      <c r="H1519" s="777"/>
      <c r="I1519" s="769"/>
      <c r="J1519" s="803"/>
      <c r="K1519" s="764"/>
      <c r="L1519" s="757"/>
      <c r="M1519" s="764"/>
    </row>
    <row r="1520" spans="1:13" s="763" customFormat="1">
      <c r="A1520" s="757"/>
      <c r="B1520" s="764"/>
      <c r="C1520" s="779"/>
      <c r="D1520" s="780"/>
      <c r="E1520" s="767"/>
      <c r="F1520" s="781"/>
      <c r="G1520" s="782"/>
      <c r="H1520" s="757"/>
      <c r="I1520" s="815">
        <f>SUM(I1518:I1519)</f>
        <v>6</v>
      </c>
      <c r="J1520" s="803" t="s">
        <v>421</v>
      </c>
      <c r="K1520" s="768">
        <f>'Ele Data 2025-26'!I119</f>
        <v>628.66999999999996</v>
      </c>
      <c r="L1520" s="768" t="s">
        <v>422</v>
      </c>
      <c r="M1520" s="784">
        <f>ROUND(I1520*K1520,0)</f>
        <v>3772</v>
      </c>
    </row>
    <row r="1521" spans="1:13" s="763" customFormat="1" ht="44.25" customHeight="1">
      <c r="A1521" s="757">
        <v>38</v>
      </c>
      <c r="B1521" s="965" t="s">
        <v>419</v>
      </c>
      <c r="C1521" s="965"/>
      <c r="D1521" s="965"/>
      <c r="E1521" s="965"/>
      <c r="F1521" s="965"/>
      <c r="G1521" s="965"/>
      <c r="H1521" s="965"/>
      <c r="I1521" s="759"/>
      <c r="J1521" s="760"/>
      <c r="K1521" s="757"/>
      <c r="L1521" s="757"/>
      <c r="M1521" s="762"/>
    </row>
    <row r="1522" spans="1:13" s="771" customFormat="1" ht="16.5" customHeight="1">
      <c r="A1522" s="757"/>
      <c r="B1522" s="809"/>
      <c r="C1522" s="774">
        <v>1</v>
      </c>
      <c r="D1522" s="775" t="s">
        <v>268</v>
      </c>
      <c r="E1522" s="776">
        <v>1</v>
      </c>
      <c r="F1522" s="816">
        <v>180</v>
      </c>
      <c r="G1522" s="777">
        <v>0</v>
      </c>
      <c r="H1522" s="777">
        <v>0</v>
      </c>
      <c r="I1522" s="769">
        <f t="shared" ref="I1522" si="102">ROUND(IF(AND(F1522:H1522),C1522*E1522*F1522*G1522*H1522,IF(AND(F1522,G1522),C1522*E1522*F1522*G1522,IF(AND(F1522,H1522),C1522*E1522*F1522*H1522,IF(AND(G1522,H1522),C1522*E1522*G1522*H1522,IF(F1522,C1522*E1522*F1522,IF(G1522,C1522*E1522*G1522,IF(H1522,C1522*E1522*H1522,C1522*E1522))))))),2)</f>
        <v>180</v>
      </c>
      <c r="J1522" s="803" t="s">
        <v>274</v>
      </c>
      <c r="K1522" s="764"/>
      <c r="L1522" s="757"/>
      <c r="M1522" s="764"/>
    </row>
    <row r="1523" spans="1:13" s="771" customFormat="1" ht="16.5" customHeight="1">
      <c r="A1523" s="757"/>
      <c r="B1523" s="814"/>
      <c r="C1523" s="774"/>
      <c r="D1523" s="775"/>
      <c r="E1523" s="776"/>
      <c r="F1523" s="816"/>
      <c r="G1523" s="777"/>
      <c r="H1523" s="777"/>
      <c r="I1523" s="769"/>
      <c r="J1523" s="803"/>
      <c r="K1523" s="764"/>
      <c r="L1523" s="757"/>
      <c r="M1523" s="764"/>
    </row>
    <row r="1524" spans="1:13" s="763" customFormat="1">
      <c r="A1524" s="757"/>
      <c r="B1524" s="764"/>
      <c r="C1524" s="779"/>
      <c r="D1524" s="780"/>
      <c r="E1524" s="767"/>
      <c r="F1524" s="781"/>
      <c r="G1524" s="782"/>
      <c r="H1524" s="757"/>
      <c r="I1524" s="769">
        <f>SUM(I1522:I1523)</f>
        <v>180</v>
      </c>
      <c r="J1524" s="803" t="s">
        <v>274</v>
      </c>
      <c r="K1524" s="768">
        <f>'Ele Data 2025-26'!I177</f>
        <v>101.1</v>
      </c>
      <c r="L1524" s="768" t="s">
        <v>276</v>
      </c>
      <c r="M1524" s="784">
        <f>ROUND(I1524*K1524,0)</f>
        <v>18198</v>
      </c>
    </row>
    <row r="1525" spans="1:13" s="763" customFormat="1" ht="44.25" customHeight="1">
      <c r="A1525" s="757">
        <v>39</v>
      </c>
      <c r="B1525" s="965" t="s">
        <v>420</v>
      </c>
      <c r="C1525" s="965"/>
      <c r="D1525" s="965"/>
      <c r="E1525" s="965"/>
      <c r="F1525" s="965"/>
      <c r="G1525" s="965"/>
      <c r="H1525" s="965"/>
      <c r="I1525" s="759"/>
      <c r="J1525" s="760"/>
      <c r="K1525" s="757"/>
      <c r="L1525" s="757"/>
      <c r="M1525" s="762"/>
    </row>
    <row r="1526" spans="1:13" s="771" customFormat="1" ht="16.5" customHeight="1">
      <c r="A1526" s="757"/>
      <c r="B1526" s="814"/>
      <c r="C1526" s="774">
        <v>1</v>
      </c>
      <c r="D1526" s="775" t="s">
        <v>268</v>
      </c>
      <c r="E1526" s="776">
        <v>1</v>
      </c>
      <c r="F1526" s="816">
        <v>10</v>
      </c>
      <c r="G1526" s="777">
        <v>0</v>
      </c>
      <c r="H1526" s="777">
        <v>0</v>
      </c>
      <c r="I1526" s="769">
        <f>ROUND(IF(AND(F1526:H1526),C1526*E1526*F1526*G1526*H1526,IF(AND(F1526,G1526),C1526*E1526*F1526*G1526,IF(AND(F1526,H1526),C1526*E1526*F1526*H1526,IF(AND(G1526,H1526),C1526*E1526*G1526*H1526,IF(F1526,C1526*E1526*F1526,IF(G1526,C1526*E1526*G1526,IF(H1526,C1526*E1526*H1526,C1526*E1526))))))),2)</f>
        <v>10</v>
      </c>
      <c r="J1526" s="803" t="s">
        <v>274</v>
      </c>
      <c r="K1526" s="764"/>
      <c r="L1526" s="757"/>
      <c r="M1526" s="764"/>
    </row>
    <row r="1527" spans="1:13" s="771" customFormat="1" ht="16.5" customHeight="1">
      <c r="A1527" s="757"/>
      <c r="B1527" s="814"/>
      <c r="C1527" s="774"/>
      <c r="D1527" s="775"/>
      <c r="E1527" s="776"/>
      <c r="F1527" s="816"/>
      <c r="G1527" s="777"/>
      <c r="H1527" s="777"/>
      <c r="I1527" s="769"/>
      <c r="J1527" s="803"/>
      <c r="K1527" s="764"/>
      <c r="L1527" s="757"/>
      <c r="M1527" s="764"/>
    </row>
    <row r="1528" spans="1:13" s="763" customFormat="1">
      <c r="A1528" s="757"/>
      <c r="B1528" s="764"/>
      <c r="C1528" s="779"/>
      <c r="D1528" s="780"/>
      <c r="E1528" s="767"/>
      <c r="F1528" s="781"/>
      <c r="G1528" s="782"/>
      <c r="H1528" s="757"/>
      <c r="I1528" s="769">
        <f>SUM(I1526:I1527)</f>
        <v>10</v>
      </c>
      <c r="J1528" s="803" t="s">
        <v>274</v>
      </c>
      <c r="K1528" s="768">
        <f>'Ele Data 2025-26'!I189</f>
        <v>153.57339999999999</v>
      </c>
      <c r="L1528" s="768" t="s">
        <v>276</v>
      </c>
      <c r="M1528" s="784">
        <f>ROUND(I1528*K1528,0)</f>
        <v>1536</v>
      </c>
    </row>
    <row r="1529" spans="1:13" s="763" customFormat="1" ht="44.25" customHeight="1">
      <c r="A1529" s="757">
        <v>40</v>
      </c>
      <c r="B1529" s="965" t="s">
        <v>836</v>
      </c>
      <c r="C1529" s="965"/>
      <c r="D1529" s="965"/>
      <c r="E1529" s="965"/>
      <c r="F1529" s="965"/>
      <c r="G1529" s="965"/>
      <c r="H1529" s="965"/>
      <c r="I1529" s="759"/>
      <c r="J1529" s="760"/>
      <c r="K1529" s="757"/>
      <c r="L1529" s="757"/>
      <c r="M1529" s="762"/>
    </row>
    <row r="1530" spans="1:13" s="771" customFormat="1" ht="16.5" customHeight="1">
      <c r="A1530" s="757"/>
      <c r="B1530" s="814"/>
      <c r="C1530" s="774">
        <v>1</v>
      </c>
      <c r="D1530" s="775" t="s">
        <v>268</v>
      </c>
      <c r="E1530" s="776">
        <v>1</v>
      </c>
      <c r="F1530" s="816">
        <v>20</v>
      </c>
      <c r="G1530" s="777">
        <v>0</v>
      </c>
      <c r="H1530" s="777">
        <v>0</v>
      </c>
      <c r="I1530" s="769">
        <f>ROUND(IF(AND(F1530:H1530),C1530*E1530*F1530*G1530*H1530,IF(AND(F1530,G1530),C1530*E1530*F1530*G1530,IF(AND(F1530,H1530),C1530*E1530*F1530*H1530,IF(AND(G1530,H1530),C1530*E1530*G1530*H1530,IF(F1530,C1530*E1530*F1530,IF(G1530,C1530*E1530*G1530,IF(H1530,C1530*E1530*H1530,C1530*E1530))))))),2)</f>
        <v>20</v>
      </c>
      <c r="J1530" s="803" t="s">
        <v>274</v>
      </c>
      <c r="K1530" s="764"/>
      <c r="L1530" s="757"/>
      <c r="M1530" s="764"/>
    </row>
    <row r="1531" spans="1:13" s="763" customFormat="1">
      <c r="A1531" s="757"/>
      <c r="B1531" s="764"/>
      <c r="C1531" s="779"/>
      <c r="D1531" s="780"/>
      <c r="E1531" s="767"/>
      <c r="F1531" s="781"/>
      <c r="G1531" s="782"/>
      <c r="H1531" s="757"/>
      <c r="I1531" s="769">
        <f>SUM(I1530)</f>
        <v>20</v>
      </c>
      <c r="J1531" s="803" t="s">
        <v>274</v>
      </c>
      <c r="K1531" s="768">
        <f>'Ele Data 2025-26'!I202</f>
        <v>78.5398</v>
      </c>
      <c r="L1531" s="768" t="s">
        <v>276</v>
      </c>
      <c r="M1531" s="784">
        <f>ROUND(I1531*K1531,0)</f>
        <v>1571</v>
      </c>
    </row>
    <row r="1532" spans="1:13" s="763" customFormat="1" ht="22.5" customHeight="1">
      <c r="A1532" s="757">
        <v>41</v>
      </c>
      <c r="B1532" s="965" t="s">
        <v>429</v>
      </c>
      <c r="C1532" s="965"/>
      <c r="D1532" s="965"/>
      <c r="E1532" s="965"/>
      <c r="F1532" s="965"/>
      <c r="G1532" s="965"/>
      <c r="H1532" s="965"/>
      <c r="I1532" s="759"/>
      <c r="J1532" s="760"/>
      <c r="K1532" s="757"/>
      <c r="L1532" s="757"/>
      <c r="M1532" s="762"/>
    </row>
    <row r="1533" spans="1:13" s="771" customFormat="1" ht="16.5" customHeight="1">
      <c r="A1533" s="757"/>
      <c r="B1533" s="814"/>
      <c r="C1533" s="774">
        <v>1</v>
      </c>
      <c r="D1533" s="775" t="s">
        <v>268</v>
      </c>
      <c r="E1533" s="776">
        <v>5</v>
      </c>
      <c r="F1533" s="777">
        <v>0</v>
      </c>
      <c r="G1533" s="777">
        <v>0</v>
      </c>
      <c r="H1533" s="777">
        <v>0</v>
      </c>
      <c r="I1533" s="815">
        <f t="shared" ref="I1533" si="103">ROUND(IF(AND(F1533:H1533),C1533*E1533*F1533*G1533*H1533,IF(AND(F1533,G1533),C1533*E1533*F1533*G1533,IF(AND(F1533,H1533),C1533*E1533*F1533*H1533,IF(AND(G1533,H1533),C1533*E1533*G1533*H1533,IF(F1533,C1533*E1533*F1533,IF(G1533,C1533*E1533*G1533,IF(H1533,C1533*E1533*H1533,C1533*E1533))))))),2)</f>
        <v>5</v>
      </c>
      <c r="J1533" s="803" t="s">
        <v>114</v>
      </c>
      <c r="K1533" s="764"/>
      <c r="L1533" s="757"/>
      <c r="M1533" s="764"/>
    </row>
    <row r="1534" spans="1:13" s="771" customFormat="1" ht="16.5" customHeight="1">
      <c r="A1534" s="757"/>
      <c r="B1534" s="814"/>
      <c r="C1534" s="774"/>
      <c r="D1534" s="775"/>
      <c r="E1534" s="776"/>
      <c r="F1534" s="777"/>
      <c r="G1534" s="777"/>
      <c r="H1534" s="777"/>
      <c r="I1534" s="815"/>
      <c r="J1534" s="803"/>
      <c r="K1534" s="764"/>
      <c r="L1534" s="757"/>
      <c r="M1534" s="764"/>
    </row>
    <row r="1535" spans="1:13" s="763" customFormat="1">
      <c r="A1535" s="757"/>
      <c r="B1535" s="764"/>
      <c r="C1535" s="779"/>
      <c r="D1535" s="780"/>
      <c r="E1535" s="767"/>
      <c r="F1535" s="781"/>
      <c r="G1535" s="782"/>
      <c r="H1535" s="757"/>
      <c r="I1535" s="815">
        <f>SUM(I1533:I1534)</f>
        <v>5</v>
      </c>
      <c r="J1535" s="803" t="s">
        <v>114</v>
      </c>
      <c r="K1535" s="768">
        <f>'Ele Data 2025-26'!I67</f>
        <v>272.68</v>
      </c>
      <c r="L1535" s="768" t="s">
        <v>271</v>
      </c>
      <c r="M1535" s="784">
        <f>ROUND(I1535*K1535,0)</f>
        <v>1363</v>
      </c>
    </row>
    <row r="1536" spans="1:13" ht="22.5" hidden="1" customHeight="1">
      <c r="A1536" s="110">
        <v>24</v>
      </c>
      <c r="B1536" s="964" t="s">
        <v>604</v>
      </c>
      <c r="C1536" s="964"/>
      <c r="D1536" s="964"/>
      <c r="E1536" s="964"/>
      <c r="F1536" s="964"/>
      <c r="G1536" s="964"/>
      <c r="H1536" s="964"/>
      <c r="I1536" s="183"/>
      <c r="J1536" s="186"/>
      <c r="K1536" s="110"/>
      <c r="L1536" s="110"/>
      <c r="M1536" s="139"/>
    </row>
    <row r="1537" spans="1:13" s="148" customFormat="1" ht="16.5" hidden="1" customHeight="1">
      <c r="A1537" s="110"/>
      <c r="B1537" s="140"/>
      <c r="C1537" s="150">
        <v>1</v>
      </c>
      <c r="D1537" s="151" t="s">
        <v>268</v>
      </c>
      <c r="E1537" s="152">
        <v>3</v>
      </c>
      <c r="F1537" s="153">
        <v>0</v>
      </c>
      <c r="G1537" s="153">
        <v>0</v>
      </c>
      <c r="H1537" s="153">
        <v>0</v>
      </c>
      <c r="I1537" s="327">
        <f>ROUND(IF(AND(F1537:H1537),C1537*E1537*F1537*G1537*H1537,IF(AND(F1537,G1537),C1537*E1537*F1537*G1537,IF(AND(F1537,H1537),C1537*E1537*F1537*H1537,IF(AND(G1537,H1537),C1537*E1537*G1537*H1537,IF(F1537,C1537*E1537*F1537,IF(G1537,C1537*E1537*G1537,IF(H1537,C1537*E1537*H1537,C1537*E1537))))))),2)</f>
        <v>3</v>
      </c>
      <c r="J1537" s="146" t="s">
        <v>114</v>
      </c>
      <c r="K1537" s="147"/>
      <c r="L1537" s="110"/>
      <c r="M1537" s="147"/>
    </row>
    <row r="1538" spans="1:13" s="148" customFormat="1" ht="16.5" hidden="1" customHeight="1">
      <c r="A1538" s="110"/>
      <c r="B1538" s="140"/>
      <c r="C1538" s="150"/>
      <c r="D1538" s="151"/>
      <c r="E1538" s="152"/>
      <c r="F1538" s="153"/>
      <c r="G1538" s="153"/>
      <c r="H1538" s="153"/>
      <c r="I1538" s="327"/>
      <c r="J1538" s="146"/>
      <c r="K1538" s="147"/>
      <c r="L1538" s="110"/>
      <c r="M1538" s="147"/>
    </row>
    <row r="1539" spans="1:13" hidden="1">
      <c r="A1539" s="110"/>
      <c r="B1539" s="147"/>
      <c r="C1539" s="154"/>
      <c r="D1539" s="155"/>
      <c r="E1539" s="156"/>
      <c r="F1539" s="157"/>
      <c r="G1539" s="158"/>
      <c r="H1539" s="110"/>
      <c r="I1539" s="327"/>
      <c r="J1539" s="146" t="s">
        <v>114</v>
      </c>
      <c r="K1539" s="12">
        <f>'Ele Data 2025-26'!I71</f>
        <v>223.82</v>
      </c>
      <c r="L1539" s="12" t="s">
        <v>271</v>
      </c>
      <c r="M1539" s="11">
        <f>ROUND(I1539*K1539,0)</f>
        <v>0</v>
      </c>
    </row>
    <row r="1540" spans="1:13" ht="22.5" hidden="1" customHeight="1">
      <c r="A1540" s="110">
        <v>20</v>
      </c>
      <c r="B1540" s="964" t="s">
        <v>683</v>
      </c>
      <c r="C1540" s="964"/>
      <c r="D1540" s="964"/>
      <c r="E1540" s="964"/>
      <c r="F1540" s="964"/>
      <c r="G1540" s="964"/>
      <c r="H1540" s="964"/>
      <c r="I1540" s="183"/>
      <c r="J1540" s="186"/>
      <c r="K1540" s="110"/>
      <c r="L1540" s="110"/>
      <c r="M1540" s="139"/>
    </row>
    <row r="1541" spans="1:13" s="148" customFormat="1" ht="16.5" hidden="1" customHeight="1">
      <c r="A1541" s="110"/>
      <c r="B1541" s="140"/>
      <c r="C1541" s="150">
        <v>1</v>
      </c>
      <c r="D1541" s="151" t="s">
        <v>268</v>
      </c>
      <c r="E1541" s="152">
        <v>1</v>
      </c>
      <c r="F1541" s="153">
        <v>0</v>
      </c>
      <c r="G1541" s="153">
        <v>0</v>
      </c>
      <c r="H1541" s="153">
        <v>0</v>
      </c>
      <c r="I1541" s="327">
        <f>ROUND(IF(AND(F1541:H1541),C1541*E1541*F1541*G1541*H1541,IF(AND(F1541,G1541),C1541*E1541*F1541*G1541,IF(AND(F1541,H1541),C1541*E1541*F1541*H1541,IF(AND(G1541,H1541),C1541*E1541*G1541*H1541,IF(F1541,C1541*E1541*F1541,IF(G1541,C1541*E1541*G1541,IF(H1541,C1541*E1541*H1541,C1541*E1541))))))),2)</f>
        <v>1</v>
      </c>
      <c r="J1541" s="146" t="s">
        <v>114</v>
      </c>
      <c r="K1541" s="147"/>
      <c r="L1541" s="110"/>
      <c r="M1541" s="147"/>
    </row>
    <row r="1542" spans="1:13" s="148" customFormat="1" ht="16.5" hidden="1" customHeight="1">
      <c r="A1542" s="110"/>
      <c r="B1542" s="140"/>
      <c r="C1542" s="150"/>
      <c r="D1542" s="151"/>
      <c r="E1542" s="152"/>
      <c r="F1542" s="153"/>
      <c r="G1542" s="153"/>
      <c r="H1542" s="153"/>
      <c r="I1542" s="327"/>
      <c r="J1542" s="146"/>
      <c r="K1542" s="147"/>
      <c r="L1542" s="110"/>
      <c r="M1542" s="147"/>
    </row>
    <row r="1543" spans="1:13" hidden="1">
      <c r="A1543" s="110"/>
      <c r="B1543" s="147"/>
      <c r="C1543" s="154"/>
      <c r="D1543" s="155"/>
      <c r="E1543" s="156"/>
      <c r="F1543" s="157"/>
      <c r="G1543" s="158"/>
      <c r="H1543" s="110"/>
      <c r="I1543" s="327"/>
      <c r="J1543" s="146" t="s">
        <v>114</v>
      </c>
      <c r="K1543" s="12">
        <f>'Ele Data 2025-26'!I74</f>
        <v>152</v>
      </c>
      <c r="L1543" s="12" t="s">
        <v>271</v>
      </c>
      <c r="M1543" s="11">
        <f>ROUND(I1543*K1543,0)</f>
        <v>0</v>
      </c>
    </row>
    <row r="1544" spans="1:13" ht="15" hidden="1" customHeight="1">
      <c r="A1544" s="110">
        <v>14</v>
      </c>
      <c r="B1544" s="964" t="s">
        <v>606</v>
      </c>
      <c r="C1544" s="964"/>
      <c r="D1544" s="964"/>
      <c r="E1544" s="964"/>
      <c r="F1544" s="964"/>
      <c r="G1544" s="964"/>
      <c r="H1544" s="964"/>
      <c r="I1544" s="183"/>
      <c r="J1544" s="186"/>
      <c r="K1544" s="110"/>
      <c r="L1544" s="110"/>
      <c r="M1544" s="139"/>
    </row>
    <row r="1545" spans="1:13" s="148" customFormat="1" ht="16.5" hidden="1" customHeight="1">
      <c r="A1545" s="110"/>
      <c r="B1545" s="140" t="s">
        <v>596</v>
      </c>
      <c r="C1545" s="141"/>
      <c r="D1545" s="142"/>
      <c r="E1545" s="143"/>
      <c r="F1545" s="144"/>
      <c r="G1545" s="144"/>
      <c r="H1545" s="145"/>
      <c r="I1545" s="184"/>
      <c r="J1545" s="146"/>
      <c r="K1545" s="147"/>
      <c r="L1545" s="110"/>
      <c r="M1545" s="147"/>
    </row>
    <row r="1546" spans="1:13" s="148" customFormat="1" ht="16.5" hidden="1" customHeight="1">
      <c r="A1546" s="110"/>
      <c r="B1546" s="140" t="s">
        <v>991</v>
      </c>
      <c r="C1546" s="150">
        <v>2</v>
      </c>
      <c r="D1546" s="151" t="s">
        <v>268</v>
      </c>
      <c r="E1546" s="152">
        <v>1</v>
      </c>
      <c r="F1546" s="153">
        <v>0</v>
      </c>
      <c r="G1546" s="153">
        <v>0</v>
      </c>
      <c r="H1546" s="153">
        <v>0</v>
      </c>
      <c r="I1546" s="185">
        <f>ROUND(IF(AND(F1546:H1546),C1546*E1546*F1546*G1546*H1546,IF(AND(F1546,G1546),C1546*E1546*F1546*G1546,IF(AND(F1546,H1546),C1546*E1546*F1546*H1546,IF(AND(G1546,H1546),C1546*E1546*G1546*H1546,IF(F1546,C1546*E1546*F1546,IF(G1546,C1546*E1546*G1546,IF(H1546,C1546*E1546*H1546,C1546*E1546))))))),2)</f>
        <v>2</v>
      </c>
      <c r="J1546" s="146" t="s">
        <v>114</v>
      </c>
      <c r="K1546" s="147"/>
      <c r="L1546" s="110"/>
      <c r="M1546" s="147"/>
    </row>
    <row r="1547" spans="1:13" hidden="1">
      <c r="A1547" s="110"/>
      <c r="B1547" s="147"/>
      <c r="C1547" s="154"/>
      <c r="D1547" s="155"/>
      <c r="E1547" s="156"/>
      <c r="F1547" s="157"/>
      <c r="G1547" s="158"/>
      <c r="H1547" s="110"/>
      <c r="I1547" s="185"/>
      <c r="J1547" s="146" t="s">
        <v>114</v>
      </c>
      <c r="K1547" s="12">
        <f>'Ele Data 2025-26'!I81</f>
        <v>392</v>
      </c>
      <c r="L1547" s="12" t="s">
        <v>271</v>
      </c>
      <c r="M1547" s="11">
        <f>ROUND(I1547*K1547,0)</f>
        <v>0</v>
      </c>
    </row>
    <row r="1548" spans="1:13" ht="22.5" hidden="1" customHeight="1">
      <c r="A1548" s="110">
        <v>21</v>
      </c>
      <c r="B1548" s="964" t="s">
        <v>738</v>
      </c>
      <c r="C1548" s="964"/>
      <c r="D1548" s="964"/>
      <c r="E1548" s="964"/>
      <c r="F1548" s="964"/>
      <c r="G1548" s="964"/>
      <c r="H1548" s="964"/>
      <c r="I1548" s="183"/>
      <c r="J1548" s="186"/>
      <c r="K1548" s="110"/>
      <c r="L1548" s="110"/>
      <c r="M1548" s="139"/>
    </row>
    <row r="1549" spans="1:13" s="148" customFormat="1" ht="16.5" hidden="1" customHeight="1">
      <c r="A1549" s="110"/>
      <c r="B1549" s="140"/>
      <c r="C1549" s="150">
        <v>1</v>
      </c>
      <c r="D1549" s="151" t="s">
        <v>268</v>
      </c>
      <c r="E1549" s="152">
        <v>4</v>
      </c>
      <c r="F1549" s="153">
        <v>0</v>
      </c>
      <c r="G1549" s="153">
        <v>0</v>
      </c>
      <c r="H1549" s="153">
        <v>0</v>
      </c>
      <c r="I1549" s="327">
        <f>ROUND(IF(AND(F1549:H1549),C1549*E1549*F1549*G1549*H1549,IF(AND(F1549,G1549),C1549*E1549*F1549*G1549,IF(AND(F1549,H1549),C1549*E1549*F1549*H1549,IF(AND(G1549,H1549),C1549*E1549*G1549*H1549,IF(F1549,C1549*E1549*F1549,IF(G1549,C1549*E1549*G1549,IF(H1549,C1549*E1549*H1549,C1549*E1549))))))),2)</f>
        <v>4</v>
      </c>
      <c r="J1549" s="146" t="s">
        <v>114</v>
      </c>
      <c r="K1549" s="147"/>
      <c r="L1549" s="110"/>
      <c r="M1549" s="147"/>
    </row>
    <row r="1550" spans="1:13" s="148" customFormat="1" ht="16.5" hidden="1" customHeight="1">
      <c r="A1550" s="110"/>
      <c r="B1550" s="140"/>
      <c r="C1550" s="150"/>
      <c r="D1550" s="151"/>
      <c r="E1550" s="152"/>
      <c r="F1550" s="153"/>
      <c r="G1550" s="153"/>
      <c r="H1550" s="153"/>
      <c r="I1550" s="327"/>
      <c r="J1550" s="146"/>
      <c r="K1550" s="147"/>
      <c r="L1550" s="110"/>
      <c r="M1550" s="147"/>
    </row>
    <row r="1551" spans="1:13" hidden="1">
      <c r="A1551" s="110"/>
      <c r="B1551" s="147"/>
      <c r="C1551" s="154"/>
      <c r="D1551" s="155"/>
      <c r="E1551" s="156"/>
      <c r="F1551" s="157"/>
      <c r="G1551" s="158"/>
      <c r="H1551" s="110"/>
      <c r="I1551" s="327"/>
      <c r="J1551" s="146" t="s">
        <v>114</v>
      </c>
      <c r="K1551" s="12">
        <f>'Ele Data 2025-26'!I77</f>
        <v>101</v>
      </c>
      <c r="L1551" s="12" t="s">
        <v>271</v>
      </c>
      <c r="M1551" s="11">
        <f>ROUND(I1551*K1551,0)</f>
        <v>0</v>
      </c>
    </row>
    <row r="1552" spans="1:13" ht="22.5" hidden="1" customHeight="1">
      <c r="A1552" s="110">
        <v>50</v>
      </c>
      <c r="B1552" s="964" t="s">
        <v>431</v>
      </c>
      <c r="C1552" s="964"/>
      <c r="D1552" s="964"/>
      <c r="E1552" s="964"/>
      <c r="F1552" s="964"/>
      <c r="G1552" s="964"/>
      <c r="H1552" s="964"/>
      <c r="I1552" s="183"/>
      <c r="J1552" s="186"/>
      <c r="K1552" s="110"/>
      <c r="L1552" s="110"/>
      <c r="M1552" s="139"/>
    </row>
    <row r="1553" spans="1:13" s="148" customFormat="1" ht="16.5" hidden="1" customHeight="1">
      <c r="A1553" s="110"/>
      <c r="B1553" s="140"/>
      <c r="C1553" s="150">
        <v>1</v>
      </c>
      <c r="D1553" s="151" t="s">
        <v>268</v>
      </c>
      <c r="E1553" s="152">
        <v>3</v>
      </c>
      <c r="F1553" s="153">
        <v>0</v>
      </c>
      <c r="G1553" s="153">
        <v>0</v>
      </c>
      <c r="H1553" s="153">
        <v>0</v>
      </c>
      <c r="I1553" s="327">
        <f>ROUND(IF(AND(F1553:H1553),C1553*E1553*F1553*G1553*H1553,IF(AND(F1553,G1553),C1553*E1553*F1553*G1553,IF(AND(F1553,H1553),C1553*E1553*F1553*H1553,IF(AND(G1553,H1553),C1553*E1553*G1553*H1553,IF(F1553,C1553*E1553*F1553,IF(G1553,C1553*E1553*G1553,IF(H1553,C1553*E1553*H1553,C1553*E1553))))))),2)</f>
        <v>3</v>
      </c>
      <c r="J1553" s="146" t="s">
        <v>114</v>
      </c>
      <c r="K1553" s="147"/>
      <c r="L1553" s="110"/>
      <c r="M1553" s="147"/>
    </row>
    <row r="1554" spans="1:13" s="148" customFormat="1" ht="16.5" hidden="1" customHeight="1">
      <c r="A1554" s="110"/>
      <c r="B1554" s="140"/>
      <c r="C1554" s="150"/>
      <c r="D1554" s="151"/>
      <c r="E1554" s="152"/>
      <c r="F1554" s="153"/>
      <c r="G1554" s="153"/>
      <c r="H1554" s="153"/>
      <c r="I1554" s="327"/>
      <c r="J1554" s="146"/>
      <c r="K1554" s="147"/>
      <c r="L1554" s="110"/>
      <c r="M1554" s="147"/>
    </row>
    <row r="1555" spans="1:13" hidden="1">
      <c r="A1555" s="110"/>
      <c r="B1555" s="147"/>
      <c r="C1555" s="154"/>
      <c r="D1555" s="155"/>
      <c r="E1555" s="156"/>
      <c r="F1555" s="157"/>
      <c r="G1555" s="158"/>
      <c r="H1555" s="110"/>
      <c r="I1555" s="327"/>
      <c r="J1555" s="146" t="s">
        <v>114</v>
      </c>
      <c r="K1555" s="12">
        <f>'Ele Data 2025-26'!I84</f>
        <v>76</v>
      </c>
      <c r="L1555" s="12" t="s">
        <v>271</v>
      </c>
      <c r="M1555" s="11">
        <f>ROUND(I1555*K1555,0)</f>
        <v>0</v>
      </c>
    </row>
    <row r="1556" spans="1:13" ht="43.5" hidden="1" customHeight="1">
      <c r="A1556" s="110">
        <v>22</v>
      </c>
      <c r="B1556" s="964" t="s">
        <v>1026</v>
      </c>
      <c r="C1556" s="964"/>
      <c r="D1556" s="964"/>
      <c r="E1556" s="964"/>
      <c r="F1556" s="964"/>
      <c r="G1556" s="964"/>
      <c r="H1556" s="964"/>
      <c r="I1556" s="183"/>
      <c r="J1556" s="186"/>
      <c r="K1556" s="110"/>
      <c r="L1556" s="110"/>
      <c r="M1556" s="139"/>
    </row>
    <row r="1557" spans="1:13" s="148" customFormat="1" ht="16.5" hidden="1" customHeight="1">
      <c r="A1557" s="110"/>
      <c r="B1557" s="140" t="s">
        <v>1847</v>
      </c>
      <c r="C1557" s="150">
        <v>1</v>
      </c>
      <c r="D1557" s="151" t="s">
        <v>268</v>
      </c>
      <c r="E1557" s="152">
        <v>9</v>
      </c>
      <c r="F1557" s="153">
        <v>0</v>
      </c>
      <c r="G1557" s="153">
        <v>0</v>
      </c>
      <c r="H1557" s="153">
        <v>0</v>
      </c>
      <c r="I1557" s="327">
        <f t="shared" ref="I1557" si="104">ROUND(IF(AND(F1557:H1557),C1557*E1557*F1557*G1557*H1557,IF(AND(F1557,G1557),C1557*E1557*F1557*G1557,IF(AND(F1557,H1557),C1557*E1557*F1557*H1557,IF(AND(G1557,H1557),C1557*E1557*G1557*H1557,IF(F1557,C1557*E1557*F1557,IF(G1557,C1557*E1557*G1557,IF(H1557,C1557*E1557*H1557,C1557*E1557))))))),2)</f>
        <v>9</v>
      </c>
      <c r="J1557" s="146" t="s">
        <v>114</v>
      </c>
      <c r="K1557" s="147"/>
      <c r="L1557" s="110"/>
      <c r="M1557" s="147"/>
    </row>
    <row r="1558" spans="1:13" s="148" customFormat="1" ht="16.5" hidden="1" customHeight="1">
      <c r="A1558" s="110"/>
      <c r="B1558" s="140"/>
      <c r="C1558" s="150"/>
      <c r="D1558" s="151"/>
      <c r="E1558" s="152"/>
      <c r="F1558" s="153"/>
      <c r="G1558" s="153"/>
      <c r="H1558" s="153"/>
      <c r="I1558" s="327"/>
      <c r="J1558" s="146"/>
      <c r="K1558" s="147"/>
      <c r="L1558" s="110"/>
      <c r="M1558" s="147"/>
    </row>
    <row r="1559" spans="1:13" hidden="1">
      <c r="A1559" s="110"/>
      <c r="B1559" s="147"/>
      <c r="C1559" s="154"/>
      <c r="D1559" s="155"/>
      <c r="E1559" s="156"/>
      <c r="F1559" s="157"/>
      <c r="G1559" s="158"/>
      <c r="H1559" s="110"/>
      <c r="I1559" s="327"/>
      <c r="J1559" s="146" t="s">
        <v>114</v>
      </c>
      <c r="K1559" s="12">
        <f>'Ele Data 2025-26'!I138</f>
        <v>442</v>
      </c>
      <c r="L1559" s="12" t="s">
        <v>271</v>
      </c>
      <c r="M1559" s="11">
        <f>ROUND(I1559*K1559,0)</f>
        <v>0</v>
      </c>
    </row>
    <row r="1560" spans="1:13" s="763" customFormat="1" ht="43.5" customHeight="1">
      <c r="A1560" s="757">
        <v>42</v>
      </c>
      <c r="B1560" s="965" t="s">
        <v>423</v>
      </c>
      <c r="C1560" s="965"/>
      <c r="D1560" s="965"/>
      <c r="E1560" s="965"/>
      <c r="F1560" s="965"/>
      <c r="G1560" s="965"/>
      <c r="H1560" s="965"/>
      <c r="I1560" s="759"/>
      <c r="J1560" s="760"/>
      <c r="K1560" s="757"/>
      <c r="L1560" s="757"/>
      <c r="M1560" s="762"/>
    </row>
    <row r="1561" spans="1:13" s="771" customFormat="1" ht="16.5" customHeight="1">
      <c r="A1561" s="757"/>
      <c r="B1561" s="814"/>
      <c r="C1561" s="774">
        <v>1</v>
      </c>
      <c r="D1561" s="775" t="s">
        <v>268</v>
      </c>
      <c r="E1561" s="776">
        <v>10</v>
      </c>
      <c r="F1561" s="777">
        <v>0</v>
      </c>
      <c r="G1561" s="777">
        <v>0</v>
      </c>
      <c r="H1561" s="777">
        <v>0</v>
      </c>
      <c r="I1561" s="815">
        <f>ROUND(IF(AND(F1561:H1561),C1561*E1561*F1561*G1561*H1561,IF(AND(F1561,G1561),C1561*E1561*F1561*G1561,IF(AND(F1561,H1561),C1561*E1561*F1561*H1561,IF(AND(G1561,H1561),C1561*E1561*G1561*H1561,IF(F1561,C1561*E1561*F1561,IF(G1561,C1561*E1561*G1561,IF(H1561,C1561*E1561*H1561,C1561*E1561))))))),2)</f>
        <v>10</v>
      </c>
      <c r="J1561" s="803" t="s">
        <v>114</v>
      </c>
      <c r="K1561" s="764"/>
      <c r="L1561" s="757"/>
      <c r="M1561" s="764"/>
    </row>
    <row r="1562" spans="1:13" s="771" customFormat="1" ht="16.5" customHeight="1">
      <c r="A1562" s="757"/>
      <c r="B1562" s="814"/>
      <c r="C1562" s="774"/>
      <c r="D1562" s="775"/>
      <c r="E1562" s="776"/>
      <c r="F1562" s="777"/>
      <c r="G1562" s="777"/>
      <c r="H1562" s="777"/>
      <c r="I1562" s="815"/>
      <c r="J1562" s="803"/>
      <c r="K1562" s="764"/>
      <c r="L1562" s="757"/>
      <c r="M1562" s="764"/>
    </row>
    <row r="1563" spans="1:13" s="763" customFormat="1">
      <c r="A1563" s="757"/>
      <c r="B1563" s="764"/>
      <c r="C1563" s="779"/>
      <c r="D1563" s="780"/>
      <c r="E1563" s="767"/>
      <c r="F1563" s="781"/>
      <c r="G1563" s="782"/>
      <c r="H1563" s="757"/>
      <c r="I1563" s="815">
        <f>SUM(I1561:I1562)</f>
        <v>10</v>
      </c>
      <c r="J1563" s="803" t="s">
        <v>114</v>
      </c>
      <c r="K1563" s="768">
        <f>'Ele Data 2025-26'!I129</f>
        <v>159.99</v>
      </c>
      <c r="L1563" s="768" t="s">
        <v>271</v>
      </c>
      <c r="M1563" s="784">
        <f>ROUND(I1563*K1563,0)</f>
        <v>1600</v>
      </c>
    </row>
    <row r="1564" spans="1:13" ht="43.5" hidden="1" customHeight="1">
      <c r="A1564" s="110">
        <v>18</v>
      </c>
      <c r="B1564" s="964" t="s">
        <v>609</v>
      </c>
      <c r="C1564" s="964"/>
      <c r="D1564" s="964"/>
      <c r="E1564" s="964"/>
      <c r="F1564" s="964"/>
      <c r="G1564" s="964"/>
      <c r="H1564" s="964"/>
      <c r="I1564" s="183"/>
      <c r="J1564" s="186"/>
      <c r="K1564" s="110"/>
      <c r="L1564" s="110"/>
      <c r="M1564" s="139"/>
    </row>
    <row r="1565" spans="1:13" s="148" customFormat="1" ht="16.5" hidden="1" customHeight="1">
      <c r="A1565" s="110"/>
      <c r="B1565" s="140"/>
      <c r="C1565" s="150">
        <v>1</v>
      </c>
      <c r="D1565" s="151" t="s">
        <v>268</v>
      </c>
      <c r="E1565" s="152">
        <v>4</v>
      </c>
      <c r="F1565" s="153">
        <v>0</v>
      </c>
      <c r="G1565" s="153">
        <v>0</v>
      </c>
      <c r="H1565" s="153">
        <v>0</v>
      </c>
      <c r="I1565" s="185">
        <f>ROUND(IF(AND(F1565:H1565),C1565*E1565*F1565*G1565*H1565,IF(AND(F1565,G1565),C1565*E1565*F1565*G1565,IF(AND(F1565,H1565),C1565*E1565*F1565*H1565,IF(AND(G1565,H1565),C1565*E1565*G1565*H1565,IF(F1565,C1565*E1565*F1565,IF(G1565,C1565*E1565*G1565,IF(H1565,C1565*E1565*H1565,C1565*E1565))))))),2)</f>
        <v>4</v>
      </c>
      <c r="J1565" s="146" t="s">
        <v>114</v>
      </c>
      <c r="K1565" s="147"/>
      <c r="L1565" s="110"/>
      <c r="M1565" s="147"/>
    </row>
    <row r="1566" spans="1:13" hidden="1">
      <c r="A1566" s="110"/>
      <c r="B1566" s="147"/>
      <c r="C1566" s="154"/>
      <c r="D1566" s="155"/>
      <c r="E1566" s="156"/>
      <c r="F1566" s="157"/>
      <c r="G1566" s="158"/>
      <c r="H1566" s="110"/>
      <c r="I1566" s="185"/>
      <c r="J1566" s="146" t="s">
        <v>114</v>
      </c>
      <c r="K1566" s="12">
        <f>'Ele Data 2025-26'!I146</f>
        <v>134.82</v>
      </c>
      <c r="L1566" s="12" t="s">
        <v>271</v>
      </c>
      <c r="M1566" s="11">
        <f>ROUND(I1566*K1566,0)</f>
        <v>0</v>
      </c>
    </row>
    <row r="1567" spans="1:13" s="763" customFormat="1" ht="19.5" customHeight="1">
      <c r="A1567" s="757">
        <v>43</v>
      </c>
      <c r="B1567" s="965" t="s">
        <v>613</v>
      </c>
      <c r="C1567" s="965"/>
      <c r="D1567" s="965"/>
      <c r="E1567" s="965"/>
      <c r="F1567" s="965"/>
      <c r="G1567" s="965"/>
      <c r="H1567" s="965"/>
      <c r="I1567" s="759"/>
      <c r="J1567" s="760"/>
      <c r="K1567" s="757"/>
      <c r="L1567" s="757"/>
      <c r="M1567" s="762"/>
    </row>
    <row r="1568" spans="1:13" s="771" customFormat="1" ht="16.5" customHeight="1">
      <c r="A1568" s="757"/>
      <c r="B1568" s="814"/>
      <c r="C1568" s="774">
        <v>1</v>
      </c>
      <c r="D1568" s="775" t="s">
        <v>268</v>
      </c>
      <c r="E1568" s="776">
        <v>5</v>
      </c>
      <c r="F1568" s="777">
        <v>0</v>
      </c>
      <c r="G1568" s="777">
        <v>0</v>
      </c>
      <c r="H1568" s="777">
        <v>0</v>
      </c>
      <c r="I1568" s="815">
        <f t="shared" ref="I1568" si="105">ROUND(IF(AND(F1568:H1568),C1568*E1568*F1568*G1568*H1568,IF(AND(F1568,G1568),C1568*E1568*F1568*G1568,IF(AND(F1568,H1568),C1568*E1568*F1568*H1568,IF(AND(G1568,H1568),C1568*E1568*G1568*H1568,IF(F1568,C1568*E1568*F1568,IF(G1568,C1568*E1568*G1568,IF(H1568,C1568*E1568*H1568,C1568*E1568))))))),2)</f>
        <v>5</v>
      </c>
      <c r="J1568" s="803" t="s">
        <v>114</v>
      </c>
      <c r="K1568" s="764"/>
      <c r="L1568" s="757"/>
      <c r="M1568" s="764"/>
    </row>
    <row r="1569" spans="1:13" s="771" customFormat="1" ht="16.5" customHeight="1">
      <c r="A1569" s="757"/>
      <c r="B1569" s="814"/>
      <c r="C1569" s="774"/>
      <c r="D1569" s="775"/>
      <c r="E1569" s="776"/>
      <c r="F1569" s="777"/>
      <c r="G1569" s="777"/>
      <c r="H1569" s="777"/>
      <c r="I1569" s="815"/>
      <c r="J1569" s="803"/>
      <c r="K1569" s="764"/>
      <c r="L1569" s="757"/>
      <c r="M1569" s="764"/>
    </row>
    <row r="1570" spans="1:13" s="763" customFormat="1">
      <c r="A1570" s="757"/>
      <c r="B1570" s="764"/>
      <c r="C1570" s="779"/>
      <c r="D1570" s="780"/>
      <c r="E1570" s="767"/>
      <c r="F1570" s="781"/>
      <c r="G1570" s="782"/>
      <c r="H1570" s="757"/>
      <c r="I1570" s="815">
        <f>SUM(I1568:I1569)</f>
        <v>5</v>
      </c>
      <c r="J1570" s="803" t="s">
        <v>114</v>
      </c>
      <c r="K1570" s="768">
        <f>'Ele Data 2025-26'!I89</f>
        <v>23.86</v>
      </c>
      <c r="L1570" s="768" t="s">
        <v>271</v>
      </c>
      <c r="M1570" s="784">
        <f>ROUND(I1570*K1570,0)</f>
        <v>119</v>
      </c>
    </row>
    <row r="1571" spans="1:13" s="763" customFormat="1" ht="30" customHeight="1">
      <c r="A1571" s="757">
        <v>44</v>
      </c>
      <c r="B1571" s="965" t="s">
        <v>1065</v>
      </c>
      <c r="C1571" s="965"/>
      <c r="D1571" s="965"/>
      <c r="E1571" s="965"/>
      <c r="F1571" s="965"/>
      <c r="G1571" s="965"/>
      <c r="H1571" s="965"/>
      <c r="I1571" s="759"/>
      <c r="J1571" s="760"/>
      <c r="K1571" s="757"/>
      <c r="L1571" s="757"/>
      <c r="M1571" s="762"/>
    </row>
    <row r="1572" spans="1:13" s="771" customFormat="1" ht="16.5" customHeight="1">
      <c r="A1572" s="757"/>
      <c r="B1572" s="814"/>
      <c r="C1572" s="817">
        <v>1</v>
      </c>
      <c r="D1572" s="775" t="s">
        <v>268</v>
      </c>
      <c r="E1572" s="776">
        <v>6</v>
      </c>
      <c r="F1572" s="777">
        <v>0</v>
      </c>
      <c r="G1572" s="777">
        <v>0</v>
      </c>
      <c r="H1572" s="777">
        <v>0</v>
      </c>
      <c r="I1572" s="815">
        <f t="shared" ref="I1572" si="106">ROUND(IF(AND(F1572:H1572),C1572*E1572*F1572*G1572*H1572,IF(AND(F1572,G1572),C1572*E1572*F1572*G1572,IF(AND(F1572,H1572),C1572*E1572*F1572*H1572,IF(AND(G1572,H1572),C1572*E1572*G1572*H1572,IF(F1572,C1572*E1572*F1572,IF(G1572,C1572*E1572*G1572,IF(H1572,C1572*E1572*H1572,C1572*E1572))))))),2)</f>
        <v>6</v>
      </c>
      <c r="J1572" s="803" t="s">
        <v>114</v>
      </c>
      <c r="K1572" s="764"/>
      <c r="L1572" s="757"/>
      <c r="M1572" s="764"/>
    </row>
    <row r="1573" spans="1:13" s="771" customFormat="1" ht="16.5" customHeight="1">
      <c r="A1573" s="757"/>
      <c r="B1573" s="814"/>
      <c r="C1573" s="774"/>
      <c r="D1573" s="775"/>
      <c r="E1573" s="776"/>
      <c r="F1573" s="777"/>
      <c r="G1573" s="777"/>
      <c r="H1573" s="777"/>
      <c r="I1573" s="815"/>
      <c r="J1573" s="803"/>
      <c r="K1573" s="764"/>
      <c r="L1573" s="757"/>
      <c r="M1573" s="764"/>
    </row>
    <row r="1574" spans="1:13" s="763" customFormat="1">
      <c r="A1574" s="757"/>
      <c r="B1574" s="764"/>
      <c r="C1574" s="779"/>
      <c r="D1574" s="780"/>
      <c r="E1574" s="767"/>
      <c r="F1574" s="781"/>
      <c r="G1574" s="782"/>
      <c r="H1574" s="757"/>
      <c r="I1574" s="815">
        <f>SUM(I1572:I1573)</f>
        <v>6</v>
      </c>
      <c r="J1574" s="803" t="s">
        <v>114</v>
      </c>
      <c r="K1574" s="768">
        <f>'Ele Data 2025-26'!I213</f>
        <v>157.36000000000001</v>
      </c>
      <c r="L1574" s="768" t="s">
        <v>271</v>
      </c>
      <c r="M1574" s="784">
        <f>ROUND(I1574*K1574,0)</f>
        <v>944</v>
      </c>
    </row>
    <row r="1575" spans="1:13" s="763" customFormat="1" ht="43.5" customHeight="1">
      <c r="A1575" s="757">
        <v>45</v>
      </c>
      <c r="B1575" s="965" t="s">
        <v>424</v>
      </c>
      <c r="C1575" s="965"/>
      <c r="D1575" s="965"/>
      <c r="E1575" s="965"/>
      <c r="F1575" s="965"/>
      <c r="G1575" s="965"/>
      <c r="H1575" s="965"/>
      <c r="I1575" s="759"/>
      <c r="J1575" s="760"/>
      <c r="K1575" s="757"/>
      <c r="L1575" s="757"/>
      <c r="M1575" s="762"/>
    </row>
    <row r="1576" spans="1:13" s="771" customFormat="1" ht="16.5" customHeight="1">
      <c r="A1576" s="757"/>
      <c r="B1576" s="814"/>
      <c r="C1576" s="774">
        <v>1</v>
      </c>
      <c r="D1576" s="775" t="s">
        <v>268</v>
      </c>
      <c r="E1576" s="776">
        <v>6</v>
      </c>
      <c r="F1576" s="777">
        <v>0</v>
      </c>
      <c r="G1576" s="777">
        <v>0</v>
      </c>
      <c r="H1576" s="777">
        <v>0</v>
      </c>
      <c r="I1576" s="815">
        <f t="shared" ref="I1576" si="107">ROUND(IF(AND(F1576:H1576),C1576*E1576*F1576*G1576*H1576,IF(AND(F1576,G1576),C1576*E1576*F1576*G1576,IF(AND(F1576,H1576),C1576*E1576*F1576*H1576,IF(AND(G1576,H1576),C1576*E1576*G1576*H1576,IF(F1576,C1576*E1576*F1576,IF(G1576,C1576*E1576*G1576,IF(H1576,C1576*E1576*H1576,C1576*E1576))))))),2)</f>
        <v>6</v>
      </c>
      <c r="J1576" s="803" t="s">
        <v>114</v>
      </c>
      <c r="K1576" s="764"/>
      <c r="L1576" s="757"/>
      <c r="M1576" s="764"/>
    </row>
    <row r="1577" spans="1:13" s="771" customFormat="1" ht="16.5" customHeight="1">
      <c r="A1577" s="757"/>
      <c r="B1577" s="814"/>
      <c r="C1577" s="774"/>
      <c r="D1577" s="775"/>
      <c r="E1577" s="776"/>
      <c r="F1577" s="777"/>
      <c r="G1577" s="777"/>
      <c r="H1577" s="777"/>
      <c r="I1577" s="815"/>
      <c r="J1577" s="803"/>
      <c r="K1577" s="764"/>
      <c r="L1577" s="757"/>
      <c r="M1577" s="764"/>
    </row>
    <row r="1578" spans="1:13" s="763" customFormat="1" ht="17.25" customHeight="1">
      <c r="A1578" s="757"/>
      <c r="B1578" s="764"/>
      <c r="C1578" s="779"/>
      <c r="D1578" s="780"/>
      <c r="E1578" s="767"/>
      <c r="F1578" s="781"/>
      <c r="G1578" s="782"/>
      <c r="H1578" s="757"/>
      <c r="I1578" s="815">
        <f>SUM(I1576:I1577)</f>
        <v>6</v>
      </c>
      <c r="J1578" s="803" t="s">
        <v>114</v>
      </c>
      <c r="K1578" s="768">
        <f>'Ele Data 2025-26'!I226</f>
        <v>3786.42</v>
      </c>
      <c r="L1578" s="768" t="s">
        <v>271</v>
      </c>
      <c r="M1578" s="784">
        <f>ROUND(I1578*K1578,0)</f>
        <v>22719</v>
      </c>
    </row>
    <row r="1579" spans="1:13" s="763" customFormat="1" ht="21" customHeight="1">
      <c r="A1579" s="757">
        <v>46</v>
      </c>
      <c r="B1579" s="965" t="s">
        <v>1326</v>
      </c>
      <c r="C1579" s="965"/>
      <c r="D1579" s="965"/>
      <c r="E1579" s="965"/>
      <c r="F1579" s="965"/>
      <c r="G1579" s="965"/>
      <c r="H1579" s="965"/>
      <c r="I1579" s="759"/>
      <c r="J1579" s="760"/>
      <c r="K1579" s="757"/>
      <c r="L1579" s="757"/>
      <c r="M1579" s="762"/>
    </row>
    <row r="1580" spans="1:13" s="771" customFormat="1" ht="16.5" customHeight="1">
      <c r="A1580" s="757"/>
      <c r="B1580" s="814"/>
      <c r="C1580" s="774">
        <v>1</v>
      </c>
      <c r="D1580" s="775" t="s">
        <v>268</v>
      </c>
      <c r="E1580" s="776">
        <v>6</v>
      </c>
      <c r="F1580" s="777">
        <v>0</v>
      </c>
      <c r="G1580" s="777">
        <v>0</v>
      </c>
      <c r="H1580" s="777">
        <v>0</v>
      </c>
      <c r="I1580" s="815">
        <f>ROUND(IF(AND(F1580:H1580),C1580*E1580*F1580*G1580*H1580,IF(AND(F1580,G1580),C1580*E1580*F1580*G1580,IF(AND(F1580,H1580),C1580*E1580*F1580*H1580,IF(AND(G1580,H1580),C1580*E1580*G1580*H1580,IF(F1580,C1580*E1580*F1580,IF(G1580,C1580*E1580*G1580,IF(H1580,C1580*E1580*H1580,C1580*E1580))))))),2)</f>
        <v>6</v>
      </c>
      <c r="J1580" s="803" t="s">
        <v>114</v>
      </c>
      <c r="K1580" s="764"/>
      <c r="L1580" s="757"/>
      <c r="M1580" s="764"/>
    </row>
    <row r="1581" spans="1:13" s="771" customFormat="1" ht="16.5" customHeight="1">
      <c r="A1581" s="757"/>
      <c r="B1581" s="814"/>
      <c r="C1581" s="774"/>
      <c r="D1581" s="775"/>
      <c r="E1581" s="776"/>
      <c r="F1581" s="777"/>
      <c r="G1581" s="777"/>
      <c r="H1581" s="777"/>
      <c r="I1581" s="769"/>
      <c r="J1581" s="803"/>
      <c r="K1581" s="764"/>
      <c r="L1581" s="757"/>
      <c r="M1581" s="764"/>
    </row>
    <row r="1582" spans="1:13" s="763" customFormat="1">
      <c r="A1582" s="757"/>
      <c r="B1582" s="764"/>
      <c r="C1582" s="779"/>
      <c r="D1582" s="780"/>
      <c r="E1582" s="767"/>
      <c r="F1582" s="781"/>
      <c r="G1582" s="782"/>
      <c r="H1582" s="757"/>
      <c r="I1582" s="815">
        <f>SUM(I1580:I1581)</f>
        <v>6</v>
      </c>
      <c r="J1582" s="803" t="s">
        <v>114</v>
      </c>
      <c r="K1582" s="768">
        <f>'Ele Data 2025-26'!I255</f>
        <v>302.33000000000004</v>
      </c>
      <c r="L1582" s="768" t="s">
        <v>271</v>
      </c>
      <c r="M1582" s="784">
        <f>ROUND(I1582*K1582,0)</f>
        <v>1814</v>
      </c>
    </row>
    <row r="1583" spans="1:13" ht="43.5" hidden="1" customHeight="1">
      <c r="A1583" s="110">
        <v>9</v>
      </c>
      <c r="B1583" s="964" t="s">
        <v>895</v>
      </c>
      <c r="C1583" s="964"/>
      <c r="D1583" s="964"/>
      <c r="E1583" s="964"/>
      <c r="F1583" s="964"/>
      <c r="G1583" s="964"/>
      <c r="H1583" s="964"/>
      <c r="I1583" s="183"/>
      <c r="J1583" s="186"/>
      <c r="K1583" s="110"/>
      <c r="L1583" s="110"/>
      <c r="M1583" s="139"/>
    </row>
    <row r="1584" spans="1:13" s="148" customFormat="1" ht="16.5" hidden="1" customHeight="1">
      <c r="A1584" s="110"/>
      <c r="B1584" s="147" t="s">
        <v>1401</v>
      </c>
      <c r="C1584" s="141"/>
      <c r="D1584" s="142"/>
      <c r="E1584" s="143"/>
      <c r="F1584" s="144"/>
      <c r="G1584" s="144"/>
      <c r="H1584" s="145"/>
      <c r="I1584" s="184"/>
      <c r="J1584" s="146"/>
      <c r="K1584" s="147"/>
      <c r="L1584" s="110"/>
      <c r="M1584" s="147"/>
    </row>
    <row r="1585" spans="1:13" s="148" customFormat="1" ht="16.5" hidden="1" customHeight="1">
      <c r="A1585" s="110"/>
      <c r="B1585" s="140" t="s">
        <v>649</v>
      </c>
      <c r="C1585" s="150">
        <v>1</v>
      </c>
      <c r="D1585" s="151" t="s">
        <v>268</v>
      </c>
      <c r="E1585" s="152">
        <v>2</v>
      </c>
      <c r="F1585" s="153">
        <v>0</v>
      </c>
      <c r="G1585" s="153">
        <v>0</v>
      </c>
      <c r="H1585" s="153">
        <v>0</v>
      </c>
      <c r="I1585" s="327">
        <f t="shared" ref="I1585:I1593" si="108">ROUND(IF(AND(F1585:H1585),C1585*E1585*F1585*G1585*H1585,IF(AND(F1585,G1585),C1585*E1585*F1585*G1585,IF(AND(F1585,H1585),C1585*E1585*F1585*H1585,IF(AND(G1585,H1585),C1585*E1585*G1585*H1585,IF(F1585,C1585*E1585*F1585,IF(G1585,C1585*E1585*G1585,IF(H1585,C1585*E1585*H1585,C1585*E1585))))))),2)</f>
        <v>2</v>
      </c>
      <c r="J1585" s="146" t="s">
        <v>114</v>
      </c>
      <c r="K1585" s="147"/>
      <c r="L1585" s="110"/>
      <c r="M1585" s="147"/>
    </row>
    <row r="1586" spans="1:13" s="148" customFormat="1" ht="16.5" hidden="1" customHeight="1">
      <c r="A1586" s="110"/>
      <c r="B1586" s="140" t="s">
        <v>638</v>
      </c>
      <c r="C1586" s="150">
        <v>1</v>
      </c>
      <c r="D1586" s="151" t="s">
        <v>268</v>
      </c>
      <c r="E1586" s="152">
        <v>1</v>
      </c>
      <c r="F1586" s="153">
        <v>0</v>
      </c>
      <c r="G1586" s="153">
        <v>0</v>
      </c>
      <c r="H1586" s="153">
        <v>0</v>
      </c>
      <c r="I1586" s="327">
        <f t="shared" si="108"/>
        <v>1</v>
      </c>
      <c r="J1586" s="146" t="s">
        <v>114</v>
      </c>
      <c r="K1586" s="147"/>
      <c r="L1586" s="110"/>
      <c r="M1586" s="147"/>
    </row>
    <row r="1587" spans="1:13" s="148" customFormat="1" ht="16.5" hidden="1" customHeight="1">
      <c r="A1587" s="110"/>
      <c r="B1587" s="140" t="s">
        <v>1375</v>
      </c>
      <c r="C1587" s="150">
        <v>1</v>
      </c>
      <c r="D1587" s="151" t="s">
        <v>268</v>
      </c>
      <c r="E1587" s="152">
        <v>1</v>
      </c>
      <c r="F1587" s="153">
        <v>0</v>
      </c>
      <c r="G1587" s="153">
        <v>0</v>
      </c>
      <c r="H1587" s="153">
        <v>0</v>
      </c>
      <c r="I1587" s="327">
        <f t="shared" si="108"/>
        <v>1</v>
      </c>
      <c r="J1587" s="146" t="s">
        <v>114</v>
      </c>
      <c r="K1587" s="147"/>
      <c r="L1587" s="110"/>
      <c r="M1587" s="147"/>
    </row>
    <row r="1588" spans="1:13" s="148" customFormat="1" ht="16.5" hidden="1" customHeight="1">
      <c r="A1588" s="110"/>
      <c r="B1588" s="140" t="s">
        <v>228</v>
      </c>
      <c r="C1588" s="150">
        <v>1</v>
      </c>
      <c r="D1588" s="151" t="s">
        <v>268</v>
      </c>
      <c r="E1588" s="152">
        <v>4</v>
      </c>
      <c r="F1588" s="153">
        <v>0</v>
      </c>
      <c r="G1588" s="153">
        <v>0</v>
      </c>
      <c r="H1588" s="153">
        <v>0</v>
      </c>
      <c r="I1588" s="327">
        <f t="shared" si="108"/>
        <v>4</v>
      </c>
      <c r="J1588" s="146" t="s">
        <v>114</v>
      </c>
      <c r="K1588" s="147"/>
      <c r="L1588" s="110"/>
      <c r="M1588" s="147"/>
    </row>
    <row r="1589" spans="1:13" s="148" customFormat="1" ht="16.5" hidden="1" customHeight="1">
      <c r="A1589" s="110"/>
      <c r="B1589" s="140" t="s">
        <v>1033</v>
      </c>
      <c r="C1589" s="150">
        <v>1</v>
      </c>
      <c r="D1589" s="151" t="s">
        <v>268</v>
      </c>
      <c r="E1589" s="152">
        <v>1</v>
      </c>
      <c r="F1589" s="153">
        <v>0</v>
      </c>
      <c r="G1589" s="153">
        <v>0</v>
      </c>
      <c r="H1589" s="153">
        <v>0</v>
      </c>
      <c r="I1589" s="327">
        <f t="shared" si="108"/>
        <v>1</v>
      </c>
      <c r="J1589" s="146" t="s">
        <v>114</v>
      </c>
      <c r="K1589" s="147"/>
      <c r="L1589" s="110"/>
      <c r="M1589" s="147"/>
    </row>
    <row r="1590" spans="1:13" s="148" customFormat="1" ht="16.5" hidden="1" customHeight="1">
      <c r="A1590" s="110"/>
      <c r="B1590" s="140" t="s">
        <v>1032</v>
      </c>
      <c r="C1590" s="150">
        <v>1</v>
      </c>
      <c r="D1590" s="151" t="s">
        <v>268</v>
      </c>
      <c r="E1590" s="152">
        <v>1</v>
      </c>
      <c r="F1590" s="153">
        <v>0</v>
      </c>
      <c r="G1590" s="153">
        <v>0</v>
      </c>
      <c r="H1590" s="153">
        <v>0</v>
      </c>
      <c r="I1590" s="327">
        <f t="shared" si="108"/>
        <v>1</v>
      </c>
      <c r="J1590" s="146" t="s">
        <v>114</v>
      </c>
      <c r="K1590" s="147"/>
      <c r="L1590" s="110"/>
      <c r="M1590" s="147"/>
    </row>
    <row r="1591" spans="1:13" s="148" customFormat="1" ht="16.5" hidden="1" customHeight="1">
      <c r="A1591" s="110"/>
      <c r="B1591" s="140" t="s">
        <v>1376</v>
      </c>
      <c r="C1591" s="150">
        <v>1</v>
      </c>
      <c r="D1591" s="151" t="s">
        <v>268</v>
      </c>
      <c r="E1591" s="152">
        <v>1</v>
      </c>
      <c r="F1591" s="153">
        <v>0</v>
      </c>
      <c r="G1591" s="153">
        <v>0</v>
      </c>
      <c r="H1591" s="153">
        <v>0</v>
      </c>
      <c r="I1591" s="327">
        <f t="shared" si="108"/>
        <v>1</v>
      </c>
      <c r="J1591" s="146" t="s">
        <v>114</v>
      </c>
      <c r="K1591" s="147"/>
      <c r="L1591" s="110"/>
      <c r="M1591" s="147"/>
    </row>
    <row r="1592" spans="1:13" s="148" customFormat="1" ht="16.5" hidden="1" customHeight="1">
      <c r="A1592" s="110"/>
      <c r="B1592" s="140" t="s">
        <v>228</v>
      </c>
      <c r="C1592" s="150">
        <v>1</v>
      </c>
      <c r="D1592" s="151" t="s">
        <v>268</v>
      </c>
      <c r="E1592" s="152">
        <v>4</v>
      </c>
      <c r="F1592" s="153">
        <v>0</v>
      </c>
      <c r="G1592" s="153">
        <v>0</v>
      </c>
      <c r="H1592" s="153">
        <v>0</v>
      </c>
      <c r="I1592" s="327">
        <f t="shared" si="108"/>
        <v>4</v>
      </c>
      <c r="J1592" s="146" t="s">
        <v>114</v>
      </c>
      <c r="K1592" s="147"/>
      <c r="L1592" s="110"/>
      <c r="M1592" s="147"/>
    </row>
    <row r="1593" spans="1:13" s="148" customFormat="1" ht="16.5" hidden="1" customHeight="1">
      <c r="A1593" s="110"/>
      <c r="B1593" s="140" t="s">
        <v>893</v>
      </c>
      <c r="C1593" s="150">
        <v>1</v>
      </c>
      <c r="D1593" s="151" t="s">
        <v>268</v>
      </c>
      <c r="E1593" s="152">
        <v>1</v>
      </c>
      <c r="F1593" s="153">
        <v>0</v>
      </c>
      <c r="G1593" s="153">
        <v>0</v>
      </c>
      <c r="H1593" s="153">
        <v>0</v>
      </c>
      <c r="I1593" s="327">
        <f t="shared" si="108"/>
        <v>1</v>
      </c>
      <c r="J1593" s="146" t="s">
        <v>114</v>
      </c>
      <c r="K1593" s="147"/>
      <c r="L1593" s="110"/>
      <c r="M1593" s="147"/>
    </row>
    <row r="1594" spans="1:13" s="148" customFormat="1" ht="16.5" hidden="1" customHeight="1">
      <c r="A1594" s="110"/>
      <c r="B1594" s="140"/>
      <c r="C1594" s="150"/>
      <c r="D1594" s="151"/>
      <c r="E1594" s="152"/>
      <c r="F1594" s="153"/>
      <c r="G1594" s="153"/>
      <c r="H1594" s="153"/>
      <c r="I1594" s="327"/>
      <c r="J1594" s="146"/>
      <c r="K1594" s="147"/>
      <c r="L1594" s="110"/>
      <c r="M1594" s="147"/>
    </row>
    <row r="1595" spans="1:13" hidden="1">
      <c r="A1595" s="110"/>
      <c r="B1595" s="147"/>
      <c r="C1595" s="154"/>
      <c r="D1595" s="155"/>
      <c r="E1595" s="156"/>
      <c r="F1595" s="157"/>
      <c r="G1595" s="158"/>
      <c r="H1595" s="110"/>
      <c r="I1595" s="327"/>
      <c r="J1595" s="146" t="s">
        <v>114</v>
      </c>
      <c r="K1595" s="12">
        <f>'Ele Data 2025-26'!I230</f>
        <v>2933.04</v>
      </c>
      <c r="L1595" s="12" t="s">
        <v>271</v>
      </c>
      <c r="M1595" s="11">
        <f>ROUND(I1595*K1595,0)</f>
        <v>0</v>
      </c>
    </row>
    <row r="1596" spans="1:13" ht="30.75" hidden="1" customHeight="1">
      <c r="A1596" s="110">
        <v>13</v>
      </c>
      <c r="B1596" s="964" t="s">
        <v>899</v>
      </c>
      <c r="C1596" s="964"/>
      <c r="D1596" s="964"/>
      <c r="E1596" s="964"/>
      <c r="F1596" s="964"/>
      <c r="G1596" s="964"/>
      <c r="H1596" s="964"/>
      <c r="I1596" s="327"/>
      <c r="J1596" s="186"/>
      <c r="K1596" s="110"/>
      <c r="L1596" s="110"/>
      <c r="M1596" s="139"/>
    </row>
    <row r="1597" spans="1:13" s="148" customFormat="1" ht="16.5" hidden="1" customHeight="1">
      <c r="A1597" s="110"/>
      <c r="B1597" s="147" t="s">
        <v>1402</v>
      </c>
      <c r="C1597" s="141"/>
      <c r="D1597" s="142"/>
      <c r="E1597" s="143"/>
      <c r="F1597" s="144"/>
      <c r="G1597" s="144"/>
      <c r="H1597" s="145"/>
      <c r="I1597" s="184"/>
      <c r="J1597" s="146"/>
      <c r="K1597" s="147"/>
      <c r="L1597" s="110"/>
      <c r="M1597" s="147"/>
    </row>
    <row r="1598" spans="1:13" s="148" customFormat="1" ht="16.5" hidden="1" customHeight="1">
      <c r="A1598" s="110"/>
      <c r="B1598" s="140" t="s">
        <v>649</v>
      </c>
      <c r="C1598" s="150">
        <v>1</v>
      </c>
      <c r="D1598" s="151" t="s">
        <v>268</v>
      </c>
      <c r="E1598" s="152">
        <v>2</v>
      </c>
      <c r="F1598" s="153">
        <v>0</v>
      </c>
      <c r="G1598" s="153">
        <v>0</v>
      </c>
      <c r="H1598" s="153">
        <v>0</v>
      </c>
      <c r="I1598" s="327">
        <f t="shared" ref="I1598:I1606" si="109">ROUND(IF(AND(F1598:H1598),C1598*E1598*F1598*G1598*H1598,IF(AND(F1598,G1598),C1598*E1598*F1598*G1598,IF(AND(F1598,H1598),C1598*E1598*F1598*H1598,IF(AND(G1598,H1598),C1598*E1598*G1598*H1598,IF(F1598,C1598*E1598*F1598,IF(G1598,C1598*E1598*G1598,IF(H1598,C1598*E1598*H1598,C1598*E1598))))))),2)</f>
        <v>2</v>
      </c>
      <c r="J1598" s="146" t="s">
        <v>114</v>
      </c>
      <c r="K1598" s="147"/>
      <c r="L1598" s="110"/>
      <c r="M1598" s="147"/>
    </row>
    <row r="1599" spans="1:13" s="148" customFormat="1" ht="16.5" hidden="1" customHeight="1">
      <c r="A1599" s="110"/>
      <c r="B1599" s="140" t="s">
        <v>638</v>
      </c>
      <c r="C1599" s="150">
        <v>1</v>
      </c>
      <c r="D1599" s="151" t="s">
        <v>268</v>
      </c>
      <c r="E1599" s="152">
        <v>1</v>
      </c>
      <c r="F1599" s="153">
        <v>0</v>
      </c>
      <c r="G1599" s="153">
        <v>0</v>
      </c>
      <c r="H1599" s="153">
        <v>0</v>
      </c>
      <c r="I1599" s="327">
        <f t="shared" si="109"/>
        <v>1</v>
      </c>
      <c r="J1599" s="146" t="s">
        <v>114</v>
      </c>
      <c r="K1599" s="147"/>
      <c r="L1599" s="110"/>
      <c r="M1599" s="147"/>
    </row>
    <row r="1600" spans="1:13" s="148" customFormat="1" ht="16.5" hidden="1" customHeight="1">
      <c r="A1600" s="110"/>
      <c r="B1600" s="140" t="s">
        <v>1375</v>
      </c>
      <c r="C1600" s="150">
        <v>1</v>
      </c>
      <c r="D1600" s="151" t="s">
        <v>268</v>
      </c>
      <c r="E1600" s="152">
        <v>1</v>
      </c>
      <c r="F1600" s="153">
        <v>0</v>
      </c>
      <c r="G1600" s="153">
        <v>0</v>
      </c>
      <c r="H1600" s="153">
        <v>0</v>
      </c>
      <c r="I1600" s="327">
        <f t="shared" si="109"/>
        <v>1</v>
      </c>
      <c r="J1600" s="146" t="s">
        <v>114</v>
      </c>
      <c r="K1600" s="147"/>
      <c r="L1600" s="110"/>
      <c r="M1600" s="147"/>
    </row>
    <row r="1601" spans="1:13" s="148" customFormat="1" ht="16.5" hidden="1" customHeight="1">
      <c r="A1601" s="110"/>
      <c r="B1601" s="140" t="s">
        <v>228</v>
      </c>
      <c r="C1601" s="150">
        <v>1</v>
      </c>
      <c r="D1601" s="151" t="s">
        <v>268</v>
      </c>
      <c r="E1601" s="152">
        <v>4</v>
      </c>
      <c r="F1601" s="153">
        <v>0</v>
      </c>
      <c r="G1601" s="153">
        <v>0</v>
      </c>
      <c r="H1601" s="153">
        <v>0</v>
      </c>
      <c r="I1601" s="327">
        <f t="shared" si="109"/>
        <v>4</v>
      </c>
      <c r="J1601" s="146" t="s">
        <v>114</v>
      </c>
      <c r="K1601" s="147"/>
      <c r="L1601" s="110"/>
      <c r="M1601" s="147"/>
    </row>
    <row r="1602" spans="1:13" s="148" customFormat="1" ht="16.5" hidden="1" customHeight="1">
      <c r="A1602" s="110"/>
      <c r="B1602" s="140" t="s">
        <v>1033</v>
      </c>
      <c r="C1602" s="150">
        <v>1</v>
      </c>
      <c r="D1602" s="151" t="s">
        <v>268</v>
      </c>
      <c r="E1602" s="152">
        <v>1</v>
      </c>
      <c r="F1602" s="153">
        <v>0</v>
      </c>
      <c r="G1602" s="153">
        <v>0</v>
      </c>
      <c r="H1602" s="153">
        <v>0</v>
      </c>
      <c r="I1602" s="327">
        <f t="shared" si="109"/>
        <v>1</v>
      </c>
      <c r="J1602" s="146" t="s">
        <v>114</v>
      </c>
      <c r="K1602" s="147"/>
      <c r="L1602" s="110"/>
      <c r="M1602" s="147"/>
    </row>
    <row r="1603" spans="1:13" s="148" customFormat="1" ht="16.5" hidden="1" customHeight="1">
      <c r="A1603" s="110"/>
      <c r="B1603" s="140" t="s">
        <v>1032</v>
      </c>
      <c r="C1603" s="150">
        <v>1</v>
      </c>
      <c r="D1603" s="151" t="s">
        <v>268</v>
      </c>
      <c r="E1603" s="152">
        <v>1</v>
      </c>
      <c r="F1603" s="153">
        <v>0</v>
      </c>
      <c r="G1603" s="153">
        <v>0</v>
      </c>
      <c r="H1603" s="153">
        <v>0</v>
      </c>
      <c r="I1603" s="327">
        <f t="shared" si="109"/>
        <v>1</v>
      </c>
      <c r="J1603" s="146" t="s">
        <v>114</v>
      </c>
      <c r="K1603" s="147"/>
      <c r="L1603" s="110"/>
      <c r="M1603" s="147"/>
    </row>
    <row r="1604" spans="1:13" s="148" customFormat="1" ht="16.5" hidden="1" customHeight="1">
      <c r="A1604" s="110"/>
      <c r="B1604" s="140" t="s">
        <v>1376</v>
      </c>
      <c r="C1604" s="150">
        <v>1</v>
      </c>
      <c r="D1604" s="151" t="s">
        <v>268</v>
      </c>
      <c r="E1604" s="152">
        <v>1</v>
      </c>
      <c r="F1604" s="153">
        <v>0</v>
      </c>
      <c r="G1604" s="153">
        <v>0</v>
      </c>
      <c r="H1604" s="153">
        <v>0</v>
      </c>
      <c r="I1604" s="327">
        <f t="shared" si="109"/>
        <v>1</v>
      </c>
      <c r="J1604" s="146" t="s">
        <v>114</v>
      </c>
      <c r="K1604" s="147"/>
      <c r="L1604" s="110"/>
      <c r="M1604" s="147"/>
    </row>
    <row r="1605" spans="1:13" s="148" customFormat="1" ht="16.5" hidden="1" customHeight="1">
      <c r="A1605" s="110"/>
      <c r="B1605" s="140" t="s">
        <v>228</v>
      </c>
      <c r="C1605" s="150">
        <v>1</v>
      </c>
      <c r="D1605" s="151" t="s">
        <v>268</v>
      </c>
      <c r="E1605" s="152">
        <v>4</v>
      </c>
      <c r="F1605" s="153">
        <v>0</v>
      </c>
      <c r="G1605" s="153">
        <v>0</v>
      </c>
      <c r="H1605" s="153">
        <v>0</v>
      </c>
      <c r="I1605" s="327">
        <f t="shared" si="109"/>
        <v>4</v>
      </c>
      <c r="J1605" s="146" t="s">
        <v>114</v>
      </c>
      <c r="K1605" s="147"/>
      <c r="L1605" s="110"/>
      <c r="M1605" s="147"/>
    </row>
    <row r="1606" spans="1:13" s="148" customFormat="1" ht="16.5" hidden="1" customHeight="1">
      <c r="A1606" s="110"/>
      <c r="B1606" s="140" t="s">
        <v>893</v>
      </c>
      <c r="C1606" s="150">
        <v>1</v>
      </c>
      <c r="D1606" s="151" t="s">
        <v>268</v>
      </c>
      <c r="E1606" s="152">
        <v>1</v>
      </c>
      <c r="F1606" s="153">
        <v>0</v>
      </c>
      <c r="G1606" s="153">
        <v>0</v>
      </c>
      <c r="H1606" s="153">
        <v>0</v>
      </c>
      <c r="I1606" s="327">
        <f t="shared" si="109"/>
        <v>1</v>
      </c>
      <c r="J1606" s="146" t="s">
        <v>114</v>
      </c>
      <c r="K1606" s="147"/>
      <c r="L1606" s="110"/>
      <c r="M1606" s="147"/>
    </row>
    <row r="1607" spans="1:13" s="148" customFormat="1" ht="16.5" hidden="1" customHeight="1">
      <c r="A1607" s="110"/>
      <c r="B1607" s="140"/>
      <c r="C1607" s="150"/>
      <c r="D1607" s="151"/>
      <c r="E1607" s="152"/>
      <c r="F1607" s="153"/>
      <c r="G1607" s="153"/>
      <c r="H1607" s="153"/>
      <c r="I1607" s="327"/>
      <c r="J1607" s="146"/>
      <c r="K1607" s="147"/>
      <c r="L1607" s="110"/>
      <c r="M1607" s="147"/>
    </row>
    <row r="1608" spans="1:13" hidden="1">
      <c r="A1608" s="110"/>
      <c r="B1608" s="147"/>
      <c r="C1608" s="154"/>
      <c r="D1608" s="155"/>
      <c r="E1608" s="156"/>
      <c r="F1608" s="157"/>
      <c r="G1608" s="158"/>
      <c r="H1608" s="110"/>
      <c r="I1608" s="327"/>
      <c r="J1608" s="146" t="s">
        <v>114</v>
      </c>
      <c r="K1608" s="12">
        <f>'Ele Data 2025-26'!I235</f>
        <v>289.5</v>
      </c>
      <c r="L1608" s="12" t="s">
        <v>271</v>
      </c>
      <c r="M1608" s="11">
        <f>ROUND(I1608*K1608,0)</f>
        <v>0</v>
      </c>
    </row>
    <row r="1609" spans="1:13" ht="30.75" hidden="1" customHeight="1">
      <c r="A1609" s="110">
        <v>14</v>
      </c>
      <c r="B1609" s="964" t="s">
        <v>900</v>
      </c>
      <c r="C1609" s="964"/>
      <c r="D1609" s="964"/>
      <c r="E1609" s="964"/>
      <c r="F1609" s="964"/>
      <c r="G1609" s="964"/>
      <c r="H1609" s="964"/>
      <c r="I1609" s="183"/>
      <c r="J1609" s="186"/>
      <c r="K1609" s="110"/>
      <c r="L1609" s="110"/>
      <c r="M1609" s="139"/>
    </row>
    <row r="1610" spans="1:13" s="148" customFormat="1" ht="16.5" hidden="1" customHeight="1">
      <c r="A1610" s="110"/>
      <c r="B1610" s="147" t="s">
        <v>1404</v>
      </c>
      <c r="C1610" s="141"/>
      <c r="D1610" s="142"/>
      <c r="E1610" s="143"/>
      <c r="F1610" s="144"/>
      <c r="G1610" s="144"/>
      <c r="H1610" s="145"/>
      <c r="I1610" s="184"/>
      <c r="J1610" s="146"/>
      <c r="K1610" s="147"/>
      <c r="L1610" s="110"/>
      <c r="M1610" s="147"/>
    </row>
    <row r="1611" spans="1:13" s="148" customFormat="1" ht="16.5" hidden="1" customHeight="1">
      <c r="A1611" s="110"/>
      <c r="B1611" s="140" t="s">
        <v>649</v>
      </c>
      <c r="C1611" s="150">
        <v>1</v>
      </c>
      <c r="D1611" s="151" t="s">
        <v>268</v>
      </c>
      <c r="E1611" s="152">
        <v>2</v>
      </c>
      <c r="F1611" s="153">
        <v>0</v>
      </c>
      <c r="G1611" s="153">
        <v>0</v>
      </c>
      <c r="H1611" s="153">
        <v>0</v>
      </c>
      <c r="I1611" s="327">
        <f t="shared" ref="I1611:I1619" si="110">ROUND(IF(AND(F1611:H1611),C1611*E1611*F1611*G1611*H1611,IF(AND(F1611,G1611),C1611*E1611*F1611*G1611,IF(AND(F1611,H1611),C1611*E1611*F1611*H1611,IF(AND(G1611,H1611),C1611*E1611*G1611*H1611,IF(F1611,C1611*E1611*F1611,IF(G1611,C1611*E1611*G1611,IF(H1611,C1611*E1611*H1611,C1611*E1611))))))),2)</f>
        <v>2</v>
      </c>
      <c r="J1611" s="146" t="s">
        <v>114</v>
      </c>
      <c r="K1611" s="147"/>
      <c r="L1611" s="110"/>
      <c r="M1611" s="147"/>
    </row>
    <row r="1612" spans="1:13" s="148" customFormat="1" ht="16.5" hidden="1" customHeight="1">
      <c r="A1612" s="110"/>
      <c r="B1612" s="140" t="s">
        <v>638</v>
      </c>
      <c r="C1612" s="150">
        <v>1</v>
      </c>
      <c r="D1612" s="151" t="s">
        <v>268</v>
      </c>
      <c r="E1612" s="152">
        <v>1</v>
      </c>
      <c r="F1612" s="153">
        <v>0</v>
      </c>
      <c r="G1612" s="153">
        <v>0</v>
      </c>
      <c r="H1612" s="153">
        <v>0</v>
      </c>
      <c r="I1612" s="327">
        <f t="shared" si="110"/>
        <v>1</v>
      </c>
      <c r="J1612" s="146" t="s">
        <v>114</v>
      </c>
      <c r="K1612" s="147"/>
      <c r="L1612" s="110"/>
      <c r="M1612" s="147"/>
    </row>
    <row r="1613" spans="1:13" s="148" customFormat="1" ht="16.5" hidden="1" customHeight="1">
      <c r="A1613" s="110"/>
      <c r="B1613" s="140" t="s">
        <v>892</v>
      </c>
      <c r="C1613" s="150">
        <v>1</v>
      </c>
      <c r="D1613" s="151" t="s">
        <v>268</v>
      </c>
      <c r="E1613" s="152">
        <v>1</v>
      </c>
      <c r="F1613" s="153">
        <v>0</v>
      </c>
      <c r="G1613" s="153">
        <v>0</v>
      </c>
      <c r="H1613" s="153">
        <v>0</v>
      </c>
      <c r="I1613" s="327">
        <f t="shared" si="110"/>
        <v>1</v>
      </c>
      <c r="J1613" s="146" t="s">
        <v>114</v>
      </c>
      <c r="K1613" s="147"/>
      <c r="L1613" s="110"/>
      <c r="M1613" s="147"/>
    </row>
    <row r="1614" spans="1:13" s="148" customFormat="1" ht="16.5" hidden="1" customHeight="1">
      <c r="A1614" s="110"/>
      <c r="B1614" s="140" t="s">
        <v>896</v>
      </c>
      <c r="C1614" s="150">
        <v>1</v>
      </c>
      <c r="D1614" s="151" t="s">
        <v>268</v>
      </c>
      <c r="E1614" s="152">
        <v>4</v>
      </c>
      <c r="F1614" s="153">
        <v>0</v>
      </c>
      <c r="G1614" s="153">
        <v>0</v>
      </c>
      <c r="H1614" s="153">
        <v>0</v>
      </c>
      <c r="I1614" s="327">
        <f t="shared" si="110"/>
        <v>4</v>
      </c>
      <c r="J1614" s="146" t="s">
        <v>114</v>
      </c>
      <c r="K1614" s="147"/>
      <c r="L1614" s="110"/>
      <c r="M1614" s="147"/>
    </row>
    <row r="1615" spans="1:13" s="148" customFormat="1" ht="16.5" hidden="1" customHeight="1">
      <c r="A1615" s="110"/>
      <c r="B1615" s="140" t="s">
        <v>577</v>
      </c>
      <c r="C1615" s="150">
        <v>1</v>
      </c>
      <c r="D1615" s="151" t="s">
        <v>268</v>
      </c>
      <c r="E1615" s="152">
        <v>1</v>
      </c>
      <c r="F1615" s="153">
        <v>0</v>
      </c>
      <c r="G1615" s="153">
        <v>0</v>
      </c>
      <c r="H1615" s="153">
        <v>0</v>
      </c>
      <c r="I1615" s="327">
        <f t="shared" si="110"/>
        <v>1</v>
      </c>
      <c r="J1615" s="146" t="s">
        <v>114</v>
      </c>
      <c r="K1615" s="147"/>
      <c r="L1615" s="110"/>
      <c r="M1615" s="147"/>
    </row>
    <row r="1616" spans="1:13" s="148" customFormat="1" ht="16.5" hidden="1" customHeight="1">
      <c r="A1616" s="110"/>
      <c r="B1616" s="140" t="s">
        <v>264</v>
      </c>
      <c r="C1616" s="150">
        <v>1</v>
      </c>
      <c r="D1616" s="151" t="s">
        <v>268</v>
      </c>
      <c r="E1616" s="152">
        <v>1</v>
      </c>
      <c r="F1616" s="153">
        <v>0</v>
      </c>
      <c r="G1616" s="153">
        <v>0</v>
      </c>
      <c r="H1616" s="153">
        <v>0</v>
      </c>
      <c r="I1616" s="327">
        <f t="shared" si="110"/>
        <v>1</v>
      </c>
      <c r="J1616" s="146" t="s">
        <v>114</v>
      </c>
      <c r="K1616" s="147"/>
      <c r="L1616" s="110"/>
      <c r="M1616" s="147"/>
    </row>
    <row r="1617" spans="1:13" s="148" customFormat="1" ht="16.5" hidden="1" customHeight="1">
      <c r="A1617" s="110"/>
      <c r="B1617" s="140" t="s">
        <v>897</v>
      </c>
      <c r="C1617" s="150">
        <v>1</v>
      </c>
      <c r="D1617" s="151" t="s">
        <v>268</v>
      </c>
      <c r="E1617" s="152">
        <v>1</v>
      </c>
      <c r="F1617" s="153">
        <v>0</v>
      </c>
      <c r="G1617" s="153">
        <v>0</v>
      </c>
      <c r="H1617" s="153">
        <v>0</v>
      </c>
      <c r="I1617" s="327">
        <f t="shared" si="110"/>
        <v>1</v>
      </c>
      <c r="J1617" s="146" t="s">
        <v>114</v>
      </c>
      <c r="K1617" s="147"/>
      <c r="L1617" s="110"/>
      <c r="M1617" s="147"/>
    </row>
    <row r="1618" spans="1:13" s="148" customFormat="1" ht="16.5" hidden="1" customHeight="1">
      <c r="A1618" s="110"/>
      <c r="B1618" s="140" t="s">
        <v>228</v>
      </c>
      <c r="C1618" s="150">
        <v>1</v>
      </c>
      <c r="D1618" s="151" t="s">
        <v>268</v>
      </c>
      <c r="E1618" s="152">
        <v>4</v>
      </c>
      <c r="F1618" s="153">
        <v>0</v>
      </c>
      <c r="G1618" s="153">
        <v>0</v>
      </c>
      <c r="H1618" s="153">
        <v>0</v>
      </c>
      <c r="I1618" s="327">
        <f t="shared" si="110"/>
        <v>4</v>
      </c>
      <c r="J1618" s="146" t="s">
        <v>114</v>
      </c>
      <c r="K1618" s="147"/>
      <c r="L1618" s="110"/>
      <c r="M1618" s="147"/>
    </row>
    <row r="1619" spans="1:13" s="148" customFormat="1" ht="16.5" hidden="1" customHeight="1">
      <c r="A1619" s="110"/>
      <c r="B1619" s="140" t="s">
        <v>898</v>
      </c>
      <c r="C1619" s="150">
        <v>1</v>
      </c>
      <c r="D1619" s="151" t="s">
        <v>268</v>
      </c>
      <c r="E1619" s="152">
        <v>1</v>
      </c>
      <c r="F1619" s="153">
        <v>0</v>
      </c>
      <c r="G1619" s="153">
        <v>0</v>
      </c>
      <c r="H1619" s="153">
        <v>0</v>
      </c>
      <c r="I1619" s="327">
        <f t="shared" si="110"/>
        <v>1</v>
      </c>
      <c r="J1619" s="146" t="s">
        <v>114</v>
      </c>
      <c r="K1619" s="147"/>
      <c r="L1619" s="110"/>
      <c r="M1619" s="147"/>
    </row>
    <row r="1620" spans="1:13" s="148" customFormat="1" ht="16.5" hidden="1" customHeight="1">
      <c r="A1620" s="110"/>
      <c r="B1620" s="140"/>
      <c r="C1620" s="150"/>
      <c r="D1620" s="151"/>
      <c r="E1620" s="152"/>
      <c r="F1620" s="153"/>
      <c r="G1620" s="153"/>
      <c r="H1620" s="153"/>
      <c r="I1620" s="327"/>
      <c r="J1620" s="146"/>
      <c r="K1620" s="147"/>
      <c r="L1620" s="110"/>
      <c r="M1620" s="147"/>
    </row>
    <row r="1621" spans="1:13" hidden="1">
      <c r="A1621" s="110"/>
      <c r="B1621" s="147"/>
      <c r="C1621" s="154"/>
      <c r="D1621" s="155"/>
      <c r="E1621" s="156"/>
      <c r="F1621" s="157"/>
      <c r="G1621" s="158"/>
      <c r="H1621" s="110"/>
      <c r="I1621" s="327"/>
      <c r="J1621" s="146" t="s">
        <v>114</v>
      </c>
      <c r="K1621" s="12">
        <f>'Ele Data 2025-26'!I242</f>
        <v>191.64</v>
      </c>
      <c r="L1621" s="12" t="s">
        <v>271</v>
      </c>
      <c r="M1621" s="11">
        <f>ROUND(I1621*K1621,0)</f>
        <v>0</v>
      </c>
    </row>
    <row r="1622" spans="1:13" ht="30.75" hidden="1" customHeight="1">
      <c r="A1622" s="110">
        <v>35</v>
      </c>
      <c r="B1622" s="964" t="s">
        <v>901</v>
      </c>
      <c r="C1622" s="964"/>
      <c r="D1622" s="964"/>
      <c r="E1622" s="964"/>
      <c r="F1622" s="964"/>
      <c r="G1622" s="964"/>
      <c r="H1622" s="964"/>
      <c r="I1622" s="183"/>
      <c r="J1622" s="186"/>
      <c r="K1622" s="110"/>
      <c r="L1622" s="110"/>
      <c r="M1622" s="139"/>
    </row>
    <row r="1623" spans="1:13" s="148" customFormat="1" ht="16.5" hidden="1" customHeight="1">
      <c r="A1623" s="110"/>
      <c r="B1623" s="140" t="s">
        <v>1847</v>
      </c>
      <c r="C1623" s="150">
        <v>1</v>
      </c>
      <c r="D1623" s="151" t="s">
        <v>268</v>
      </c>
      <c r="E1623" s="152">
        <v>1</v>
      </c>
      <c r="F1623" s="153">
        <v>0</v>
      </c>
      <c r="G1623" s="153">
        <v>0</v>
      </c>
      <c r="H1623" s="153">
        <v>0</v>
      </c>
      <c r="I1623" s="327">
        <f t="shared" ref="I1623:I1625" si="111">ROUND(IF(AND(F1623:H1623),C1623*E1623*F1623*G1623*H1623,IF(AND(F1623,G1623),C1623*E1623*F1623*G1623,IF(AND(F1623,H1623),C1623*E1623*F1623*H1623,IF(AND(G1623,H1623),C1623*E1623*G1623*H1623,IF(F1623,C1623*E1623*F1623,IF(G1623,C1623*E1623*G1623,IF(H1623,C1623*E1623*H1623,C1623*E1623))))))),2)</f>
        <v>1</v>
      </c>
      <c r="J1623" s="146" t="s">
        <v>114</v>
      </c>
      <c r="K1623" s="147"/>
      <c r="L1623" s="110"/>
      <c r="M1623" s="147"/>
    </row>
    <row r="1624" spans="1:13" s="148" customFormat="1" ht="16.5" hidden="1" customHeight="1">
      <c r="A1624" s="110"/>
      <c r="B1624" s="140" t="s">
        <v>1891</v>
      </c>
      <c r="C1624" s="150">
        <v>1</v>
      </c>
      <c r="D1624" s="151" t="s">
        <v>268</v>
      </c>
      <c r="E1624" s="152">
        <v>2</v>
      </c>
      <c r="F1624" s="153">
        <v>0</v>
      </c>
      <c r="G1624" s="153">
        <v>0</v>
      </c>
      <c r="H1624" s="153">
        <v>0</v>
      </c>
      <c r="I1624" s="327">
        <f t="shared" si="111"/>
        <v>2</v>
      </c>
      <c r="J1624" s="146" t="s">
        <v>114</v>
      </c>
      <c r="K1624" s="147"/>
      <c r="L1624" s="110"/>
      <c r="M1624" s="147"/>
    </row>
    <row r="1625" spans="1:13" s="148" customFormat="1" ht="16.5" hidden="1" customHeight="1">
      <c r="A1625" s="110"/>
      <c r="B1625" s="140" t="s">
        <v>745</v>
      </c>
      <c r="C1625" s="150">
        <v>1</v>
      </c>
      <c r="D1625" s="151" t="s">
        <v>268</v>
      </c>
      <c r="E1625" s="152">
        <v>1</v>
      </c>
      <c r="F1625" s="153">
        <v>0</v>
      </c>
      <c r="G1625" s="153">
        <v>0</v>
      </c>
      <c r="H1625" s="153">
        <v>0</v>
      </c>
      <c r="I1625" s="327">
        <f t="shared" si="111"/>
        <v>1</v>
      </c>
      <c r="J1625" s="146" t="s">
        <v>114</v>
      </c>
      <c r="K1625" s="147"/>
      <c r="L1625" s="110"/>
      <c r="M1625" s="147"/>
    </row>
    <row r="1626" spans="1:13" s="148" customFormat="1" ht="16.5" hidden="1" customHeight="1">
      <c r="A1626" s="110"/>
      <c r="B1626" s="140"/>
      <c r="C1626" s="150"/>
      <c r="D1626" s="151"/>
      <c r="E1626" s="152"/>
      <c r="F1626" s="153"/>
      <c r="G1626" s="153"/>
      <c r="H1626" s="153"/>
      <c r="I1626" s="327"/>
      <c r="J1626" s="146"/>
      <c r="K1626" s="147"/>
      <c r="L1626" s="110"/>
      <c r="M1626" s="147"/>
    </row>
    <row r="1627" spans="1:13" hidden="1">
      <c r="A1627" s="110"/>
      <c r="B1627" s="147"/>
      <c r="C1627" s="154"/>
      <c r="D1627" s="155"/>
      <c r="E1627" s="156"/>
      <c r="F1627" s="157"/>
      <c r="G1627" s="158"/>
      <c r="H1627" s="110"/>
      <c r="I1627" s="327"/>
      <c r="J1627" s="146" t="s">
        <v>114</v>
      </c>
      <c r="K1627" s="12">
        <f>'Ele Data 2025-26'!I248</f>
        <v>180.5</v>
      </c>
      <c r="L1627" s="12" t="s">
        <v>271</v>
      </c>
      <c r="M1627" s="11">
        <f>ROUND(I1627*K1627,0)</f>
        <v>0</v>
      </c>
    </row>
    <row r="1628" spans="1:13" s="763" customFormat="1" ht="43.5" customHeight="1">
      <c r="A1628" s="757">
        <v>47</v>
      </c>
      <c r="B1628" s="965" t="s">
        <v>434</v>
      </c>
      <c r="C1628" s="965"/>
      <c r="D1628" s="965"/>
      <c r="E1628" s="965"/>
      <c r="F1628" s="965"/>
      <c r="G1628" s="965"/>
      <c r="H1628" s="965"/>
      <c r="I1628" s="759"/>
      <c r="J1628" s="760"/>
      <c r="K1628" s="757"/>
      <c r="L1628" s="757"/>
      <c r="M1628" s="762"/>
    </row>
    <row r="1629" spans="1:13" s="771" customFormat="1" ht="16.5" customHeight="1">
      <c r="A1629" s="757"/>
      <c r="B1629" s="814"/>
      <c r="C1629" s="774">
        <v>1</v>
      </c>
      <c r="D1629" s="775" t="s">
        <v>268</v>
      </c>
      <c r="E1629" s="776">
        <v>8</v>
      </c>
      <c r="F1629" s="777">
        <v>0</v>
      </c>
      <c r="G1629" s="777">
        <v>0</v>
      </c>
      <c r="H1629" s="777">
        <v>0</v>
      </c>
      <c r="I1629" s="815">
        <f>ROUND(IF(AND(F1629:H1629),C1629*E1629*F1629*G1629*H1629,IF(AND(F1629,G1629),C1629*E1629*F1629*G1629,IF(AND(F1629,H1629),C1629*E1629*F1629*H1629,IF(AND(G1629,H1629),C1629*E1629*G1629*H1629,IF(F1629,C1629*E1629*F1629,IF(G1629,C1629*E1629*G1629,IF(H1629,C1629*E1629*H1629,C1629*E1629))))))),2)</f>
        <v>8</v>
      </c>
      <c r="J1629" s="803" t="s">
        <v>114</v>
      </c>
      <c r="K1629" s="764"/>
      <c r="L1629" s="757"/>
      <c r="M1629" s="764"/>
    </row>
    <row r="1630" spans="1:13" s="771" customFormat="1" ht="16.5" customHeight="1">
      <c r="A1630" s="757"/>
      <c r="B1630" s="814"/>
      <c r="C1630" s="774"/>
      <c r="D1630" s="775"/>
      <c r="E1630" s="776"/>
      <c r="F1630" s="777"/>
      <c r="G1630" s="777"/>
      <c r="H1630" s="777"/>
      <c r="I1630" s="815"/>
      <c r="J1630" s="803"/>
      <c r="K1630" s="764"/>
      <c r="L1630" s="757"/>
      <c r="M1630" s="764"/>
    </row>
    <row r="1631" spans="1:13" s="763" customFormat="1">
      <c r="A1631" s="757"/>
      <c r="B1631" s="764"/>
      <c r="C1631" s="779"/>
      <c r="D1631" s="780"/>
      <c r="E1631" s="767"/>
      <c r="F1631" s="781"/>
      <c r="G1631" s="782"/>
      <c r="H1631" s="757"/>
      <c r="I1631" s="815">
        <f>SUM(I1629:I1630)</f>
        <v>8</v>
      </c>
      <c r="J1631" s="803" t="s">
        <v>114</v>
      </c>
      <c r="K1631" s="768">
        <f>'Ele Data 2025-26'!I265</f>
        <v>464.55</v>
      </c>
      <c r="L1631" s="768" t="s">
        <v>271</v>
      </c>
      <c r="M1631" s="784">
        <f>ROUND(I1631*K1631,0)</f>
        <v>3716</v>
      </c>
    </row>
    <row r="1632" spans="1:13" s="763" customFormat="1" ht="66.75" customHeight="1">
      <c r="A1632" s="757">
        <v>48</v>
      </c>
      <c r="B1632" s="965" t="s">
        <v>903</v>
      </c>
      <c r="C1632" s="965"/>
      <c r="D1632" s="965"/>
      <c r="E1632" s="965"/>
      <c r="F1632" s="965"/>
      <c r="G1632" s="965"/>
      <c r="H1632" s="965"/>
      <c r="I1632" s="759"/>
      <c r="J1632" s="760"/>
      <c r="K1632" s="757"/>
      <c r="L1632" s="757"/>
      <c r="M1632" s="762"/>
    </row>
    <row r="1633" spans="1:13" s="771" customFormat="1" ht="16.5" customHeight="1">
      <c r="A1633" s="757"/>
      <c r="B1633" s="814"/>
      <c r="C1633" s="774">
        <v>1</v>
      </c>
      <c r="D1633" s="775" t="s">
        <v>268</v>
      </c>
      <c r="E1633" s="776">
        <v>1</v>
      </c>
      <c r="F1633" s="777">
        <v>0</v>
      </c>
      <c r="G1633" s="777">
        <v>0</v>
      </c>
      <c r="H1633" s="777">
        <v>0</v>
      </c>
      <c r="I1633" s="815">
        <f>ROUND(IF(AND(F1633:H1633),C1633*E1633*F1633*G1633*H1633,IF(AND(F1633,G1633),C1633*E1633*F1633*G1633,IF(AND(F1633,H1633),C1633*E1633*F1633*H1633,IF(AND(G1633,H1633),C1633*E1633*G1633*H1633,IF(F1633,C1633*E1633*F1633,IF(G1633,C1633*E1633*G1633,IF(H1633,C1633*E1633*H1633,C1633*E1633))))))),2)</f>
        <v>1</v>
      </c>
      <c r="J1633" s="803" t="s">
        <v>114</v>
      </c>
      <c r="K1633" s="764"/>
      <c r="L1633" s="757"/>
      <c r="M1633" s="764"/>
    </row>
    <row r="1634" spans="1:13" s="763" customFormat="1">
      <c r="A1634" s="757"/>
      <c r="B1634" s="764"/>
      <c r="C1634" s="779"/>
      <c r="D1634" s="780"/>
      <c r="E1634" s="767"/>
      <c r="F1634" s="781"/>
      <c r="G1634" s="782"/>
      <c r="H1634" s="757"/>
      <c r="I1634" s="815">
        <f>SUM(I1633)</f>
        <v>1</v>
      </c>
      <c r="J1634" s="803" t="s">
        <v>114</v>
      </c>
      <c r="K1634" s="768">
        <f>'Ele Data 2025-26'!I312</f>
        <v>4645.72</v>
      </c>
      <c r="L1634" s="768" t="s">
        <v>271</v>
      </c>
      <c r="M1634" s="784">
        <f>ROUND(I1634*K1634,0)</f>
        <v>4646</v>
      </c>
    </row>
    <row r="1635" spans="1:13" ht="43.5" hidden="1" customHeight="1">
      <c r="A1635" s="110">
        <v>16</v>
      </c>
      <c r="B1635" s="964" t="s">
        <v>740</v>
      </c>
      <c r="C1635" s="964"/>
      <c r="D1635" s="964"/>
      <c r="E1635" s="964"/>
      <c r="F1635" s="964"/>
      <c r="G1635" s="964"/>
      <c r="H1635" s="964"/>
      <c r="I1635" s="183"/>
      <c r="J1635" s="186"/>
      <c r="K1635" s="110"/>
      <c r="L1635" s="110"/>
      <c r="M1635" s="139"/>
    </row>
    <row r="1636" spans="1:13" s="148" customFormat="1" ht="16.5" hidden="1" customHeight="1">
      <c r="A1636" s="110"/>
      <c r="B1636" s="140" t="s">
        <v>414</v>
      </c>
      <c r="C1636" s="141"/>
      <c r="D1636" s="142"/>
      <c r="E1636" s="143"/>
      <c r="F1636" s="144"/>
      <c r="G1636" s="144"/>
      <c r="H1636" s="145"/>
      <c r="I1636" s="184"/>
      <c r="J1636" s="146"/>
      <c r="K1636" s="147"/>
      <c r="L1636" s="110"/>
      <c r="M1636" s="147"/>
    </row>
    <row r="1637" spans="1:13" s="148" customFormat="1" ht="16.5" hidden="1" customHeight="1">
      <c r="A1637" s="110"/>
      <c r="B1637" s="140"/>
      <c r="C1637" s="150">
        <v>1</v>
      </c>
      <c r="D1637" s="151" t="s">
        <v>268</v>
      </c>
      <c r="E1637" s="152">
        <v>1</v>
      </c>
      <c r="F1637" s="153">
        <v>0</v>
      </c>
      <c r="G1637" s="153">
        <v>0</v>
      </c>
      <c r="H1637" s="153">
        <v>0</v>
      </c>
      <c r="I1637" s="185">
        <f>ROUND(IF(AND(F1637:H1637),C1637*E1637*F1637*G1637*H1637,IF(AND(F1637,G1637),C1637*E1637*F1637*G1637,IF(AND(F1637,H1637),C1637*E1637*F1637*H1637,IF(AND(G1637,H1637),C1637*E1637*G1637*H1637,IF(F1637,C1637*E1637*F1637,IF(G1637,C1637*E1637*G1637,IF(H1637,C1637*E1637*H1637,C1637*E1637))))))),2)</f>
        <v>1</v>
      </c>
      <c r="J1637" s="146" t="s">
        <v>114</v>
      </c>
      <c r="K1637" s="147"/>
      <c r="L1637" s="110"/>
      <c r="M1637" s="147"/>
    </row>
    <row r="1638" spans="1:13" hidden="1">
      <c r="A1638" s="110"/>
      <c r="B1638" s="147"/>
      <c r="C1638" s="154"/>
      <c r="D1638" s="155"/>
      <c r="E1638" s="156"/>
      <c r="F1638" s="157"/>
      <c r="G1638" s="158"/>
      <c r="H1638" s="110"/>
      <c r="I1638" s="185"/>
      <c r="J1638" s="146" t="s">
        <v>114</v>
      </c>
      <c r="K1638" s="12">
        <f>'Ele Data 2025-26'!I92</f>
        <v>1552</v>
      </c>
      <c r="L1638" s="12" t="s">
        <v>271</v>
      </c>
      <c r="M1638" s="11">
        <f>ROUND(I1638*K1638,0)</f>
        <v>0</v>
      </c>
    </row>
    <row r="1639" spans="1:13" s="763" customFormat="1" ht="66" customHeight="1">
      <c r="A1639" s="757">
        <v>49</v>
      </c>
      <c r="B1639" s="965" t="s">
        <v>689</v>
      </c>
      <c r="C1639" s="965"/>
      <c r="D1639" s="965"/>
      <c r="E1639" s="965"/>
      <c r="F1639" s="965"/>
      <c r="G1639" s="965"/>
      <c r="H1639" s="965"/>
      <c r="I1639" s="759"/>
      <c r="J1639" s="760"/>
      <c r="K1639" s="757"/>
      <c r="L1639" s="757"/>
      <c r="M1639" s="762"/>
    </row>
    <row r="1640" spans="1:13" s="771" customFormat="1" ht="16.5" customHeight="1">
      <c r="A1640" s="757"/>
      <c r="B1640" s="814"/>
      <c r="C1640" s="774">
        <v>1</v>
      </c>
      <c r="D1640" s="775" t="s">
        <v>268</v>
      </c>
      <c r="E1640" s="776">
        <v>1</v>
      </c>
      <c r="F1640" s="777">
        <v>0</v>
      </c>
      <c r="G1640" s="777">
        <v>0</v>
      </c>
      <c r="H1640" s="777">
        <v>0</v>
      </c>
      <c r="I1640" s="815">
        <f>ROUND(IF(AND(F1640:H1640),C1640*E1640*F1640*G1640*H1640,IF(AND(F1640,G1640),C1640*E1640*F1640*G1640,IF(AND(F1640,H1640),C1640*E1640*F1640*H1640,IF(AND(G1640,H1640),C1640*E1640*G1640*H1640,IF(F1640,C1640*E1640*F1640,IF(G1640,C1640*E1640*G1640,IF(H1640,C1640*E1640*H1640,C1640*E1640))))))),2)</f>
        <v>1</v>
      </c>
      <c r="J1640" s="803" t="s">
        <v>114</v>
      </c>
      <c r="K1640" s="764"/>
      <c r="L1640" s="757"/>
      <c r="M1640" s="764"/>
    </row>
    <row r="1641" spans="1:13" s="771" customFormat="1" ht="16.5" customHeight="1">
      <c r="A1641" s="757"/>
      <c r="B1641" s="814"/>
      <c r="C1641" s="774"/>
      <c r="D1641" s="775"/>
      <c r="E1641" s="776"/>
      <c r="F1641" s="777"/>
      <c r="G1641" s="777"/>
      <c r="H1641" s="777"/>
      <c r="I1641" s="815"/>
      <c r="J1641" s="803"/>
      <c r="K1641" s="764"/>
      <c r="L1641" s="757"/>
      <c r="M1641" s="764"/>
    </row>
    <row r="1642" spans="1:13" s="763" customFormat="1">
      <c r="A1642" s="757"/>
      <c r="B1642" s="764"/>
      <c r="C1642" s="779"/>
      <c r="D1642" s="780"/>
      <c r="E1642" s="767"/>
      <c r="F1642" s="781"/>
      <c r="G1642" s="782"/>
      <c r="H1642" s="757"/>
      <c r="I1642" s="815">
        <f>SUM(I1640:I1641)</f>
        <v>1</v>
      </c>
      <c r="J1642" s="803" t="s">
        <v>114</v>
      </c>
      <c r="K1642" s="768">
        <f>'Ele Data 2025-26'!I278</f>
        <v>4321.91</v>
      </c>
      <c r="L1642" s="768" t="s">
        <v>271</v>
      </c>
      <c r="M1642" s="784">
        <f>ROUND(I1642*K1642,0)</f>
        <v>4322</v>
      </c>
    </row>
    <row r="1643" spans="1:13" s="763" customFormat="1" ht="44.25" customHeight="1">
      <c r="A1643" s="757">
        <v>50</v>
      </c>
      <c r="B1643" s="965" t="s">
        <v>889</v>
      </c>
      <c r="C1643" s="965"/>
      <c r="D1643" s="965"/>
      <c r="E1643" s="965"/>
      <c r="F1643" s="965"/>
      <c r="G1643" s="965"/>
      <c r="H1643" s="965"/>
      <c r="I1643" s="759"/>
      <c r="J1643" s="760"/>
      <c r="K1643" s="757"/>
      <c r="L1643" s="757"/>
      <c r="M1643" s="762"/>
    </row>
    <row r="1644" spans="1:13" s="771" customFormat="1" ht="16.5" customHeight="1">
      <c r="A1644" s="757"/>
      <c r="B1644" s="814"/>
      <c r="C1644" s="774">
        <v>1</v>
      </c>
      <c r="D1644" s="775" t="s">
        <v>268</v>
      </c>
      <c r="E1644" s="776">
        <v>1</v>
      </c>
      <c r="F1644" s="777">
        <v>0</v>
      </c>
      <c r="G1644" s="777">
        <v>0</v>
      </c>
      <c r="H1644" s="777">
        <v>0</v>
      </c>
      <c r="I1644" s="815">
        <f>ROUND(IF(AND(F1644:H1644),C1644*E1644*F1644*G1644*H1644,IF(AND(F1644,G1644),C1644*E1644*F1644*G1644,IF(AND(F1644,H1644),C1644*E1644*F1644*H1644,IF(AND(G1644,H1644),C1644*E1644*G1644*H1644,IF(F1644,C1644*E1644*F1644,IF(G1644,C1644*E1644*G1644,IF(H1644,C1644*E1644*H1644,C1644*E1644))))))),2)</f>
        <v>1</v>
      </c>
      <c r="J1644" s="803" t="s">
        <v>114</v>
      </c>
      <c r="K1644" s="764"/>
      <c r="L1644" s="757"/>
      <c r="M1644" s="764"/>
    </row>
    <row r="1645" spans="1:13" s="771" customFormat="1" ht="16.5" customHeight="1">
      <c r="A1645" s="757"/>
      <c r="B1645" s="814"/>
      <c r="C1645" s="774"/>
      <c r="D1645" s="775"/>
      <c r="E1645" s="776"/>
      <c r="F1645" s="777"/>
      <c r="G1645" s="777"/>
      <c r="H1645" s="777"/>
      <c r="I1645" s="815"/>
      <c r="J1645" s="803"/>
      <c r="K1645" s="764"/>
      <c r="L1645" s="757"/>
      <c r="M1645" s="764"/>
    </row>
    <row r="1646" spans="1:13" s="763" customFormat="1">
      <c r="A1646" s="757"/>
      <c r="B1646" s="764"/>
      <c r="C1646" s="779"/>
      <c r="D1646" s="780"/>
      <c r="E1646" s="767"/>
      <c r="F1646" s="781"/>
      <c r="G1646" s="782"/>
      <c r="H1646" s="757"/>
      <c r="I1646" s="815">
        <f>SUM(I1644:I1645)</f>
        <v>1</v>
      </c>
      <c r="J1646" s="803" t="s">
        <v>114</v>
      </c>
      <c r="K1646" s="768">
        <f>'Ele Data 2025-26'!I290</f>
        <v>1203.9099999999999</v>
      </c>
      <c r="L1646" s="768" t="s">
        <v>271</v>
      </c>
      <c r="M1646" s="784">
        <f>ROUND(I1646*K1646,0)</f>
        <v>1204</v>
      </c>
    </row>
    <row r="1647" spans="1:13" ht="78" hidden="1" customHeight="1">
      <c r="A1647" s="110">
        <v>30</v>
      </c>
      <c r="B1647" s="964" t="s">
        <v>441</v>
      </c>
      <c r="C1647" s="964"/>
      <c r="D1647" s="964"/>
      <c r="E1647" s="964"/>
      <c r="F1647" s="964"/>
      <c r="G1647" s="964"/>
      <c r="H1647" s="964"/>
      <c r="I1647" s="183"/>
      <c r="J1647" s="186"/>
      <c r="K1647" s="110"/>
      <c r="L1647" s="110"/>
      <c r="M1647" s="139"/>
    </row>
    <row r="1648" spans="1:13" s="148" customFormat="1" ht="16.5" hidden="1" customHeight="1">
      <c r="A1648" s="110"/>
      <c r="B1648" s="140"/>
      <c r="C1648" s="150">
        <v>1</v>
      </c>
      <c r="D1648" s="151" t="s">
        <v>268</v>
      </c>
      <c r="E1648" s="152">
        <v>1</v>
      </c>
      <c r="F1648" s="153">
        <v>0</v>
      </c>
      <c r="G1648" s="153">
        <v>0</v>
      </c>
      <c r="H1648" s="153">
        <v>0</v>
      </c>
      <c r="I1648" s="327">
        <f>ROUND(IF(AND(F1648:H1648),C1648*E1648*F1648*G1648*H1648,IF(AND(F1648,G1648),C1648*E1648*F1648*G1648,IF(AND(F1648,H1648),C1648*E1648*F1648*H1648,IF(AND(G1648,H1648),C1648*E1648*G1648*H1648,IF(F1648,C1648*E1648*F1648,IF(G1648,C1648*E1648*G1648,IF(H1648,C1648*E1648*H1648,C1648*E1648))))))),2)</f>
        <v>1</v>
      </c>
      <c r="J1648" s="146" t="s">
        <v>114</v>
      </c>
      <c r="K1648" s="147"/>
      <c r="L1648" s="110"/>
      <c r="M1648" s="147"/>
    </row>
    <row r="1649" spans="1:15" hidden="1">
      <c r="A1649" s="110"/>
      <c r="B1649" s="147"/>
      <c r="C1649" s="154"/>
      <c r="D1649" s="155"/>
      <c r="E1649" s="156"/>
      <c r="F1649" s="157"/>
      <c r="G1649" s="158"/>
      <c r="H1649" s="110"/>
      <c r="I1649" s="327"/>
      <c r="J1649" s="146" t="s">
        <v>114</v>
      </c>
      <c r="K1649" s="12">
        <f>'Ele Data 2025-26'!I308</f>
        <v>4697.58</v>
      </c>
      <c r="L1649" s="12" t="s">
        <v>271</v>
      </c>
      <c r="M1649" s="11">
        <f>ROUND(I1649*K1649,0)</f>
        <v>0</v>
      </c>
    </row>
    <row r="1650" spans="1:15" ht="31.5" hidden="1" customHeight="1">
      <c r="A1650" s="110">
        <v>31</v>
      </c>
      <c r="B1650" s="964" t="s">
        <v>2196</v>
      </c>
      <c r="C1650" s="964"/>
      <c r="D1650" s="964"/>
      <c r="E1650" s="964"/>
      <c r="F1650" s="964"/>
      <c r="G1650" s="964"/>
      <c r="H1650" s="964"/>
      <c r="I1650" s="183"/>
      <c r="J1650" s="186"/>
      <c r="K1650" s="110"/>
      <c r="L1650" s="110"/>
      <c r="M1650" s="11"/>
    </row>
    <row r="1651" spans="1:15" ht="15" hidden="1" customHeight="1">
      <c r="A1651" s="110">
        <v>32</v>
      </c>
      <c r="B1651" s="964" t="s">
        <v>2182</v>
      </c>
      <c r="C1651" s="964"/>
      <c r="D1651" s="964"/>
      <c r="E1651" s="964"/>
      <c r="F1651" s="964"/>
      <c r="G1651" s="964"/>
      <c r="H1651" s="964"/>
      <c r="I1651" s="183"/>
      <c r="J1651" s="186"/>
      <c r="K1651" s="110"/>
      <c r="L1651" s="110"/>
      <c r="M1651" s="11">
        <v>0</v>
      </c>
    </row>
    <row r="1652" spans="1:15" hidden="1">
      <c r="A1652" s="110"/>
      <c r="B1652" s="147"/>
      <c r="C1652" s="154"/>
      <c r="D1652" s="155"/>
      <c r="E1652" s="156"/>
      <c r="F1652" s="157"/>
      <c r="G1652" s="158"/>
      <c r="H1652" s="110"/>
      <c r="I1652" s="639"/>
      <c r="J1652" s="195"/>
      <c r="K1652" s="12"/>
      <c r="L1652" s="210"/>
      <c r="M1652" s="11"/>
    </row>
    <row r="1653" spans="1:15" s="763" customFormat="1">
      <c r="A1653" s="757"/>
      <c r="B1653" s="758"/>
      <c r="C1653" s="906"/>
      <c r="D1653" s="794"/>
      <c r="E1653" s="907"/>
      <c r="F1653" s="908"/>
      <c r="G1653" s="908"/>
      <c r="H1653" s="758"/>
      <c r="I1653" s="769"/>
      <c r="J1653" s="909"/>
      <c r="K1653" s="768"/>
      <c r="L1653" s="761"/>
      <c r="M1653" s="910">
        <f>SUM(M8:M1652)</f>
        <v>1670396</v>
      </c>
      <c r="N1653" s="827"/>
      <c r="O1653" s="827"/>
    </row>
    <row r="1654" spans="1:15" s="915" customFormat="1" ht="20.25" customHeight="1">
      <c r="A1654" s="911">
        <v>51</v>
      </c>
      <c r="B1654" s="970" t="s">
        <v>1842</v>
      </c>
      <c r="C1654" s="970"/>
      <c r="D1654" s="970"/>
      <c r="E1654" s="970"/>
      <c r="F1654" s="970"/>
      <c r="G1654" s="970"/>
      <c r="H1654" s="970"/>
      <c r="I1654" s="796"/>
      <c r="J1654" s="913"/>
      <c r="K1654" s="911"/>
      <c r="L1654" s="911"/>
      <c r="M1654" s="914">
        <f>Seigneorage!H53</f>
        <v>17391</v>
      </c>
    </row>
    <row r="1655" spans="1:15" s="915" customFormat="1" ht="20.25" customHeight="1">
      <c r="A1655" s="911"/>
      <c r="B1655" s="912"/>
      <c r="C1655" s="912"/>
      <c r="D1655" s="912"/>
      <c r="E1655" s="912"/>
      <c r="F1655" s="912"/>
      <c r="G1655" s="912"/>
      <c r="H1655" s="912"/>
      <c r="I1655" s="796"/>
      <c r="J1655" s="913"/>
      <c r="K1655" s="911"/>
      <c r="L1655" s="911"/>
      <c r="M1655" s="916">
        <f>SUBTOTAL(9,M1653:M1654)</f>
        <v>1687787</v>
      </c>
    </row>
    <row r="1656" spans="1:15" s="915" customFormat="1" ht="20.25" customHeight="1">
      <c r="A1656" s="911">
        <v>52</v>
      </c>
      <c r="B1656" s="970" t="s">
        <v>1840</v>
      </c>
      <c r="C1656" s="970"/>
      <c r="D1656" s="970"/>
      <c r="E1656" s="970"/>
      <c r="F1656" s="970"/>
      <c r="G1656" s="970"/>
      <c r="H1656" s="970"/>
      <c r="I1656" s="917">
        <f>M1653</f>
        <v>1670396</v>
      </c>
      <c r="J1656" s="913"/>
      <c r="K1656" s="911"/>
      <c r="L1656" s="911"/>
      <c r="M1656" s="914">
        <f>ROUND(M1653*0.5%,0)</f>
        <v>8352</v>
      </c>
    </row>
    <row r="1657" spans="1:15" s="915" customFormat="1" ht="20.25" customHeight="1">
      <c r="A1657" s="911">
        <v>53</v>
      </c>
      <c r="B1657" s="970" t="s">
        <v>1893</v>
      </c>
      <c r="C1657" s="970"/>
      <c r="D1657" s="970"/>
      <c r="E1657" s="970"/>
      <c r="F1657" s="970"/>
      <c r="G1657" s="970"/>
      <c r="H1657" s="970"/>
      <c r="I1657" s="917">
        <f>M1653+Seigneorage!H49</f>
        <v>1677892</v>
      </c>
      <c r="J1657" s="913"/>
      <c r="K1657" s="911"/>
      <c r="L1657" s="911"/>
      <c r="M1657" s="914">
        <f>ROUND(I1657*18%,0)</f>
        <v>302021</v>
      </c>
    </row>
    <row r="1658" spans="1:15" s="915" customFormat="1" ht="20.25" customHeight="1">
      <c r="A1658" s="911">
        <v>54</v>
      </c>
      <c r="B1658" s="970" t="s">
        <v>290</v>
      </c>
      <c r="C1658" s="970"/>
      <c r="D1658" s="970"/>
      <c r="E1658" s="970"/>
      <c r="F1658" s="970"/>
      <c r="G1658" s="970"/>
      <c r="H1658" s="970"/>
      <c r="I1658" s="796"/>
      <c r="J1658" s="913"/>
      <c r="K1658" s="911"/>
      <c r="L1658" s="911"/>
      <c r="M1658" s="914">
        <f>N1658</f>
        <v>1840</v>
      </c>
      <c r="N1658" s="918">
        <f>N1660-M1653-M1656-M1657-M1654</f>
        <v>1840</v>
      </c>
    </row>
    <row r="1659" spans="1:15" s="915" customFormat="1" ht="20.25" customHeight="1">
      <c r="A1659" s="911"/>
      <c r="B1659" s="912"/>
      <c r="C1659" s="912"/>
      <c r="D1659" s="912"/>
      <c r="E1659" s="912"/>
      <c r="F1659" s="912"/>
      <c r="G1659" s="912"/>
      <c r="H1659" s="912"/>
      <c r="I1659" s="796"/>
      <c r="J1659" s="913"/>
      <c r="K1659" s="911"/>
      <c r="L1659" s="911"/>
      <c r="M1659" s="914"/>
      <c r="N1659" s="918"/>
    </row>
    <row r="1660" spans="1:15" s="915" customFormat="1" ht="20.25" customHeight="1">
      <c r="A1660" s="911"/>
      <c r="B1660" s="967" t="s">
        <v>115</v>
      </c>
      <c r="C1660" s="968"/>
      <c r="D1660" s="968"/>
      <c r="E1660" s="968"/>
      <c r="F1660" s="968"/>
      <c r="G1660" s="968"/>
      <c r="H1660" s="969"/>
      <c r="I1660" s="796"/>
      <c r="J1660" s="913"/>
      <c r="K1660" s="911"/>
      <c r="L1660" s="911"/>
      <c r="M1660" s="916">
        <f>SUM(M1655:M1658)</f>
        <v>2000000</v>
      </c>
      <c r="N1660" s="915">
        <v>2000000</v>
      </c>
    </row>
    <row r="1661" spans="1:15">
      <c r="M1661" s="751"/>
    </row>
    <row r="1662" spans="1:15">
      <c r="H1662" s="10"/>
      <c r="I1662" s="10"/>
      <c r="J1662" s="10"/>
      <c r="M1662" s="20"/>
    </row>
    <row r="1663" spans="1:15">
      <c r="H1663" s="10"/>
      <c r="I1663" s="10"/>
      <c r="J1663" s="10"/>
      <c r="M1663" s="20"/>
    </row>
    <row r="1664" spans="1:15">
      <c r="H1664" s="10"/>
      <c r="I1664" s="10"/>
      <c r="J1664" s="10"/>
      <c r="M1664" s="20"/>
    </row>
    <row r="1665" spans="3:12">
      <c r="H1665" s="752" t="str">
        <f>'lead 25-26'!$H$32</f>
        <v>Deputy Executive Engineer</v>
      </c>
      <c r="I1665" s="753"/>
      <c r="J1665" s="753"/>
      <c r="K1665" s="754"/>
      <c r="L1665" s="755" t="str">
        <f>'lead 25-26'!$K$32</f>
        <v>Assistant  Engineer</v>
      </c>
    </row>
    <row r="1666" spans="3:12">
      <c r="H1666" s="752" t="str">
        <f>'lead 25-26'!$H$33</f>
        <v>PRI Sub Division</v>
      </c>
      <c r="I1666" s="753"/>
      <c r="J1666" s="753"/>
      <c r="K1666" s="754"/>
      <c r="L1666" s="755" t="str">
        <f>'lead 25-26'!$K$33</f>
        <v>Mandal Praja parishad</v>
      </c>
    </row>
    <row r="1667" spans="3:12">
      <c r="H1667" s="752" t="str">
        <f>'lead 25-26'!$H$34</f>
        <v>Kanigiri</v>
      </c>
      <c r="I1667" s="21"/>
      <c r="J1667" s="21"/>
      <c r="K1667" s="192"/>
      <c r="L1667" s="755" t="str">
        <f>'lead 25-26'!$K$34</f>
        <v>Kanigiri</v>
      </c>
    </row>
    <row r="1673" spans="3:12" s="22" customFormat="1">
      <c r="C1673" s="10"/>
      <c r="E1673" s="747"/>
      <c r="F1673" s="748"/>
      <c r="G1673" s="749"/>
      <c r="H1673" s="21"/>
      <c r="K1673" s="756"/>
      <c r="L1673" s="750"/>
    </row>
  </sheetData>
  <autoFilter ref="A6:M1658" xr:uid="{00000000-0009-0000-0000-000003000000}">
    <filterColumn colId="0">
      <colorFilter dxfId="4"/>
    </filterColumn>
    <filterColumn colId="2" showButton="0"/>
    <filterColumn colId="3" showButton="0"/>
  </autoFilter>
  <mergeCells count="240">
    <mergeCell ref="B1651:H1651"/>
    <mergeCell ref="A1:M1"/>
    <mergeCell ref="A2:B2"/>
    <mergeCell ref="C2:M2"/>
    <mergeCell ref="B3:G3"/>
    <mergeCell ref="I3:K3"/>
    <mergeCell ref="L3:M3"/>
    <mergeCell ref="B462:H462"/>
    <mergeCell ref="B197:H197"/>
    <mergeCell ref="B206:H206"/>
    <mergeCell ref="B149:H149"/>
    <mergeCell ref="B185:H185"/>
    <mergeCell ref="B336:H336"/>
    <mergeCell ref="B458:H458"/>
    <mergeCell ref="B439:H439"/>
    <mergeCell ref="B341:H341"/>
    <mergeCell ref="B376:H376"/>
    <mergeCell ref="B419:H419"/>
    <mergeCell ref="B329:H329"/>
    <mergeCell ref="B451:H451"/>
    <mergeCell ref="B455:H455"/>
    <mergeCell ref="M4:M5"/>
    <mergeCell ref="B107:H107"/>
    <mergeCell ref="B90:H90"/>
    <mergeCell ref="B96:H96"/>
    <mergeCell ref="B102:H102"/>
    <mergeCell ref="B71:H71"/>
    <mergeCell ref="I4:J5"/>
    <mergeCell ref="C6:E6"/>
    <mergeCell ref="B8:H8"/>
    <mergeCell ref="B20:H20"/>
    <mergeCell ref="B13:H13"/>
    <mergeCell ref="L4:L5"/>
    <mergeCell ref="K4:K5"/>
    <mergeCell ref="B85:H85"/>
    <mergeCell ref="B47:H47"/>
    <mergeCell ref="A4:A5"/>
    <mergeCell ref="B4:B5"/>
    <mergeCell ref="C4:E5"/>
    <mergeCell ref="F4:H4"/>
    <mergeCell ref="B322:H322"/>
    <mergeCell ref="B269:H269"/>
    <mergeCell ref="B75:H75"/>
    <mergeCell ref="B79:H79"/>
    <mergeCell ref="B63:H63"/>
    <mergeCell ref="B30:H30"/>
    <mergeCell ref="B174:H174"/>
    <mergeCell ref="B129:H129"/>
    <mergeCell ref="B41:H41"/>
    <mergeCell ref="B57:H57"/>
    <mergeCell ref="B227:H227"/>
    <mergeCell ref="B133:H133"/>
    <mergeCell ref="B154:H154"/>
    <mergeCell ref="B112:H112"/>
    <mergeCell ref="B246:H246"/>
    <mergeCell ref="B236:H236"/>
    <mergeCell ref="B263:H263"/>
    <mergeCell ref="B138:H138"/>
    <mergeCell ref="B143:H143"/>
    <mergeCell ref="B118:H118"/>
    <mergeCell ref="B222:H222"/>
    <mergeCell ref="B193:H193"/>
    <mergeCell ref="B179:H179"/>
    <mergeCell ref="B404:H404"/>
    <mergeCell ref="B527:H527"/>
    <mergeCell ref="B533:H533"/>
    <mergeCell ref="B429:H429"/>
    <mergeCell ref="B434:H434"/>
    <mergeCell ref="B285:H285"/>
    <mergeCell ref="B448:H448"/>
    <mergeCell ref="B300:H300"/>
    <mergeCell ref="B312:H312"/>
    <mergeCell ref="B278:H278"/>
    <mergeCell ref="B292:H292"/>
    <mergeCell ref="B444:H444"/>
    <mergeCell ref="B545:H545"/>
    <mergeCell ref="B570:H570"/>
    <mergeCell ref="B597:H597"/>
    <mergeCell ref="B521:H521"/>
    <mergeCell ref="B467:H467"/>
    <mergeCell ref="B473:H473"/>
    <mergeCell ref="B481:H481"/>
    <mergeCell ref="B485:H485"/>
    <mergeCell ref="B490:H490"/>
    <mergeCell ref="B501:H501"/>
    <mergeCell ref="B512:H512"/>
    <mergeCell ref="B517:H517"/>
    <mergeCell ref="B715:H715"/>
    <mergeCell ref="B608:H608"/>
    <mergeCell ref="B614:H614"/>
    <mergeCell ref="B622:H622"/>
    <mergeCell ref="B632:H632"/>
    <mergeCell ref="B640:H640"/>
    <mergeCell ref="B665:H665"/>
    <mergeCell ref="B673:H673"/>
    <mergeCell ref="B679:H679"/>
    <mergeCell ref="B687:H687"/>
    <mergeCell ref="B702:H702"/>
    <mergeCell ref="B709:H709"/>
    <mergeCell ref="B861:H861"/>
    <mergeCell ref="B816:H816"/>
    <mergeCell ref="B847:H847"/>
    <mergeCell ref="B730:H730"/>
    <mergeCell ref="B740:H740"/>
    <mergeCell ref="B745:H745"/>
    <mergeCell ref="B751:H751"/>
    <mergeCell ref="B759:H759"/>
    <mergeCell ref="B794:H794"/>
    <mergeCell ref="B855:H855"/>
    <mergeCell ref="B878:H878"/>
    <mergeCell ref="B867:H867"/>
    <mergeCell ref="B872:H872"/>
    <mergeCell ref="B973:H973"/>
    <mergeCell ref="B886:H886"/>
    <mergeCell ref="B891:H891"/>
    <mergeCell ref="B896:H896"/>
    <mergeCell ref="B907:H907"/>
    <mergeCell ref="B918:H918"/>
    <mergeCell ref="B926:H926"/>
    <mergeCell ref="B931:H931"/>
    <mergeCell ref="B936:H936"/>
    <mergeCell ref="B942:H942"/>
    <mergeCell ref="B959:H959"/>
    <mergeCell ref="B968:H968"/>
    <mergeCell ref="B1101:H1101"/>
    <mergeCell ref="B984:H984"/>
    <mergeCell ref="B994:H994"/>
    <mergeCell ref="B1035:H1035"/>
    <mergeCell ref="B1040:H1040"/>
    <mergeCell ref="B1047:H1047"/>
    <mergeCell ref="B1056:H1056"/>
    <mergeCell ref="B1062:H1062"/>
    <mergeCell ref="B1072:H1072"/>
    <mergeCell ref="B1081:H1081"/>
    <mergeCell ref="B1092:H1092"/>
    <mergeCell ref="B1383:H1383"/>
    <mergeCell ref="B1280:H1280"/>
    <mergeCell ref="B1205:H1205"/>
    <mergeCell ref="B1218:H1218"/>
    <mergeCell ref="B1229:H1229"/>
    <mergeCell ref="B1235:H1235"/>
    <mergeCell ref="B1116:H1116"/>
    <mergeCell ref="B1126:H1126"/>
    <mergeCell ref="B1140:H1140"/>
    <mergeCell ref="B1146:H1146"/>
    <mergeCell ref="B1154:H1154"/>
    <mergeCell ref="B1189:H1189"/>
    <mergeCell ref="B1267:H1267"/>
    <mergeCell ref="B1303:H1303"/>
    <mergeCell ref="B1276:H1276"/>
    <mergeCell ref="B1299:H1299"/>
    <mergeCell ref="B1247:H1247"/>
    <mergeCell ref="B1255:H1255"/>
    <mergeCell ref="B1263:H1263"/>
    <mergeCell ref="B1251:H1251"/>
    <mergeCell ref="B1239:H1239"/>
    <mergeCell ref="B1243:H1243"/>
    <mergeCell ref="B1259:H1259"/>
    <mergeCell ref="B1430:H1430"/>
    <mergeCell ref="B1433:H1433"/>
    <mergeCell ref="B1438:H1438"/>
    <mergeCell ref="B1424:H1424"/>
    <mergeCell ref="B1413:H1413"/>
    <mergeCell ref="B1387:H1387"/>
    <mergeCell ref="B1400:H1400"/>
    <mergeCell ref="B1395:H1395"/>
    <mergeCell ref="B1408:H1408"/>
    <mergeCell ref="B1404:H1404"/>
    <mergeCell ref="B1567:H1567"/>
    <mergeCell ref="B1540:H1540"/>
    <mergeCell ref="B1284:H1284"/>
    <mergeCell ref="B1287:H1287"/>
    <mergeCell ref="B1353:H1353"/>
    <mergeCell ref="B1334:H1334"/>
    <mergeCell ref="B1341:H1341"/>
    <mergeCell ref="B1346:H1346"/>
    <mergeCell ref="B1293:H1293"/>
    <mergeCell ref="B1365:H1365"/>
    <mergeCell ref="B1369:H1369"/>
    <mergeCell ref="B1462:H1462"/>
    <mergeCell ref="B1441:H1441"/>
    <mergeCell ref="B1444:H1444"/>
    <mergeCell ref="B1447:H1447"/>
    <mergeCell ref="B1450:H1450"/>
    <mergeCell ref="B1453:H1453"/>
    <mergeCell ref="B1456:H1456"/>
    <mergeCell ref="B1427:H1427"/>
    <mergeCell ref="B1307:H1307"/>
    <mergeCell ref="B1320:H1320"/>
    <mergeCell ref="B1325:H1325"/>
    <mergeCell ref="B1329:H1329"/>
    <mergeCell ref="B1373:H1373"/>
    <mergeCell ref="B1596:H1596"/>
    <mergeCell ref="B1556:H1556"/>
    <mergeCell ref="B1391:H1391"/>
    <mergeCell ref="B1271:H1271"/>
    <mergeCell ref="B1379:H1379"/>
    <mergeCell ref="B1639:H1639"/>
    <mergeCell ref="B1609:H1609"/>
    <mergeCell ref="B1416:H1416"/>
    <mergeCell ref="B1494:H1494"/>
    <mergeCell ref="B1579:H1579"/>
    <mergeCell ref="B1482:H1482"/>
    <mergeCell ref="B1470:H1470"/>
    <mergeCell ref="B1474:H1474"/>
    <mergeCell ref="B1466:H1466"/>
    <mergeCell ref="B1628:H1628"/>
    <mergeCell ref="B1509:H1509"/>
    <mergeCell ref="B1512:H1512"/>
    <mergeCell ref="B1521:H1521"/>
    <mergeCell ref="B1525:H1525"/>
    <mergeCell ref="B1560:H1560"/>
    <mergeCell ref="B1571:H1571"/>
    <mergeCell ref="B1517:H1517"/>
    <mergeCell ref="B1532:H1532"/>
    <mergeCell ref="B1552:H1552"/>
    <mergeCell ref="B1650:H1650"/>
    <mergeCell ref="B1647:H1647"/>
    <mergeCell ref="B1575:H1575"/>
    <mergeCell ref="B1420:H1420"/>
    <mergeCell ref="B1459:H1459"/>
    <mergeCell ref="B1660:H1660"/>
    <mergeCell ref="B1656:H1656"/>
    <mergeCell ref="B1657:H1657"/>
    <mergeCell ref="B1654:H1654"/>
    <mergeCell ref="B1658:H1658"/>
    <mergeCell ref="B1643:H1643"/>
    <mergeCell ref="B1635:H1635"/>
    <mergeCell ref="B1486:H1486"/>
    <mergeCell ref="B1501:H1501"/>
    <mergeCell ref="B1536:H1536"/>
    <mergeCell ref="B1544:H1544"/>
    <mergeCell ref="B1564:H1564"/>
    <mergeCell ref="B1490:H1490"/>
    <mergeCell ref="B1548:H1548"/>
    <mergeCell ref="B1505:H1505"/>
    <mergeCell ref="B1529:H1529"/>
    <mergeCell ref="B1583:H1583"/>
    <mergeCell ref="B1622:H1622"/>
    <mergeCell ref="B1632:H1632"/>
  </mergeCells>
  <printOptions horizontalCentered="1"/>
  <pageMargins left="0.15" right="0.1" top="0.2" bottom="0.23" header="0.25" footer="0.08"/>
  <pageSetup paperSize="9" scale="97" pageOrder="overThenDown" orientation="portrait" r:id="rId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filterMode="1">
    <tabColor rgb="FFFF0000"/>
  </sheetPr>
  <dimension ref="A1:U499"/>
  <sheetViews>
    <sheetView showZeros="0" view="pageBreakPreview" topLeftCell="A45" zoomScaleSheetLayoutView="100" workbookViewId="0">
      <selection activeCell="I53" sqref="I53"/>
    </sheetView>
  </sheetViews>
  <sheetFormatPr defaultRowHeight="12.75"/>
  <cols>
    <col min="1" max="1" width="3.28515625" style="204" customWidth="1"/>
    <col min="2" max="2" width="22.28515625" style="204" bestFit="1" customWidth="1"/>
    <col min="3" max="5" width="7.7109375" style="204" customWidth="1"/>
    <col min="6" max="6" width="7.7109375" style="204" bestFit="1" customWidth="1"/>
    <col min="7" max="7" width="3.42578125" style="204" customWidth="1"/>
    <col min="8" max="8" width="8" style="204" customWidth="1"/>
    <col min="9" max="9" width="8.7109375" style="204" customWidth="1"/>
    <col min="10" max="10" width="8.7109375" style="204" hidden="1" customWidth="1"/>
    <col min="11" max="11" width="6.42578125" style="204" bestFit="1" customWidth="1"/>
    <col min="12" max="12" width="7.140625" style="204" customWidth="1"/>
    <col min="13" max="13" width="6.28515625" style="204" customWidth="1"/>
    <col min="14" max="14" width="7.7109375" style="204" customWidth="1"/>
    <col min="15" max="15" width="6.42578125" style="204" hidden="1" customWidth="1"/>
    <col min="16" max="16" width="6.42578125" style="204" customWidth="1"/>
    <col min="17" max="17" width="7.140625" style="204" customWidth="1"/>
    <col min="18" max="18" width="5.42578125" style="204" customWidth="1"/>
    <col min="19" max="19" width="9.140625" style="204" bestFit="1" customWidth="1"/>
    <col min="20" max="20" width="7.7109375" style="204" bestFit="1" customWidth="1"/>
    <col min="21" max="21" width="3.28515625" style="204" bestFit="1" customWidth="1"/>
    <col min="22" max="16384" width="9.140625" style="204"/>
  </cols>
  <sheetData>
    <row r="1" spans="1:21" ht="21">
      <c r="A1" s="987" t="s">
        <v>2222</v>
      </c>
      <c r="B1" s="987"/>
      <c r="C1" s="987"/>
      <c r="D1" s="987"/>
      <c r="E1" s="987"/>
      <c r="F1" s="987"/>
      <c r="G1" s="987"/>
      <c r="H1" s="987"/>
      <c r="I1" s="987"/>
      <c r="J1" s="987"/>
      <c r="K1" s="987"/>
      <c r="L1" s="987"/>
      <c r="M1" s="987"/>
      <c r="N1" s="987"/>
      <c r="O1" s="987"/>
      <c r="P1" s="987"/>
      <c r="Q1" s="987"/>
      <c r="R1" s="987"/>
      <c r="S1" s="987"/>
      <c r="T1" s="987"/>
      <c r="U1" s="987"/>
    </row>
    <row r="2" spans="1:21" ht="15.75" customHeight="1">
      <c r="A2" s="989" t="str">
        <f>'lead 25-26'!B2&amp;'lead 25-26'!C2</f>
        <v>Name of the Work: Construction of Community Hall at Chakirala village and  GP of Kanigiri  Mandal.</v>
      </c>
      <c r="B2" s="989"/>
      <c r="C2" s="989"/>
      <c r="D2" s="989"/>
      <c r="E2" s="989"/>
      <c r="F2" s="989"/>
      <c r="G2" s="989"/>
      <c r="H2" s="989"/>
      <c r="I2" s="989"/>
      <c r="J2" s="989"/>
      <c r="K2" s="989"/>
      <c r="L2" s="989"/>
      <c r="M2" s="989"/>
      <c r="N2" s="989"/>
      <c r="O2" s="989"/>
      <c r="P2" s="989"/>
      <c r="Q2" s="989"/>
      <c r="R2" s="989"/>
      <c r="S2" s="989"/>
      <c r="T2" s="989"/>
      <c r="U2" s="989"/>
    </row>
    <row r="3" spans="1:21" ht="38.25">
      <c r="A3" s="394" t="s">
        <v>23</v>
      </c>
      <c r="B3" s="394" t="s">
        <v>7</v>
      </c>
      <c r="C3" s="394" t="s">
        <v>225</v>
      </c>
      <c r="D3" s="394" t="s">
        <v>229</v>
      </c>
      <c r="E3" s="394" t="s">
        <v>856</v>
      </c>
      <c r="F3" s="988" t="s">
        <v>230</v>
      </c>
      <c r="G3" s="988"/>
      <c r="H3" s="394" t="s">
        <v>231</v>
      </c>
      <c r="I3" s="394" t="s">
        <v>232</v>
      </c>
      <c r="J3" s="394" t="s">
        <v>233</v>
      </c>
      <c r="K3" s="394" t="s">
        <v>238</v>
      </c>
      <c r="L3" s="242" t="s">
        <v>235</v>
      </c>
      <c r="M3" s="242" t="s">
        <v>234</v>
      </c>
      <c r="N3" s="242" t="s">
        <v>236</v>
      </c>
      <c r="O3" s="242" t="s">
        <v>133</v>
      </c>
      <c r="P3" s="242" t="s">
        <v>966</v>
      </c>
      <c r="Q3" s="394" t="s">
        <v>41</v>
      </c>
      <c r="R3" s="394" t="s">
        <v>653</v>
      </c>
      <c r="S3" s="394" t="s">
        <v>410</v>
      </c>
      <c r="T3" s="394" t="s">
        <v>134</v>
      </c>
      <c r="U3" s="209"/>
    </row>
    <row r="4" spans="1:21" ht="18" hidden="1" customHeight="1">
      <c r="A4" s="311">
        <v>1</v>
      </c>
      <c r="B4" s="209" t="s">
        <v>101</v>
      </c>
      <c r="C4" s="312"/>
      <c r="D4" s="209"/>
      <c r="E4" s="209"/>
      <c r="F4" s="313">
        <f>C4+D4</f>
        <v>0</v>
      </c>
      <c r="G4" s="313" t="s">
        <v>411</v>
      </c>
      <c r="H4" s="311">
        <v>0</v>
      </c>
      <c r="I4" s="311">
        <v>0</v>
      </c>
      <c r="J4" s="311">
        <v>0</v>
      </c>
      <c r="K4" s="311">
        <v>0</v>
      </c>
      <c r="L4" s="311">
        <v>0</v>
      </c>
      <c r="M4" s="311">
        <v>0</v>
      </c>
      <c r="N4" s="311">
        <v>0</v>
      </c>
      <c r="O4" s="314">
        <v>0</v>
      </c>
      <c r="P4" s="314">
        <v>0</v>
      </c>
      <c r="Q4" s="311">
        <v>0</v>
      </c>
      <c r="R4" s="109">
        <f>F4</f>
        <v>0</v>
      </c>
      <c r="S4" s="315">
        <v>0</v>
      </c>
      <c r="T4" s="209">
        <v>0</v>
      </c>
      <c r="U4" s="209"/>
    </row>
    <row r="5" spans="1:21" ht="20.100000000000001" hidden="1" customHeight="1">
      <c r="A5" s="311">
        <v>1</v>
      </c>
      <c r="B5" s="209" t="s">
        <v>133</v>
      </c>
      <c r="C5" s="313">
        <f>ESTIMATE!I62</f>
        <v>0</v>
      </c>
      <c r="D5" s="209"/>
      <c r="E5" s="209"/>
      <c r="F5" s="313">
        <f>SUM(C5:E5)</f>
        <v>0</v>
      </c>
      <c r="G5" s="313" t="s">
        <v>411</v>
      </c>
      <c r="H5" s="311">
        <v>0</v>
      </c>
      <c r="I5" s="311">
        <v>0</v>
      </c>
      <c r="J5" s="311">
        <v>0</v>
      </c>
      <c r="K5" s="311">
        <v>0</v>
      </c>
      <c r="L5" s="311">
        <v>0</v>
      </c>
      <c r="M5" s="311">
        <v>0</v>
      </c>
      <c r="N5" s="311">
        <v>0</v>
      </c>
      <c r="O5" s="109">
        <f>F5</f>
        <v>0</v>
      </c>
      <c r="P5" s="314">
        <v>0</v>
      </c>
      <c r="Q5" s="311">
        <v>0</v>
      </c>
      <c r="R5" s="314">
        <v>0</v>
      </c>
      <c r="S5" s="315">
        <v>0</v>
      </c>
      <c r="T5" s="209">
        <v>0</v>
      </c>
      <c r="U5" s="209"/>
    </row>
    <row r="6" spans="1:21" ht="20.100000000000001" customHeight="1">
      <c r="A6" s="311">
        <v>1</v>
      </c>
      <c r="B6" s="209" t="s">
        <v>1832</v>
      </c>
      <c r="C6" s="313">
        <f>ESTIMATE!I46</f>
        <v>45.04</v>
      </c>
      <c r="D6" s="209"/>
      <c r="E6" s="209"/>
      <c r="F6" s="313">
        <f t="shared" ref="F6:F43" si="0">SUM(C6:E6)</f>
        <v>45.04</v>
      </c>
      <c r="G6" s="313" t="s">
        <v>411</v>
      </c>
      <c r="H6" s="311">
        <v>0</v>
      </c>
      <c r="I6" s="311">
        <v>0</v>
      </c>
      <c r="J6" s="311">
        <v>0</v>
      </c>
      <c r="K6" s="311">
        <v>0</v>
      </c>
      <c r="L6" s="311">
        <v>0</v>
      </c>
      <c r="M6" s="311">
        <v>0</v>
      </c>
      <c r="N6" s="311">
        <v>0</v>
      </c>
      <c r="O6" s="314">
        <v>0</v>
      </c>
      <c r="P6" s="109">
        <f>F6</f>
        <v>45.04</v>
      </c>
      <c r="Q6" s="311">
        <v>0</v>
      </c>
      <c r="R6" s="314">
        <v>0</v>
      </c>
      <c r="S6" s="315">
        <v>0</v>
      </c>
      <c r="T6" s="209">
        <v>0</v>
      </c>
      <c r="U6" s="209"/>
    </row>
    <row r="7" spans="1:21" ht="20.100000000000001" hidden="1" customHeight="1">
      <c r="A7" s="311">
        <v>4</v>
      </c>
      <c r="B7" s="209" t="s">
        <v>652</v>
      </c>
      <c r="C7" s="313">
        <f>ESTIMATE!I56</f>
        <v>0</v>
      </c>
      <c r="D7" s="209"/>
      <c r="E7" s="209"/>
      <c r="F7" s="313">
        <f t="shared" si="0"/>
        <v>0</v>
      </c>
      <c r="G7" s="313" t="s">
        <v>411</v>
      </c>
      <c r="H7" s="311">
        <v>0</v>
      </c>
      <c r="I7" s="311">
        <v>0</v>
      </c>
      <c r="J7" s="311">
        <v>0</v>
      </c>
      <c r="K7" s="311">
        <v>0</v>
      </c>
      <c r="L7" s="311">
        <v>0</v>
      </c>
      <c r="M7" s="311">
        <v>0</v>
      </c>
      <c r="N7" s="311">
        <v>0</v>
      </c>
      <c r="O7" s="314">
        <v>0</v>
      </c>
      <c r="P7" s="109"/>
      <c r="Q7" s="311">
        <v>0</v>
      </c>
      <c r="R7" s="109">
        <f>F7</f>
        <v>0</v>
      </c>
      <c r="S7" s="315">
        <v>0</v>
      </c>
      <c r="T7" s="209">
        <v>0</v>
      </c>
      <c r="U7" s="209"/>
    </row>
    <row r="8" spans="1:21" ht="20.100000000000001" customHeight="1">
      <c r="A8" s="311">
        <v>2</v>
      </c>
      <c r="B8" s="209" t="s">
        <v>239</v>
      </c>
      <c r="C8" s="313">
        <f>ESTIMATE!I29</f>
        <v>10.809999999999999</v>
      </c>
      <c r="D8" s="209"/>
      <c r="E8" s="209"/>
      <c r="F8" s="313">
        <f t="shared" si="0"/>
        <v>10.809999999999999</v>
      </c>
      <c r="G8" s="313" t="s">
        <v>411</v>
      </c>
      <c r="H8" s="109">
        <f>ROUND(F8*0.9,2)</f>
        <v>9.73</v>
      </c>
      <c r="I8" s="314">
        <v>0</v>
      </c>
      <c r="J8" s="314">
        <v>0</v>
      </c>
      <c r="K8" s="311">
        <v>0</v>
      </c>
      <c r="L8" s="109">
        <f>ROUND(F8*0.45,2)</f>
        <v>4.8600000000000003</v>
      </c>
      <c r="M8" s="311">
        <v>0</v>
      </c>
      <c r="N8" s="311">
        <v>0</v>
      </c>
      <c r="O8" s="314">
        <v>0</v>
      </c>
      <c r="P8" s="314">
        <v>0</v>
      </c>
      <c r="Q8" s="314">
        <v>0</v>
      </c>
      <c r="R8" s="314">
        <v>0</v>
      </c>
      <c r="S8" s="316">
        <f t="shared" ref="S8:S43" si="1">ROUND(F8*T8/50,2)</f>
        <v>35.020000000000003</v>
      </c>
      <c r="T8" s="313">
        <v>162</v>
      </c>
      <c r="U8" s="109" t="s">
        <v>4</v>
      </c>
    </row>
    <row r="9" spans="1:21" ht="20.100000000000001" hidden="1" customHeight="1">
      <c r="A9" s="311">
        <v>4</v>
      </c>
      <c r="B9" s="209" t="s">
        <v>437</v>
      </c>
      <c r="C9" s="313">
        <f>ESTIMATE!I40</f>
        <v>0</v>
      </c>
      <c r="D9" s="209"/>
      <c r="E9" s="209"/>
      <c r="F9" s="313">
        <f t="shared" si="0"/>
        <v>0</v>
      </c>
      <c r="G9" s="313" t="s">
        <v>411</v>
      </c>
      <c r="H9" s="109">
        <f>ROUND(F9*0.9,2)</f>
        <v>0</v>
      </c>
      <c r="I9" s="314">
        <v>0</v>
      </c>
      <c r="J9" s="314">
        <v>0</v>
      </c>
      <c r="K9" s="311">
        <v>0</v>
      </c>
      <c r="L9" s="109">
        <f t="shared" ref="L9:L20" si="2">ROUND(F9*0.45,2)</f>
        <v>0</v>
      </c>
      <c r="M9" s="311">
        <v>0</v>
      </c>
      <c r="N9" s="311">
        <v>0</v>
      </c>
      <c r="O9" s="314">
        <v>0</v>
      </c>
      <c r="P9" s="314">
        <v>0</v>
      </c>
      <c r="Q9" s="314">
        <v>0</v>
      </c>
      <c r="R9" s="314">
        <v>0</v>
      </c>
      <c r="S9" s="316">
        <f t="shared" si="1"/>
        <v>0</v>
      </c>
      <c r="T9" s="313">
        <v>129.6</v>
      </c>
      <c r="U9" s="109" t="s">
        <v>4</v>
      </c>
    </row>
    <row r="10" spans="1:21" ht="20.100000000000001" customHeight="1">
      <c r="A10" s="311">
        <v>3</v>
      </c>
      <c r="B10" s="209" t="s">
        <v>130</v>
      </c>
      <c r="C10" s="313">
        <f>ESTIMATE!I74</f>
        <v>5.49</v>
      </c>
      <c r="D10" s="209"/>
      <c r="E10" s="209"/>
      <c r="F10" s="313">
        <f t="shared" si="0"/>
        <v>5.49</v>
      </c>
      <c r="G10" s="313" t="s">
        <v>411</v>
      </c>
      <c r="H10" s="314">
        <v>0</v>
      </c>
      <c r="I10" s="109">
        <f t="shared" ref="I10:I20" si="3">ROUND(F10*0.9,2)</f>
        <v>4.9400000000000004</v>
      </c>
      <c r="J10" s="314">
        <v>0</v>
      </c>
      <c r="K10" s="311">
        <v>0</v>
      </c>
      <c r="L10" s="109">
        <f t="shared" si="2"/>
        <v>2.4700000000000002</v>
      </c>
      <c r="M10" s="311">
        <v>0</v>
      </c>
      <c r="N10" s="311">
        <v>0</v>
      </c>
      <c r="O10" s="314">
        <v>0</v>
      </c>
      <c r="P10" s="314">
        <v>0</v>
      </c>
      <c r="Q10" s="314">
        <v>0</v>
      </c>
      <c r="R10" s="314">
        <v>0</v>
      </c>
      <c r="S10" s="316">
        <f t="shared" si="1"/>
        <v>36.229999999999997</v>
      </c>
      <c r="T10" s="313">
        <f>'DATA 2025-26'!E114</f>
        <v>330</v>
      </c>
      <c r="U10" s="109" t="s">
        <v>4</v>
      </c>
    </row>
    <row r="11" spans="1:21" ht="20.100000000000001" customHeight="1">
      <c r="A11" s="311">
        <v>4</v>
      </c>
      <c r="B11" s="209" t="s">
        <v>131</v>
      </c>
      <c r="C11" s="313">
        <f>ESTIMATE!I78</f>
        <v>1.3</v>
      </c>
      <c r="D11" s="209"/>
      <c r="E11" s="209"/>
      <c r="F11" s="313">
        <f t="shared" si="0"/>
        <v>1.3</v>
      </c>
      <c r="G11" s="313" t="s">
        <v>411</v>
      </c>
      <c r="H11" s="314">
        <v>0</v>
      </c>
      <c r="I11" s="109">
        <f t="shared" si="3"/>
        <v>1.17</v>
      </c>
      <c r="J11" s="314">
        <v>0</v>
      </c>
      <c r="K11" s="311">
        <v>0</v>
      </c>
      <c r="L11" s="109">
        <f t="shared" si="2"/>
        <v>0.59</v>
      </c>
      <c r="M11" s="311">
        <v>0</v>
      </c>
      <c r="N11" s="311">
        <v>0</v>
      </c>
      <c r="O11" s="314">
        <v>0</v>
      </c>
      <c r="P11" s="314">
        <v>0</v>
      </c>
      <c r="Q11" s="314">
        <v>0</v>
      </c>
      <c r="R11" s="314">
        <v>0</v>
      </c>
      <c r="S11" s="316">
        <f t="shared" si="1"/>
        <v>8.58</v>
      </c>
      <c r="T11" s="313">
        <f>$T$10</f>
        <v>330</v>
      </c>
      <c r="U11" s="109" t="s">
        <v>4</v>
      </c>
    </row>
    <row r="12" spans="1:21" ht="20.100000000000001" customHeight="1">
      <c r="A12" s="311">
        <v>5</v>
      </c>
      <c r="B12" s="209" t="s">
        <v>125</v>
      </c>
      <c r="C12" s="313">
        <f>ESTIMATE!I84</f>
        <v>3.0300000000000002</v>
      </c>
      <c r="D12" s="313">
        <f>ESTIMATE!I466</f>
        <v>0</v>
      </c>
      <c r="E12" s="313">
        <f>ESTIMATE!I871</f>
        <v>0</v>
      </c>
      <c r="F12" s="313">
        <f t="shared" si="0"/>
        <v>3.0300000000000002</v>
      </c>
      <c r="G12" s="313" t="s">
        <v>411</v>
      </c>
      <c r="H12" s="314">
        <v>0</v>
      </c>
      <c r="I12" s="109">
        <f t="shared" si="3"/>
        <v>2.73</v>
      </c>
      <c r="J12" s="314">
        <v>0</v>
      </c>
      <c r="K12" s="311">
        <v>0</v>
      </c>
      <c r="L12" s="109">
        <f t="shared" si="2"/>
        <v>1.36</v>
      </c>
      <c r="M12" s="311">
        <v>0</v>
      </c>
      <c r="N12" s="311">
        <v>0</v>
      </c>
      <c r="O12" s="314">
        <v>0</v>
      </c>
      <c r="P12" s="314">
        <v>0</v>
      </c>
      <c r="Q12" s="314">
        <v>0</v>
      </c>
      <c r="R12" s="314">
        <v>0</v>
      </c>
      <c r="S12" s="316">
        <f t="shared" si="1"/>
        <v>20</v>
      </c>
      <c r="T12" s="313">
        <f t="shared" ref="T12:T20" si="4">$T$10</f>
        <v>330</v>
      </c>
      <c r="U12" s="109" t="s">
        <v>4</v>
      </c>
    </row>
    <row r="13" spans="1:21" ht="20.100000000000001" customHeight="1">
      <c r="A13" s="311">
        <v>6</v>
      </c>
      <c r="B13" s="209" t="s">
        <v>126</v>
      </c>
      <c r="C13" s="313">
        <f>ESTIMATE!I89</f>
        <v>2.99</v>
      </c>
      <c r="D13" s="209"/>
      <c r="E13" s="209"/>
      <c r="F13" s="313">
        <f t="shared" si="0"/>
        <v>2.99</v>
      </c>
      <c r="G13" s="313" t="s">
        <v>411</v>
      </c>
      <c r="H13" s="314">
        <v>0</v>
      </c>
      <c r="I13" s="109">
        <f t="shared" si="3"/>
        <v>2.69</v>
      </c>
      <c r="J13" s="314">
        <v>0</v>
      </c>
      <c r="K13" s="311">
        <v>0</v>
      </c>
      <c r="L13" s="109">
        <f t="shared" si="2"/>
        <v>1.35</v>
      </c>
      <c r="M13" s="311">
        <v>0</v>
      </c>
      <c r="N13" s="311">
        <v>0</v>
      </c>
      <c r="O13" s="314">
        <v>0</v>
      </c>
      <c r="P13" s="314">
        <v>0</v>
      </c>
      <c r="Q13" s="314">
        <v>0</v>
      </c>
      <c r="R13" s="314">
        <v>0</v>
      </c>
      <c r="S13" s="316">
        <f t="shared" si="1"/>
        <v>19.73</v>
      </c>
      <c r="T13" s="313">
        <f t="shared" si="4"/>
        <v>330</v>
      </c>
      <c r="U13" s="109" t="s">
        <v>4</v>
      </c>
    </row>
    <row r="14" spans="1:21" ht="20.100000000000001" customHeight="1">
      <c r="A14" s="311">
        <v>7</v>
      </c>
      <c r="B14" s="209" t="s">
        <v>129</v>
      </c>
      <c r="C14" s="313">
        <f>ESTIMATE!I95</f>
        <v>3.8000000000000003</v>
      </c>
      <c r="D14" s="313">
        <f>ESTIMATE!I472</f>
        <v>0</v>
      </c>
      <c r="E14" s="313">
        <f>ESTIMATE!I877</f>
        <v>0</v>
      </c>
      <c r="F14" s="313">
        <f t="shared" si="0"/>
        <v>3.8000000000000003</v>
      </c>
      <c r="G14" s="313" t="s">
        <v>411</v>
      </c>
      <c r="H14" s="314">
        <v>0</v>
      </c>
      <c r="I14" s="109">
        <f t="shared" si="3"/>
        <v>3.42</v>
      </c>
      <c r="J14" s="314">
        <v>0</v>
      </c>
      <c r="K14" s="311">
        <v>0</v>
      </c>
      <c r="L14" s="109">
        <f t="shared" si="2"/>
        <v>1.71</v>
      </c>
      <c r="M14" s="311">
        <v>0</v>
      </c>
      <c r="N14" s="311">
        <v>0</v>
      </c>
      <c r="O14" s="314">
        <v>0</v>
      </c>
      <c r="P14" s="314">
        <v>0</v>
      </c>
      <c r="Q14" s="314">
        <v>0</v>
      </c>
      <c r="R14" s="314">
        <v>0</v>
      </c>
      <c r="S14" s="316">
        <f t="shared" si="1"/>
        <v>25.08</v>
      </c>
      <c r="T14" s="313">
        <f t="shared" si="4"/>
        <v>330</v>
      </c>
      <c r="U14" s="109" t="s">
        <v>4</v>
      </c>
    </row>
    <row r="15" spans="1:21" ht="20.100000000000001" hidden="1" customHeight="1">
      <c r="A15" s="311">
        <v>9</v>
      </c>
      <c r="B15" s="317" t="s">
        <v>240</v>
      </c>
      <c r="C15" s="313">
        <f>ROUND(ESTIMATE!I101*0.15,2)</f>
        <v>0</v>
      </c>
      <c r="D15" s="313">
        <f>ROUND(ESTIMATE!I480*0.15,2)</f>
        <v>0</v>
      </c>
      <c r="E15" s="313">
        <f>ROUND(ESTIMATE!I885*0.15,2)</f>
        <v>0</v>
      </c>
      <c r="F15" s="313">
        <f>SUM(C15:E15)</f>
        <v>0</v>
      </c>
      <c r="G15" s="313" t="s">
        <v>412</v>
      </c>
      <c r="H15" s="314">
        <v>0</v>
      </c>
      <c r="I15" s="109">
        <f t="shared" si="3"/>
        <v>0</v>
      </c>
      <c r="J15" s="314">
        <v>0</v>
      </c>
      <c r="K15" s="311">
        <v>0</v>
      </c>
      <c r="L15" s="109">
        <f t="shared" si="2"/>
        <v>0</v>
      </c>
      <c r="M15" s="311">
        <v>0</v>
      </c>
      <c r="N15" s="311">
        <v>0</v>
      </c>
      <c r="O15" s="314">
        <v>0</v>
      </c>
      <c r="P15" s="314">
        <v>0</v>
      </c>
      <c r="Q15" s="314">
        <v>0</v>
      </c>
      <c r="R15" s="314">
        <v>0</v>
      </c>
      <c r="S15" s="316">
        <f>ROUND(F15*T15/50,2)</f>
        <v>0</v>
      </c>
      <c r="T15" s="313">
        <f>ROUND(T14,2)</f>
        <v>330</v>
      </c>
      <c r="U15" s="109" t="s">
        <v>4</v>
      </c>
    </row>
    <row r="16" spans="1:21" ht="20.100000000000001" customHeight="1">
      <c r="A16" s="311">
        <v>8</v>
      </c>
      <c r="B16" s="317" t="s">
        <v>241</v>
      </c>
      <c r="C16" s="313">
        <f>ROUND(ESTIMATE!I106*0.125,2)</f>
        <v>9.52</v>
      </c>
      <c r="D16" s="313">
        <f>ROUND(ESTIMATE!I484*0.125,2)</f>
        <v>0</v>
      </c>
      <c r="E16" s="313">
        <f>ROUND(ESTIMATE!I890*0.125,2)</f>
        <v>0</v>
      </c>
      <c r="F16" s="313">
        <f t="shared" si="0"/>
        <v>9.52</v>
      </c>
      <c r="G16" s="313" t="s">
        <v>412</v>
      </c>
      <c r="H16" s="314">
        <v>0</v>
      </c>
      <c r="I16" s="109">
        <f t="shared" si="3"/>
        <v>8.57</v>
      </c>
      <c r="J16" s="314">
        <v>0</v>
      </c>
      <c r="K16" s="311">
        <v>0</v>
      </c>
      <c r="L16" s="109">
        <f t="shared" si="2"/>
        <v>4.28</v>
      </c>
      <c r="M16" s="311">
        <v>0</v>
      </c>
      <c r="N16" s="311">
        <v>0</v>
      </c>
      <c r="O16" s="314">
        <v>0</v>
      </c>
      <c r="P16" s="314">
        <v>0</v>
      </c>
      <c r="Q16" s="314">
        <v>0</v>
      </c>
      <c r="R16" s="314">
        <v>0</v>
      </c>
      <c r="S16" s="316">
        <f t="shared" si="1"/>
        <v>62.83</v>
      </c>
      <c r="T16" s="313">
        <f>ROUND(T14,2)</f>
        <v>330</v>
      </c>
      <c r="U16" s="109" t="s">
        <v>4</v>
      </c>
    </row>
    <row r="17" spans="1:21" ht="20.100000000000001" hidden="1" customHeight="1">
      <c r="A17" s="311">
        <v>14</v>
      </c>
      <c r="B17" s="317" t="s">
        <v>594</v>
      </c>
      <c r="C17" s="313">
        <f>ROUND(ESTIMATE!I111*0.1,2)</f>
        <v>0</v>
      </c>
      <c r="D17" s="313">
        <f>ROUND(ESTIMATE!I489*0.1,2)</f>
        <v>0</v>
      </c>
      <c r="E17" s="313">
        <f>ROUND(ESTIMATE!I895*0.1,2)</f>
        <v>0</v>
      </c>
      <c r="F17" s="313">
        <f t="shared" si="0"/>
        <v>0</v>
      </c>
      <c r="G17" s="313" t="s">
        <v>412</v>
      </c>
      <c r="H17" s="314">
        <v>0</v>
      </c>
      <c r="I17" s="109">
        <f t="shared" si="3"/>
        <v>0</v>
      </c>
      <c r="J17" s="314">
        <v>0</v>
      </c>
      <c r="K17" s="311">
        <v>0</v>
      </c>
      <c r="L17" s="109">
        <f t="shared" si="2"/>
        <v>0</v>
      </c>
      <c r="M17" s="311">
        <v>0</v>
      </c>
      <c r="N17" s="311">
        <v>0</v>
      </c>
      <c r="O17" s="314">
        <v>0</v>
      </c>
      <c r="P17" s="314">
        <v>0</v>
      </c>
      <c r="Q17" s="314">
        <v>0</v>
      </c>
      <c r="R17" s="314">
        <v>0</v>
      </c>
      <c r="S17" s="316">
        <f t="shared" si="1"/>
        <v>0</v>
      </c>
      <c r="T17" s="313">
        <f>T16</f>
        <v>330</v>
      </c>
      <c r="U17" s="109" t="s">
        <v>4</v>
      </c>
    </row>
    <row r="18" spans="1:21" ht="20.100000000000001" hidden="1" customHeight="1">
      <c r="A18" s="311">
        <v>9</v>
      </c>
      <c r="B18" s="317" t="s">
        <v>1021</v>
      </c>
      <c r="C18" s="313">
        <f>ROUND(ESTIMATE!I117*0.05,2)</f>
        <v>0</v>
      </c>
      <c r="D18" s="313">
        <f>ROUND(ESTIMATE!I500*0.05,2)</f>
        <v>0</v>
      </c>
      <c r="E18" s="313">
        <f>ROUND(ESTIMATE!I906*0.05,2)</f>
        <v>0</v>
      </c>
      <c r="F18" s="313">
        <f t="shared" ref="F18" si="5">SUM(C18:E18)</f>
        <v>0</v>
      </c>
      <c r="G18" s="313" t="s">
        <v>412</v>
      </c>
      <c r="H18" s="314">
        <v>0</v>
      </c>
      <c r="I18" s="109">
        <f t="shared" si="3"/>
        <v>0</v>
      </c>
      <c r="J18" s="314">
        <v>0</v>
      </c>
      <c r="K18" s="311">
        <v>0</v>
      </c>
      <c r="L18" s="109">
        <f t="shared" si="2"/>
        <v>0</v>
      </c>
      <c r="M18" s="311">
        <v>0</v>
      </c>
      <c r="N18" s="311">
        <v>0</v>
      </c>
      <c r="O18" s="314">
        <v>0</v>
      </c>
      <c r="P18" s="314">
        <v>0</v>
      </c>
      <c r="Q18" s="314">
        <v>0</v>
      </c>
      <c r="R18" s="314">
        <v>0</v>
      </c>
      <c r="S18" s="316">
        <f t="shared" ref="S18" si="6">ROUND(F18*T18/50,2)</f>
        <v>0</v>
      </c>
      <c r="T18" s="313">
        <f>T17</f>
        <v>330</v>
      </c>
      <c r="U18" s="109" t="s">
        <v>4</v>
      </c>
    </row>
    <row r="19" spans="1:21" ht="20.100000000000001" hidden="1" customHeight="1">
      <c r="A19" s="311">
        <v>16</v>
      </c>
      <c r="B19" s="317" t="s">
        <v>1234</v>
      </c>
      <c r="C19" s="313">
        <f>ROUND(ESTIMATE!I128*0.025,2)</f>
        <v>0</v>
      </c>
      <c r="D19" s="313">
        <f>ROUND(ESTIMATE!I511*0.025,2)</f>
        <v>0</v>
      </c>
      <c r="E19" s="313">
        <f>ROUND(ESTIMATE!I917*0.025,2)</f>
        <v>0</v>
      </c>
      <c r="F19" s="313">
        <f t="shared" ref="F19" si="7">SUM(C19:E19)</f>
        <v>0</v>
      </c>
      <c r="G19" s="313" t="s">
        <v>412</v>
      </c>
      <c r="H19" s="314">
        <v>0</v>
      </c>
      <c r="I19" s="109">
        <f t="shared" si="3"/>
        <v>0</v>
      </c>
      <c r="J19" s="314">
        <v>0</v>
      </c>
      <c r="K19" s="311">
        <v>0</v>
      </c>
      <c r="L19" s="109">
        <f t="shared" si="2"/>
        <v>0</v>
      </c>
      <c r="M19" s="311">
        <v>0</v>
      </c>
      <c r="N19" s="311">
        <v>0</v>
      </c>
      <c r="O19" s="314">
        <v>0</v>
      </c>
      <c r="P19" s="314">
        <v>0</v>
      </c>
      <c r="Q19" s="314">
        <v>0</v>
      </c>
      <c r="R19" s="314">
        <v>0</v>
      </c>
      <c r="S19" s="316">
        <f t="shared" ref="S19" si="8">ROUND(F19*T19/50,2)</f>
        <v>0</v>
      </c>
      <c r="T19" s="313">
        <f>T18</f>
        <v>330</v>
      </c>
      <c r="U19" s="109" t="s">
        <v>4</v>
      </c>
    </row>
    <row r="20" spans="1:21" ht="20.100000000000001" customHeight="1">
      <c r="A20" s="311">
        <v>9</v>
      </c>
      <c r="B20" s="209" t="s">
        <v>127</v>
      </c>
      <c r="C20" s="313">
        <f>ESTIMATE!I132</f>
        <v>1.1100000000000001</v>
      </c>
      <c r="D20" s="313">
        <f>ESTIMATE!I516</f>
        <v>0</v>
      </c>
      <c r="E20" s="313">
        <f>ESTIMATE!I925</f>
        <v>0</v>
      </c>
      <c r="F20" s="313">
        <f>SUM(C20:E20)</f>
        <v>1.1100000000000001</v>
      </c>
      <c r="G20" s="313" t="s">
        <v>411</v>
      </c>
      <c r="H20" s="314">
        <v>0</v>
      </c>
      <c r="I20" s="109">
        <f t="shared" si="3"/>
        <v>1</v>
      </c>
      <c r="J20" s="314">
        <v>0</v>
      </c>
      <c r="K20" s="311">
        <v>0</v>
      </c>
      <c r="L20" s="109">
        <f t="shared" si="2"/>
        <v>0.5</v>
      </c>
      <c r="M20" s="311">
        <v>0</v>
      </c>
      <c r="N20" s="311">
        <v>0</v>
      </c>
      <c r="O20" s="314">
        <v>0</v>
      </c>
      <c r="P20" s="314">
        <v>0</v>
      </c>
      <c r="Q20" s="314">
        <v>0</v>
      </c>
      <c r="R20" s="314">
        <v>0</v>
      </c>
      <c r="S20" s="316">
        <f>ROUND(F20*T20/50,2)</f>
        <v>7.33</v>
      </c>
      <c r="T20" s="313">
        <f t="shared" si="4"/>
        <v>330</v>
      </c>
      <c r="U20" s="109" t="s">
        <v>4</v>
      </c>
    </row>
    <row r="21" spans="1:21" ht="20.100000000000001" customHeight="1">
      <c r="A21" s="311">
        <v>10</v>
      </c>
      <c r="B21" s="209" t="s">
        <v>128</v>
      </c>
      <c r="C21" s="313">
        <f>ESTIMATE!I137</f>
        <v>12</v>
      </c>
      <c r="D21" s="313">
        <f>ESTIMATE!I520</f>
        <v>0</v>
      </c>
      <c r="E21" s="313">
        <f>ESTIMATE!I930</f>
        <v>0</v>
      </c>
      <c r="F21" s="313">
        <f>SUM(C21:E21)</f>
        <v>12</v>
      </c>
      <c r="G21" s="313" t="s">
        <v>82</v>
      </c>
      <c r="H21" s="314">
        <v>0</v>
      </c>
      <c r="I21" s="109">
        <f>ROUND(F21*0.0375*0.9,2)</f>
        <v>0.41</v>
      </c>
      <c r="J21" s="314">
        <v>0</v>
      </c>
      <c r="K21" s="311">
        <v>0</v>
      </c>
      <c r="L21" s="109">
        <f>ROUND(F21*0.0375*0.45,2)</f>
        <v>0.2</v>
      </c>
      <c r="M21" s="311">
        <v>0</v>
      </c>
      <c r="N21" s="311">
        <v>0</v>
      </c>
      <c r="O21" s="314">
        <v>0</v>
      </c>
      <c r="P21" s="314">
        <v>0</v>
      </c>
      <c r="Q21" s="314">
        <v>0</v>
      </c>
      <c r="R21" s="314">
        <v>0</v>
      </c>
      <c r="S21" s="316">
        <f>ROUND(F21*T21/50,2)</f>
        <v>2.97</v>
      </c>
      <c r="T21" s="318">
        <f>T20*0.0375</f>
        <v>12.375</v>
      </c>
      <c r="U21" s="109" t="s">
        <v>4</v>
      </c>
    </row>
    <row r="22" spans="1:21" ht="20.100000000000001" customHeight="1">
      <c r="A22" s="311">
        <v>11</v>
      </c>
      <c r="B22" s="317" t="s">
        <v>1235</v>
      </c>
      <c r="C22" s="313">
        <f>ESTIMATE!I142</f>
        <v>76.13</v>
      </c>
      <c r="D22" s="313">
        <f>ESTIMATE!I526</f>
        <v>0</v>
      </c>
      <c r="E22" s="313">
        <f>ESTIMATE!I935</f>
        <v>0</v>
      </c>
      <c r="F22" s="313">
        <f t="shared" ref="F22" si="9">SUM(C22:E22)</f>
        <v>76.13</v>
      </c>
      <c r="G22" s="313" t="s">
        <v>412</v>
      </c>
      <c r="H22" s="314">
        <v>0</v>
      </c>
      <c r="I22" s="314">
        <v>0</v>
      </c>
      <c r="J22" s="314">
        <v>0</v>
      </c>
      <c r="K22" s="311">
        <v>0</v>
      </c>
      <c r="L22" s="314">
        <v>0</v>
      </c>
      <c r="M22" s="311">
        <v>0</v>
      </c>
      <c r="N22" s="109">
        <f>ROUND(ROUND((0.015*1.05),3)*ROUND(F22,2),2)</f>
        <v>1.22</v>
      </c>
      <c r="O22" s="314">
        <v>0</v>
      </c>
      <c r="P22" s="314">
        <v>0</v>
      </c>
      <c r="Q22" s="314">
        <v>0</v>
      </c>
      <c r="R22" s="314">
        <v>0</v>
      </c>
      <c r="S22" s="316">
        <f t="shared" ref="S22" si="10">ROUND(F22*T22/50,2)</f>
        <v>10.96</v>
      </c>
      <c r="T22" s="313">
        <v>7.2</v>
      </c>
      <c r="U22" s="109" t="s">
        <v>4</v>
      </c>
    </row>
    <row r="23" spans="1:21" ht="20.100000000000001" hidden="1" customHeight="1">
      <c r="A23" s="311">
        <v>12</v>
      </c>
      <c r="B23" s="317" t="s">
        <v>1012</v>
      </c>
      <c r="C23" s="313">
        <f>ESTIMATE!I148</f>
        <v>0</v>
      </c>
      <c r="D23" s="313">
        <f>ESTIMATE!I532</f>
        <v>0</v>
      </c>
      <c r="E23" s="313">
        <f>ESTIMATE!I941</f>
        <v>0</v>
      </c>
      <c r="F23" s="313">
        <f>SUM(C23:E23)</f>
        <v>0</v>
      </c>
      <c r="G23" s="313" t="s">
        <v>412</v>
      </c>
      <c r="H23" s="314">
        <v>0</v>
      </c>
      <c r="I23" s="314">
        <v>0</v>
      </c>
      <c r="J23" s="314">
        <v>0</v>
      </c>
      <c r="K23" s="311">
        <v>0</v>
      </c>
      <c r="L23" s="314">
        <v>0</v>
      </c>
      <c r="M23" s="311">
        <v>0</v>
      </c>
      <c r="N23" s="109">
        <f>ROUND(ROUND((0.021*1.05),3)*ROUND(F23,2),2)</f>
        <v>0</v>
      </c>
      <c r="O23" s="314">
        <v>0</v>
      </c>
      <c r="P23" s="314">
        <v>0</v>
      </c>
      <c r="Q23" s="314">
        <v>0</v>
      </c>
      <c r="R23" s="314">
        <v>0</v>
      </c>
      <c r="S23" s="316">
        <f>ROUND(F23*T23/50,2)</f>
        <v>0</v>
      </c>
      <c r="T23" s="313">
        <v>10.08</v>
      </c>
      <c r="U23" s="109" t="s">
        <v>4</v>
      </c>
    </row>
    <row r="24" spans="1:21" ht="20.100000000000001" customHeight="1">
      <c r="A24" s="311">
        <v>12</v>
      </c>
      <c r="B24" s="209" t="s">
        <v>968</v>
      </c>
      <c r="C24" s="313">
        <f>ESTIMATE!I153</f>
        <v>14.99</v>
      </c>
      <c r="D24" s="313"/>
      <c r="E24" s="313"/>
      <c r="F24" s="313">
        <f t="shared" ref="F24" si="11">SUM(C24:E24)</f>
        <v>14.99</v>
      </c>
      <c r="G24" s="313" t="s">
        <v>411</v>
      </c>
      <c r="H24" s="314">
        <v>0</v>
      </c>
      <c r="I24" s="314">
        <v>0</v>
      </c>
      <c r="J24" s="314">
        <v>0</v>
      </c>
      <c r="K24" s="109">
        <f>ROUND(F24*1.1,2)</f>
        <v>16.489999999999998</v>
      </c>
      <c r="L24" s="314">
        <v>0</v>
      </c>
      <c r="M24" s="109">
        <f>ROUND(F24*0.33,2)</f>
        <v>4.95</v>
      </c>
      <c r="N24" s="314">
        <v>0</v>
      </c>
      <c r="O24" s="314">
        <v>0</v>
      </c>
      <c r="P24" s="314">
        <v>0</v>
      </c>
      <c r="Q24" s="109"/>
      <c r="R24" s="314">
        <v>0</v>
      </c>
      <c r="S24" s="316">
        <f t="shared" ref="S24" si="12">ROUND(F24*T24/50,2)</f>
        <v>17.809999999999999</v>
      </c>
      <c r="T24" s="313">
        <v>59.4</v>
      </c>
      <c r="U24" s="109" t="s">
        <v>4</v>
      </c>
    </row>
    <row r="25" spans="1:21" ht="20.100000000000001" customHeight="1">
      <c r="A25" s="311">
        <v>13</v>
      </c>
      <c r="B25" s="209" t="s">
        <v>132</v>
      </c>
      <c r="C25" s="313">
        <f>ESTIMATE!I173</f>
        <v>21.119999999999997</v>
      </c>
      <c r="D25" s="313">
        <f>ESTIMATE!I544</f>
        <v>0</v>
      </c>
      <c r="E25" s="313">
        <f>ESTIMATE!I958</f>
        <v>0</v>
      </c>
      <c r="F25" s="313">
        <f>SUM(C25:E25)</f>
        <v>21.119999999999997</v>
      </c>
      <c r="G25" s="313" t="s">
        <v>411</v>
      </c>
      <c r="H25" s="314">
        <v>0</v>
      </c>
      <c r="I25" s="314">
        <v>0</v>
      </c>
      <c r="J25" s="314">
        <v>0</v>
      </c>
      <c r="K25" s="311">
        <v>0</v>
      </c>
      <c r="L25" s="314">
        <v>0</v>
      </c>
      <c r="M25" s="109">
        <f>ROUND(F25*0.2,2)</f>
        <v>4.22</v>
      </c>
      <c r="N25" s="314">
        <v>0</v>
      </c>
      <c r="O25" s="314">
        <v>0</v>
      </c>
      <c r="P25" s="314">
        <v>0</v>
      </c>
      <c r="Q25" s="109">
        <f>ROUND(F25*512/1000,2)</f>
        <v>10.81</v>
      </c>
      <c r="R25" s="314">
        <v>0</v>
      </c>
      <c r="S25" s="316">
        <f>ROUND(F25*T25/50,2)</f>
        <v>15.21</v>
      </c>
      <c r="T25" s="313">
        <v>36</v>
      </c>
      <c r="U25" s="109" t="s">
        <v>4</v>
      </c>
    </row>
    <row r="26" spans="1:21" ht="20.100000000000001" hidden="1" customHeight="1">
      <c r="A26" s="311">
        <v>15</v>
      </c>
      <c r="B26" s="209" t="s">
        <v>857</v>
      </c>
      <c r="C26" s="313">
        <f>ESTIMATE!I178</f>
        <v>0</v>
      </c>
      <c r="D26" s="313">
        <f>ESTIMATE!I569</f>
        <v>0</v>
      </c>
      <c r="E26" s="313">
        <f>ESTIMATE!I967</f>
        <v>0</v>
      </c>
      <c r="F26" s="313">
        <f>SUM(C26:E26)</f>
        <v>0</v>
      </c>
      <c r="G26" s="313" t="s">
        <v>411</v>
      </c>
      <c r="H26" s="314">
        <v>0</v>
      </c>
      <c r="I26" s="314">
        <v>0</v>
      </c>
      <c r="J26" s="314">
        <v>0</v>
      </c>
      <c r="K26" s="311">
        <v>0</v>
      </c>
      <c r="L26" s="314">
        <v>0</v>
      </c>
      <c r="M26" s="109">
        <f>ROUND(F26*0.2,2)</f>
        <v>0</v>
      </c>
      <c r="N26" s="314">
        <v>0</v>
      </c>
      <c r="O26" s="314">
        <v>0</v>
      </c>
      <c r="P26" s="314">
        <v>0</v>
      </c>
      <c r="Q26" s="109">
        <f>ROUND(F26*512/1000,2)</f>
        <v>0</v>
      </c>
      <c r="R26" s="314">
        <v>0</v>
      </c>
      <c r="S26" s="316">
        <f>ROUND(F26*T26/50,2)</f>
        <v>0</v>
      </c>
      <c r="T26" s="313">
        <v>48</v>
      </c>
      <c r="U26" s="109" t="s">
        <v>4</v>
      </c>
    </row>
    <row r="27" spans="1:21" ht="20.100000000000001" hidden="1" customHeight="1">
      <c r="A27" s="311">
        <v>16</v>
      </c>
      <c r="B27" s="209" t="s">
        <v>858</v>
      </c>
      <c r="C27" s="313">
        <f>ESTIMATE!I184</f>
        <v>0</v>
      </c>
      <c r="D27" s="313">
        <f>ESTIMATE!I596</f>
        <v>0</v>
      </c>
      <c r="E27" s="313">
        <f>ESTIMATE!I972</f>
        <v>0</v>
      </c>
      <c r="F27" s="313">
        <f>SUM(C27:E27)</f>
        <v>0</v>
      </c>
      <c r="G27" s="313" t="s">
        <v>412</v>
      </c>
      <c r="H27" s="314">
        <v>0</v>
      </c>
      <c r="I27" s="314">
        <v>0</v>
      </c>
      <c r="J27" s="314">
        <v>0</v>
      </c>
      <c r="K27" s="311">
        <v>0</v>
      </c>
      <c r="L27" s="314">
        <v>0</v>
      </c>
      <c r="M27" s="109">
        <f>ROUND(F27*0.022,2)</f>
        <v>0</v>
      </c>
      <c r="N27" s="314">
        <v>0</v>
      </c>
      <c r="O27" s="314">
        <v>0</v>
      </c>
      <c r="P27" s="314">
        <v>0</v>
      </c>
      <c r="Q27" s="109">
        <f>ROUND(F27*512*0.1/1000,2)</f>
        <v>0</v>
      </c>
      <c r="R27" s="314">
        <v>0</v>
      </c>
      <c r="S27" s="316">
        <f>ROUND(F27*T27/50,2)</f>
        <v>0</v>
      </c>
      <c r="T27" s="313">
        <v>10.6</v>
      </c>
      <c r="U27" s="109" t="s">
        <v>4</v>
      </c>
    </row>
    <row r="28" spans="1:21" ht="20.100000000000001" hidden="1" customHeight="1">
      <c r="A28" s="311">
        <v>16</v>
      </c>
      <c r="B28" s="209" t="s">
        <v>988</v>
      </c>
      <c r="C28" s="313">
        <f>ESTIMATE!I192</f>
        <v>0</v>
      </c>
      <c r="D28" s="313">
        <f>ESTIMATE!I607</f>
        <v>0</v>
      </c>
      <c r="E28" s="313">
        <f>ESTIMATE!I983</f>
        <v>0</v>
      </c>
      <c r="F28" s="313">
        <f t="shared" ref="F28" si="13">SUM(C28:E28)</f>
        <v>0</v>
      </c>
      <c r="G28" s="313" t="s">
        <v>411</v>
      </c>
      <c r="H28" s="314">
        <v>0</v>
      </c>
      <c r="I28" s="314">
        <v>0</v>
      </c>
      <c r="J28" s="314">
        <v>0</v>
      </c>
      <c r="K28" s="311">
        <v>0</v>
      </c>
      <c r="L28" s="314">
        <v>0</v>
      </c>
      <c r="M28" s="109">
        <f>ROUND(F28*0.1*1.05,2)</f>
        <v>0</v>
      </c>
      <c r="N28" s="314">
        <v>0</v>
      </c>
      <c r="O28" s="314">
        <v>0</v>
      </c>
      <c r="P28" s="314">
        <v>0</v>
      </c>
      <c r="Q28" s="109">
        <f>ROUND(F28*110/1000,2)</f>
        <v>0</v>
      </c>
      <c r="R28" s="314">
        <v>0</v>
      </c>
      <c r="S28" s="316">
        <f>ROUND(F28*T28/50,2)</f>
        <v>0</v>
      </c>
      <c r="T28" s="313">
        <v>24</v>
      </c>
      <c r="U28" s="109" t="s">
        <v>4</v>
      </c>
    </row>
    <row r="29" spans="1:21" ht="20.100000000000001" customHeight="1">
      <c r="A29" s="311">
        <v>14</v>
      </c>
      <c r="B29" s="317" t="s">
        <v>989</v>
      </c>
      <c r="C29" s="313">
        <f>ESTIMATE!I196</f>
        <v>4.6399999999999997</v>
      </c>
      <c r="D29" s="313">
        <f>ESTIMATE!I613</f>
        <v>0</v>
      </c>
      <c r="E29" s="313"/>
      <c r="F29" s="313">
        <f t="shared" ref="F29" si="14">SUM(C29:E29)</f>
        <v>4.6399999999999997</v>
      </c>
      <c r="G29" s="313" t="s">
        <v>412</v>
      </c>
      <c r="H29" s="314">
        <v>0</v>
      </c>
      <c r="I29" s="314">
        <v>0</v>
      </c>
      <c r="J29" s="314">
        <v>0</v>
      </c>
      <c r="K29" s="311">
        <v>0</v>
      </c>
      <c r="L29" s="314">
        <v>0</v>
      </c>
      <c r="M29" s="314">
        <v>0</v>
      </c>
      <c r="N29" s="109">
        <f>ROUND(F29*((0.015*1.05)+(0.025*1.05)),2)</f>
        <v>0.19</v>
      </c>
      <c r="O29" s="314">
        <v>0</v>
      </c>
      <c r="P29" s="314">
        <v>0</v>
      </c>
      <c r="Q29" s="314">
        <v>0</v>
      </c>
      <c r="R29" s="314">
        <v>0</v>
      </c>
      <c r="S29" s="316">
        <f t="shared" ref="S29" si="15">ROUND(F29*T29/50,2)</f>
        <v>1.94</v>
      </c>
      <c r="T29" s="313">
        <v>20.89</v>
      </c>
      <c r="U29" s="109" t="s">
        <v>4</v>
      </c>
    </row>
    <row r="30" spans="1:21" ht="20.100000000000001" customHeight="1">
      <c r="A30" s="311">
        <v>15</v>
      </c>
      <c r="B30" s="317" t="s">
        <v>135</v>
      </c>
      <c r="C30" s="313">
        <f>ESTIMATE!I205</f>
        <v>82.8</v>
      </c>
      <c r="D30" s="313">
        <f>ESTIMATE!I621</f>
        <v>0</v>
      </c>
      <c r="E30" s="313">
        <f>ESTIMATE!I993</f>
        <v>0</v>
      </c>
      <c r="F30" s="313">
        <f t="shared" si="0"/>
        <v>82.8</v>
      </c>
      <c r="G30" s="313" t="s">
        <v>412</v>
      </c>
      <c r="H30" s="314">
        <v>0</v>
      </c>
      <c r="I30" s="314">
        <v>0</v>
      </c>
      <c r="J30" s="314">
        <v>0</v>
      </c>
      <c r="K30" s="311">
        <v>0</v>
      </c>
      <c r="L30" s="314">
        <v>0</v>
      </c>
      <c r="M30" s="314">
        <v>0</v>
      </c>
      <c r="N30" s="109">
        <f>ROUND(F30*0.015*1.05,2)</f>
        <v>1.3</v>
      </c>
      <c r="O30" s="314">
        <v>0</v>
      </c>
      <c r="P30" s="314">
        <v>0</v>
      </c>
      <c r="Q30" s="314">
        <v>0</v>
      </c>
      <c r="R30" s="314">
        <v>0</v>
      </c>
      <c r="S30" s="316">
        <f t="shared" si="1"/>
        <v>11.92</v>
      </c>
      <c r="T30" s="313">
        <v>7.2</v>
      </c>
      <c r="U30" s="109" t="s">
        <v>4</v>
      </c>
    </row>
    <row r="31" spans="1:21" ht="20.100000000000001" hidden="1" customHeight="1">
      <c r="A31" s="311">
        <v>4</v>
      </c>
      <c r="B31" s="317" t="s">
        <v>242</v>
      </c>
      <c r="C31" s="313">
        <f>ESTIMATE!I221</f>
        <v>0</v>
      </c>
      <c r="D31" s="313">
        <f>ESTIMATE!I631</f>
        <v>0</v>
      </c>
      <c r="E31" s="313">
        <f>ESTIMATE!I1034</f>
        <v>0</v>
      </c>
      <c r="F31" s="313">
        <f t="shared" si="0"/>
        <v>0</v>
      </c>
      <c r="G31" s="313" t="s">
        <v>412</v>
      </c>
      <c r="H31" s="314">
        <v>0</v>
      </c>
      <c r="I31" s="314">
        <v>0</v>
      </c>
      <c r="J31" s="314">
        <v>0</v>
      </c>
      <c r="K31" s="311">
        <v>0</v>
      </c>
      <c r="L31" s="314">
        <v>0</v>
      </c>
      <c r="M31" s="314">
        <v>0</v>
      </c>
      <c r="N31" s="109">
        <f>ROUND(ROUND((0.015*1.05),3)*ROUND(F31,2),2)</f>
        <v>0</v>
      </c>
      <c r="O31" s="314">
        <v>0</v>
      </c>
      <c r="P31" s="314">
        <v>0</v>
      </c>
      <c r="Q31" s="314">
        <v>0</v>
      </c>
      <c r="R31" s="314">
        <v>0</v>
      </c>
      <c r="S31" s="316">
        <f t="shared" si="1"/>
        <v>0</v>
      </c>
      <c r="T31" s="313">
        <v>4.32</v>
      </c>
      <c r="U31" s="109" t="s">
        <v>4</v>
      </c>
    </row>
    <row r="32" spans="1:21" ht="20.100000000000001" hidden="1" customHeight="1">
      <c r="A32" s="311">
        <v>5</v>
      </c>
      <c r="B32" s="317" t="s">
        <v>593</v>
      </c>
      <c r="C32" s="313">
        <f>ESTIMATE!I226</f>
        <v>0</v>
      </c>
      <c r="D32" s="313">
        <f>ESTIMATE!I639</f>
        <v>0</v>
      </c>
      <c r="E32" s="313">
        <f>ESTIMATE!I1039</f>
        <v>0</v>
      </c>
      <c r="F32" s="313">
        <f>SUM(C32:E32)</f>
        <v>0</v>
      </c>
      <c r="G32" s="313" t="s">
        <v>412</v>
      </c>
      <c r="H32" s="314">
        <v>0</v>
      </c>
      <c r="I32" s="314">
        <v>0</v>
      </c>
      <c r="J32" s="314">
        <v>0</v>
      </c>
      <c r="K32" s="311">
        <v>0</v>
      </c>
      <c r="L32" s="314">
        <v>0</v>
      </c>
      <c r="M32" s="314">
        <v>0</v>
      </c>
      <c r="N32" s="109">
        <f>ROUND(ROUND((0.021*1.05),3)*ROUND(F32,2),2)</f>
        <v>0</v>
      </c>
      <c r="O32" s="314">
        <v>0</v>
      </c>
      <c r="P32" s="314">
        <v>0</v>
      </c>
      <c r="Q32" s="314">
        <v>0</v>
      </c>
      <c r="R32" s="314">
        <v>0</v>
      </c>
      <c r="S32" s="316">
        <f>ROUND(F32*T32/50,2)</f>
        <v>0</v>
      </c>
      <c r="T32" s="313">
        <v>6.05</v>
      </c>
      <c r="U32" s="109" t="s">
        <v>4</v>
      </c>
    </row>
    <row r="33" spans="1:21" ht="20.100000000000001" customHeight="1">
      <c r="A33" s="311">
        <v>16</v>
      </c>
      <c r="B33" s="317" t="s">
        <v>855</v>
      </c>
      <c r="C33" s="313">
        <f>ESTIMATE!I235</f>
        <v>94.960000000000008</v>
      </c>
      <c r="D33" s="313">
        <f>ESTIMATE!I664</f>
        <v>0</v>
      </c>
      <c r="E33" s="313">
        <f>ESTIMATE!I1046</f>
        <v>0</v>
      </c>
      <c r="F33" s="313">
        <f t="shared" si="0"/>
        <v>94.960000000000008</v>
      </c>
      <c r="G33" s="313" t="s">
        <v>412</v>
      </c>
      <c r="H33" s="314">
        <v>0</v>
      </c>
      <c r="I33" s="314">
        <v>0</v>
      </c>
      <c r="J33" s="314">
        <v>0</v>
      </c>
      <c r="K33" s="311">
        <v>0</v>
      </c>
      <c r="L33" s="314">
        <v>0</v>
      </c>
      <c r="M33" s="314">
        <v>0</v>
      </c>
      <c r="N33" s="109">
        <f>ROUND(F33*0.015*1,2)</f>
        <v>1.42</v>
      </c>
      <c r="O33" s="314">
        <v>0</v>
      </c>
      <c r="P33" s="314">
        <v>0</v>
      </c>
      <c r="Q33" s="314">
        <v>0</v>
      </c>
      <c r="R33" s="314">
        <v>0</v>
      </c>
      <c r="S33" s="316">
        <f t="shared" si="1"/>
        <v>9.67</v>
      </c>
      <c r="T33" s="313">
        <v>5.09</v>
      </c>
      <c r="U33" s="109" t="s">
        <v>4</v>
      </c>
    </row>
    <row r="34" spans="1:21" ht="20.100000000000001" customHeight="1">
      <c r="A34" s="311">
        <v>17</v>
      </c>
      <c r="B34" s="317" t="s">
        <v>592</v>
      </c>
      <c r="C34" s="313">
        <f>ESTIMATE!I245</f>
        <v>152.12999999999997</v>
      </c>
      <c r="D34" s="313">
        <f>ESTIMATE!I672</f>
        <v>0</v>
      </c>
      <c r="E34" s="313">
        <f>ESTIMATE!I1055</f>
        <v>0</v>
      </c>
      <c r="F34" s="313">
        <f t="shared" si="0"/>
        <v>152.12999999999997</v>
      </c>
      <c r="G34" s="313" t="s">
        <v>412</v>
      </c>
      <c r="H34" s="314">
        <v>0</v>
      </c>
      <c r="I34" s="314">
        <v>0</v>
      </c>
      <c r="J34" s="314">
        <v>0</v>
      </c>
      <c r="K34" s="311">
        <v>0</v>
      </c>
      <c r="L34" s="314">
        <v>0</v>
      </c>
      <c r="M34" s="314">
        <v>0</v>
      </c>
      <c r="N34" s="109">
        <f>ROUND(F34*0.022*1,2)</f>
        <v>3.35</v>
      </c>
      <c r="O34" s="314">
        <v>0</v>
      </c>
      <c r="P34" s="314">
        <v>0</v>
      </c>
      <c r="Q34" s="314">
        <v>0</v>
      </c>
      <c r="R34" s="314">
        <v>0</v>
      </c>
      <c r="S34" s="316">
        <f t="shared" si="1"/>
        <v>17.489999999999998</v>
      </c>
      <c r="T34" s="313">
        <v>5.75</v>
      </c>
      <c r="U34" s="109" t="s">
        <v>4</v>
      </c>
    </row>
    <row r="35" spans="1:21" ht="20.100000000000001" hidden="1" customHeight="1">
      <c r="A35" s="311">
        <v>2</v>
      </c>
      <c r="B35" s="209" t="s">
        <v>438</v>
      </c>
      <c r="C35" s="313">
        <f>ESTIMATE!I262</f>
        <v>0</v>
      </c>
      <c r="D35" s="313">
        <f>ESTIMATE!I678</f>
        <v>0</v>
      </c>
      <c r="E35" s="313">
        <f>ESTIMATE!I1061</f>
        <v>0</v>
      </c>
      <c r="F35" s="313">
        <f>SUM(C35:E35)</f>
        <v>0</v>
      </c>
      <c r="G35" s="313" t="s">
        <v>411</v>
      </c>
      <c r="H35" s="314">
        <v>0</v>
      </c>
      <c r="I35" s="109">
        <f>ROUND(F35*0.8,2)</f>
        <v>0</v>
      </c>
      <c r="J35" s="314">
        <v>0</v>
      </c>
      <c r="K35" s="311">
        <v>0</v>
      </c>
      <c r="L35" s="109">
        <f>ROUND(F35*0.4,2)</f>
        <v>0</v>
      </c>
      <c r="M35" s="311">
        <v>0</v>
      </c>
      <c r="N35" s="311">
        <v>0</v>
      </c>
      <c r="O35" s="314">
        <v>0</v>
      </c>
      <c r="P35" s="314">
        <v>0</v>
      </c>
      <c r="Q35" s="314">
        <v>0</v>
      </c>
      <c r="R35" s="314">
        <v>0</v>
      </c>
      <c r="S35" s="316">
        <f>ROUND(F35*T35/50,2)</f>
        <v>0</v>
      </c>
      <c r="T35" s="313">
        <f t="shared" ref="T35" si="16">$T$10</f>
        <v>330</v>
      </c>
      <c r="U35" s="109" t="s">
        <v>4</v>
      </c>
    </row>
    <row r="36" spans="1:21" ht="20.100000000000001" customHeight="1">
      <c r="A36" s="311">
        <v>18</v>
      </c>
      <c r="B36" s="317" t="s">
        <v>245</v>
      </c>
      <c r="C36" s="313">
        <f>ESTIMATE!I268</f>
        <v>58.949999999999996</v>
      </c>
      <c r="D36" s="313">
        <f>ESTIMATE!I686</f>
        <v>0</v>
      </c>
      <c r="E36" s="313">
        <f>ESTIMATE!I1071</f>
        <v>0</v>
      </c>
      <c r="F36" s="313">
        <f t="shared" si="0"/>
        <v>58.949999999999996</v>
      </c>
      <c r="G36" s="313" t="s">
        <v>412</v>
      </c>
      <c r="H36" s="314">
        <v>0</v>
      </c>
      <c r="I36" s="314">
        <v>0</v>
      </c>
      <c r="J36" s="314">
        <v>0</v>
      </c>
      <c r="K36" s="311">
        <v>0</v>
      </c>
      <c r="L36" s="314">
        <v>0</v>
      </c>
      <c r="M36" s="109">
        <f>ROUND(F36*0.014,2)</f>
        <v>0.83</v>
      </c>
      <c r="N36" s="314">
        <v>0</v>
      </c>
      <c r="O36" s="314">
        <v>0</v>
      </c>
      <c r="P36" s="314">
        <v>0</v>
      </c>
      <c r="Q36" s="314">
        <v>0</v>
      </c>
      <c r="R36" s="314">
        <v>0</v>
      </c>
      <c r="S36" s="316">
        <f t="shared" si="1"/>
        <v>7.14</v>
      </c>
      <c r="T36" s="313">
        <v>6.06</v>
      </c>
      <c r="U36" s="109" t="s">
        <v>4</v>
      </c>
    </row>
    <row r="37" spans="1:21" ht="20.100000000000001" customHeight="1">
      <c r="A37" s="311">
        <v>19</v>
      </c>
      <c r="B37" s="317" t="s">
        <v>246</v>
      </c>
      <c r="C37" s="313">
        <f>ESTIMATE!I277</f>
        <v>6.57</v>
      </c>
      <c r="D37" s="313">
        <f>ESTIMATE!I701</f>
        <v>0</v>
      </c>
      <c r="E37" s="313">
        <f>ESTIMATE!I1080</f>
        <v>0</v>
      </c>
      <c r="F37" s="313">
        <f t="shared" si="0"/>
        <v>6.57</v>
      </c>
      <c r="G37" s="313" t="s">
        <v>412</v>
      </c>
      <c r="H37" s="314">
        <v>0</v>
      </c>
      <c r="I37" s="314">
        <v>0</v>
      </c>
      <c r="J37" s="314">
        <v>0</v>
      </c>
      <c r="K37" s="311">
        <v>0</v>
      </c>
      <c r="L37" s="314">
        <v>0</v>
      </c>
      <c r="M37" s="109">
        <f>ROUND(F37*0.012,2)</f>
        <v>0.08</v>
      </c>
      <c r="N37" s="314">
        <v>0</v>
      </c>
      <c r="O37" s="314">
        <v>0</v>
      </c>
      <c r="P37" s="314">
        <v>0</v>
      </c>
      <c r="Q37" s="314">
        <v>0</v>
      </c>
      <c r="R37" s="314">
        <v>0</v>
      </c>
      <c r="S37" s="316">
        <f t="shared" si="1"/>
        <v>0.89</v>
      </c>
      <c r="T37" s="318">
        <v>6.7560000000000002</v>
      </c>
      <c r="U37" s="109" t="s">
        <v>4</v>
      </c>
    </row>
    <row r="38" spans="1:21" ht="20.100000000000001" hidden="1" customHeight="1">
      <c r="A38" s="311">
        <v>7</v>
      </c>
      <c r="B38" s="317" t="s">
        <v>670</v>
      </c>
      <c r="C38" s="313">
        <f>ESTIMATE!I284</f>
        <v>0</v>
      </c>
      <c r="D38" s="313">
        <f>ESTIMATE!I708</f>
        <v>0</v>
      </c>
      <c r="E38" s="313">
        <f>ESTIMATE!I1091</f>
        <v>0</v>
      </c>
      <c r="F38" s="313">
        <f t="shared" si="0"/>
        <v>0</v>
      </c>
      <c r="G38" s="313" t="s">
        <v>412</v>
      </c>
      <c r="H38" s="314">
        <v>0</v>
      </c>
      <c r="I38" s="314">
        <v>0</v>
      </c>
      <c r="J38" s="314">
        <v>0</v>
      </c>
      <c r="K38" s="311">
        <v>0</v>
      </c>
      <c r="L38" s="314">
        <v>0</v>
      </c>
      <c r="M38" s="109">
        <f>ROUND(F38*0.014,2)</f>
        <v>0</v>
      </c>
      <c r="N38" s="314">
        <v>0</v>
      </c>
      <c r="O38" s="314">
        <v>0</v>
      </c>
      <c r="P38" s="314">
        <v>0</v>
      </c>
      <c r="Q38" s="314">
        <v>0</v>
      </c>
      <c r="R38" s="314">
        <v>0</v>
      </c>
      <c r="S38" s="316">
        <f t="shared" si="1"/>
        <v>0</v>
      </c>
      <c r="T38" s="313">
        <v>7.5</v>
      </c>
      <c r="U38" s="109" t="s">
        <v>4</v>
      </c>
    </row>
    <row r="39" spans="1:21" ht="20.100000000000001" hidden="1" customHeight="1">
      <c r="A39" s="311">
        <v>8</v>
      </c>
      <c r="B39" s="317" t="s">
        <v>671</v>
      </c>
      <c r="C39" s="313">
        <f>ESTIMATE!I291</f>
        <v>0</v>
      </c>
      <c r="D39" s="313">
        <f>ESTIMATE!I714</f>
        <v>0</v>
      </c>
      <c r="E39" s="313">
        <f>ESTIMATE!I1100</f>
        <v>0</v>
      </c>
      <c r="F39" s="313">
        <f t="shared" si="0"/>
        <v>0</v>
      </c>
      <c r="G39" s="313" t="s">
        <v>412</v>
      </c>
      <c r="H39" s="314">
        <v>0</v>
      </c>
      <c r="I39" s="314">
        <v>0</v>
      </c>
      <c r="J39" s="314">
        <v>0</v>
      </c>
      <c r="K39" s="311">
        <v>0</v>
      </c>
      <c r="L39" s="314">
        <v>0</v>
      </c>
      <c r="M39" s="109">
        <f>ROUND(F39*0.012,2)</f>
        <v>0</v>
      </c>
      <c r="N39" s="314">
        <v>0</v>
      </c>
      <c r="O39" s="314">
        <v>0</v>
      </c>
      <c r="P39" s="314">
        <v>0</v>
      </c>
      <c r="Q39" s="314">
        <v>0</v>
      </c>
      <c r="R39" s="314">
        <v>0</v>
      </c>
      <c r="S39" s="316">
        <f t="shared" si="1"/>
        <v>0</v>
      </c>
      <c r="T39" s="318">
        <v>9.06</v>
      </c>
      <c r="U39" s="109" t="s">
        <v>4</v>
      </c>
    </row>
    <row r="40" spans="1:21" ht="20.100000000000001" hidden="1" customHeight="1">
      <c r="A40" s="311">
        <v>37</v>
      </c>
      <c r="B40" s="317" t="s">
        <v>672</v>
      </c>
      <c r="C40" s="313">
        <f>ESTIMATE!I311</f>
        <v>0</v>
      </c>
      <c r="D40" s="313">
        <f>ESTIMATE!I729</f>
        <v>0</v>
      </c>
      <c r="E40" s="313">
        <f>ESTIMATE!I1115</f>
        <v>0</v>
      </c>
      <c r="F40" s="313">
        <f t="shared" si="0"/>
        <v>0</v>
      </c>
      <c r="G40" s="313" t="s">
        <v>412</v>
      </c>
      <c r="H40" s="314">
        <v>0</v>
      </c>
      <c r="I40" s="314">
        <v>0</v>
      </c>
      <c r="J40" s="314">
        <v>0</v>
      </c>
      <c r="K40" s="311">
        <v>0</v>
      </c>
      <c r="L40" s="314">
        <v>0</v>
      </c>
      <c r="M40" s="109">
        <f>ROUND(F40*0.014,2)</f>
        <v>0</v>
      </c>
      <c r="N40" s="314">
        <v>0</v>
      </c>
      <c r="O40" s="314">
        <v>0</v>
      </c>
      <c r="P40" s="314">
        <v>0</v>
      </c>
      <c r="Q40" s="314">
        <v>0</v>
      </c>
      <c r="R40" s="314">
        <v>0</v>
      </c>
      <c r="S40" s="316">
        <f t="shared" si="1"/>
        <v>0</v>
      </c>
      <c r="T40" s="313">
        <v>7.5</v>
      </c>
      <c r="U40" s="109" t="s">
        <v>4</v>
      </c>
    </row>
    <row r="41" spans="1:21" ht="20.100000000000001" hidden="1" customHeight="1">
      <c r="A41" s="311">
        <v>38</v>
      </c>
      <c r="B41" s="317" t="s">
        <v>673</v>
      </c>
      <c r="C41" s="313">
        <f>ESTIMATE!I321</f>
        <v>0</v>
      </c>
      <c r="D41" s="313">
        <f>ESTIMATE!I739</f>
        <v>0</v>
      </c>
      <c r="E41" s="313">
        <f>ESTIMATE!I1125</f>
        <v>0</v>
      </c>
      <c r="F41" s="313">
        <f t="shared" si="0"/>
        <v>0</v>
      </c>
      <c r="G41" s="313" t="s">
        <v>412</v>
      </c>
      <c r="H41" s="314">
        <v>0</v>
      </c>
      <c r="I41" s="314">
        <v>0</v>
      </c>
      <c r="J41" s="314">
        <v>0</v>
      </c>
      <c r="K41" s="311">
        <v>0</v>
      </c>
      <c r="L41" s="314">
        <v>0</v>
      </c>
      <c r="M41" s="109">
        <f>ROUND(F41*0.012,2)</f>
        <v>0</v>
      </c>
      <c r="N41" s="314">
        <v>0</v>
      </c>
      <c r="O41" s="314">
        <v>0</v>
      </c>
      <c r="P41" s="314">
        <v>0</v>
      </c>
      <c r="Q41" s="314">
        <v>0</v>
      </c>
      <c r="R41" s="314">
        <v>0</v>
      </c>
      <c r="S41" s="316">
        <f t="shared" si="1"/>
        <v>0</v>
      </c>
      <c r="T41" s="318">
        <v>6.7560000000000002</v>
      </c>
      <c r="U41" s="109" t="s">
        <v>4</v>
      </c>
    </row>
    <row r="42" spans="1:21" ht="20.100000000000001" customHeight="1">
      <c r="A42" s="311">
        <v>20</v>
      </c>
      <c r="B42" s="317" t="s">
        <v>243</v>
      </c>
      <c r="C42" s="313">
        <f>ESTIMATE!I328</f>
        <v>9.93</v>
      </c>
      <c r="D42" s="313">
        <f>ESTIMATE!I744</f>
        <v>0</v>
      </c>
      <c r="E42" s="313">
        <f>ESTIMATE!I1139</f>
        <v>0</v>
      </c>
      <c r="F42" s="313">
        <f t="shared" si="0"/>
        <v>9.93</v>
      </c>
      <c r="G42" s="313" t="s">
        <v>412</v>
      </c>
      <c r="H42" s="314">
        <v>0</v>
      </c>
      <c r="I42" s="314">
        <v>0</v>
      </c>
      <c r="J42" s="314">
        <v>0</v>
      </c>
      <c r="K42" s="311">
        <v>0</v>
      </c>
      <c r="L42" s="314">
        <v>0</v>
      </c>
      <c r="M42" s="109">
        <f>ROUND(F42*0.012,2)</f>
        <v>0.12</v>
      </c>
      <c r="N42" s="314">
        <v>0</v>
      </c>
      <c r="O42" s="314">
        <v>0</v>
      </c>
      <c r="P42" s="314">
        <v>0</v>
      </c>
      <c r="Q42" s="314">
        <v>0</v>
      </c>
      <c r="R42" s="314">
        <v>0</v>
      </c>
      <c r="S42" s="316">
        <f t="shared" si="1"/>
        <v>1.08</v>
      </c>
      <c r="T42" s="313">
        <v>5.46</v>
      </c>
      <c r="U42" s="109" t="s">
        <v>4</v>
      </c>
    </row>
    <row r="43" spans="1:21" ht="20.100000000000001" hidden="1" customHeight="1">
      <c r="A43" s="311">
        <v>21</v>
      </c>
      <c r="B43" s="317" t="s">
        <v>244</v>
      </c>
      <c r="C43" s="313">
        <f>ESTIMATE!I335</f>
        <v>0</v>
      </c>
      <c r="D43" s="313">
        <f>ESTIMATE!I750</f>
        <v>0</v>
      </c>
      <c r="E43" s="313">
        <f>ESTIMATE!I1145</f>
        <v>0</v>
      </c>
      <c r="F43" s="313">
        <f t="shared" si="0"/>
        <v>0</v>
      </c>
      <c r="G43" s="313" t="s">
        <v>412</v>
      </c>
      <c r="H43" s="314">
        <v>0</v>
      </c>
      <c r="I43" s="314">
        <v>0</v>
      </c>
      <c r="J43" s="314">
        <v>0</v>
      </c>
      <c r="K43" s="311">
        <v>0</v>
      </c>
      <c r="L43" s="314">
        <v>0</v>
      </c>
      <c r="M43" s="109">
        <f>ROUND(F43*0.012,2)</f>
        <v>0</v>
      </c>
      <c r="N43" s="314">
        <v>0</v>
      </c>
      <c r="O43" s="314">
        <v>0</v>
      </c>
      <c r="P43" s="314">
        <v>0</v>
      </c>
      <c r="Q43" s="314">
        <v>0</v>
      </c>
      <c r="R43" s="314">
        <v>0</v>
      </c>
      <c r="S43" s="316">
        <f t="shared" si="1"/>
        <v>0</v>
      </c>
      <c r="T43" s="313">
        <v>9.06</v>
      </c>
      <c r="U43" s="109" t="s">
        <v>4</v>
      </c>
    </row>
    <row r="44" spans="1:21" ht="20.100000000000001" hidden="1" customHeight="1">
      <c r="A44" s="311">
        <v>3</v>
      </c>
      <c r="B44" s="317" t="s">
        <v>990</v>
      </c>
      <c r="C44" s="313">
        <f>ESTIMATE!I340</f>
        <v>0</v>
      </c>
      <c r="D44" s="313">
        <f>ESTIMATE!I758</f>
        <v>0</v>
      </c>
      <c r="E44" s="313">
        <f>ESTIMATE!I1153</f>
        <v>0</v>
      </c>
      <c r="F44" s="313">
        <f t="shared" ref="F44" si="17">SUM(C44:E44)</f>
        <v>0</v>
      </c>
      <c r="G44" s="313" t="s">
        <v>412</v>
      </c>
      <c r="H44" s="314">
        <v>0</v>
      </c>
      <c r="I44" s="314">
        <v>0</v>
      </c>
      <c r="J44" s="314">
        <v>0</v>
      </c>
      <c r="K44" s="311">
        <v>0</v>
      </c>
      <c r="L44" s="314">
        <v>0</v>
      </c>
      <c r="M44" s="109">
        <f>ROUND(F44*0.008*1,2)</f>
        <v>0</v>
      </c>
      <c r="N44" s="314">
        <v>0</v>
      </c>
      <c r="O44" s="314">
        <v>0</v>
      </c>
      <c r="P44" s="314">
        <v>0</v>
      </c>
      <c r="Q44" s="314">
        <v>0</v>
      </c>
      <c r="R44" s="314">
        <v>0</v>
      </c>
      <c r="S44" s="316">
        <f t="shared" ref="S44" si="18">ROUND(F44*T44/50,2)</f>
        <v>0</v>
      </c>
      <c r="T44" s="313">
        <v>2.76</v>
      </c>
      <c r="U44" s="109" t="s">
        <v>4</v>
      </c>
    </row>
    <row r="45" spans="1:21" ht="18" customHeight="1">
      <c r="A45" s="311"/>
      <c r="B45" s="317"/>
      <c r="C45" s="317"/>
      <c r="D45" s="317"/>
      <c r="E45" s="317"/>
      <c r="F45" s="313"/>
      <c r="G45" s="313"/>
      <c r="H45" s="109"/>
      <c r="I45" s="109"/>
      <c r="J45" s="109"/>
      <c r="K45" s="109"/>
      <c r="L45" s="109"/>
      <c r="M45" s="109"/>
      <c r="N45" s="314"/>
      <c r="O45" s="109"/>
      <c r="P45" s="109"/>
      <c r="Q45" s="314"/>
      <c r="R45" s="109"/>
      <c r="S45" s="109"/>
      <c r="T45" s="313"/>
      <c r="U45" s="109"/>
    </row>
    <row r="46" spans="1:21" ht="25.5">
      <c r="A46" s="209"/>
      <c r="B46" s="209"/>
      <c r="C46" s="209"/>
      <c r="D46" s="209"/>
      <c r="E46" s="209"/>
      <c r="F46" s="208" t="s">
        <v>103</v>
      </c>
      <c r="G46" s="209"/>
      <c r="H46" s="212">
        <f t="shared" ref="H46:S46" si="19">SUM(H4:H45)</f>
        <v>9.73</v>
      </c>
      <c r="I46" s="212">
        <f t="shared" si="19"/>
        <v>24.93</v>
      </c>
      <c r="J46" s="212">
        <f t="shared" si="19"/>
        <v>0</v>
      </c>
      <c r="K46" s="212">
        <f t="shared" si="19"/>
        <v>16.489999999999998</v>
      </c>
      <c r="L46" s="212">
        <f t="shared" si="19"/>
        <v>17.32</v>
      </c>
      <c r="M46" s="212">
        <f t="shared" si="19"/>
        <v>10.199999999999999</v>
      </c>
      <c r="N46" s="212">
        <f t="shared" si="19"/>
        <v>7.48</v>
      </c>
      <c r="O46" s="212">
        <f t="shared" si="19"/>
        <v>0</v>
      </c>
      <c r="P46" s="212">
        <f t="shared" si="19"/>
        <v>45.04</v>
      </c>
      <c r="Q46" s="212">
        <f t="shared" si="19"/>
        <v>10.81</v>
      </c>
      <c r="R46" s="212">
        <f t="shared" si="19"/>
        <v>0</v>
      </c>
      <c r="S46" s="212">
        <f t="shared" si="19"/>
        <v>311.88</v>
      </c>
      <c r="T46" s="319" t="s">
        <v>140</v>
      </c>
      <c r="U46" s="209"/>
    </row>
    <row r="47" spans="1:21" ht="27.75">
      <c r="A47" s="209"/>
      <c r="B47" s="209"/>
      <c r="C47" s="209"/>
      <c r="D47" s="209"/>
      <c r="E47" s="209"/>
      <c r="F47" s="208" t="s">
        <v>413</v>
      </c>
      <c r="G47" s="209"/>
      <c r="H47" s="320">
        <v>90</v>
      </c>
      <c r="I47" s="320">
        <v>90</v>
      </c>
      <c r="J47" s="320">
        <v>157.5</v>
      </c>
      <c r="K47" s="320">
        <v>90</v>
      </c>
      <c r="L47" s="320">
        <v>0</v>
      </c>
      <c r="M47" s="320">
        <v>0</v>
      </c>
      <c r="N47" s="320">
        <v>0</v>
      </c>
      <c r="O47" s="320">
        <v>0</v>
      </c>
      <c r="P47" s="320">
        <v>45</v>
      </c>
      <c r="Q47" s="320">
        <v>80</v>
      </c>
      <c r="R47" s="320">
        <v>45</v>
      </c>
      <c r="S47" s="321">
        <f>ROUND((S46*50)/1000,2)</f>
        <v>15.59</v>
      </c>
      <c r="T47" s="319" t="s">
        <v>29</v>
      </c>
      <c r="U47" s="209"/>
    </row>
    <row r="48" spans="1:21" ht="20.100000000000001" customHeight="1">
      <c r="A48" s="209"/>
      <c r="B48" s="209"/>
      <c r="C48" s="209"/>
      <c r="D48" s="209"/>
      <c r="E48" s="209"/>
      <c r="F48" s="209"/>
      <c r="G48" s="208" t="s">
        <v>104</v>
      </c>
      <c r="H48" s="211">
        <f t="shared" ref="H48:P48" si="20">ROUND(H46*H47,0)</f>
        <v>876</v>
      </c>
      <c r="I48" s="211">
        <f t="shared" si="20"/>
        <v>2244</v>
      </c>
      <c r="J48" s="211">
        <f t="shared" si="20"/>
        <v>0</v>
      </c>
      <c r="K48" s="211">
        <f t="shared" si="20"/>
        <v>1484</v>
      </c>
      <c r="L48" s="211">
        <v>0</v>
      </c>
      <c r="M48" s="211">
        <v>0</v>
      </c>
      <c r="N48" s="211">
        <v>0</v>
      </c>
      <c r="O48" s="211">
        <f t="shared" si="20"/>
        <v>0</v>
      </c>
      <c r="P48" s="211">
        <f t="shared" si="20"/>
        <v>2027</v>
      </c>
      <c r="Q48" s="211">
        <f>ROUND(Q46*Q47/1,0)</f>
        <v>865</v>
      </c>
      <c r="R48" s="211">
        <f t="shared" ref="R48" si="21">ROUND(R46*R47,0)</f>
        <v>0</v>
      </c>
      <c r="S48" s="321"/>
      <c r="T48" s="319"/>
      <c r="U48" s="209"/>
    </row>
    <row r="49" spans="1:21">
      <c r="A49" s="209"/>
      <c r="B49" s="209"/>
      <c r="C49" s="209"/>
      <c r="D49" s="209"/>
      <c r="E49" s="209"/>
      <c r="F49" s="319" t="s">
        <v>138</v>
      </c>
      <c r="G49" s="322" t="s">
        <v>104</v>
      </c>
      <c r="H49" s="323">
        <f>SUM(H48:R48)</f>
        <v>7496</v>
      </c>
      <c r="I49" s="323"/>
      <c r="J49" s="323"/>
      <c r="K49" s="323"/>
      <c r="L49" s="209"/>
      <c r="M49" s="209"/>
      <c r="N49" s="209"/>
      <c r="O49" s="209"/>
      <c r="P49" s="209"/>
      <c r="Q49" s="209"/>
      <c r="R49" s="209"/>
      <c r="S49" s="324"/>
      <c r="T49" s="325"/>
      <c r="U49" s="209"/>
    </row>
    <row r="50" spans="1:21">
      <c r="A50" s="209"/>
      <c r="B50" s="209" t="s">
        <v>2336</v>
      </c>
      <c r="C50" s="209"/>
      <c r="D50" s="209"/>
      <c r="E50" s="209"/>
      <c r="F50" s="319"/>
      <c r="G50" s="322" t="s">
        <v>104</v>
      </c>
      <c r="H50" s="939">
        <f>H49</f>
        <v>7496</v>
      </c>
      <c r="I50" s="323"/>
      <c r="J50" s="323"/>
      <c r="K50" s="209"/>
      <c r="L50" s="209"/>
      <c r="M50" s="209"/>
      <c r="N50" s="209"/>
      <c r="O50" s="209"/>
      <c r="P50" s="209"/>
      <c r="Q50" s="324"/>
      <c r="R50" s="325"/>
      <c r="S50" s="209"/>
      <c r="T50" s="325"/>
      <c r="U50" s="209"/>
    </row>
    <row r="51" spans="1:21">
      <c r="A51" s="209"/>
      <c r="B51" s="209" t="s">
        <v>2337</v>
      </c>
      <c r="C51" s="209"/>
      <c r="D51" s="209"/>
      <c r="E51" s="209"/>
      <c r="F51" s="319"/>
      <c r="G51" s="322" t="s">
        <v>104</v>
      </c>
      <c r="H51" s="939">
        <f>ROUND(H49*30%,0)</f>
        <v>2249</v>
      </c>
      <c r="I51" s="323"/>
      <c r="J51" s="323"/>
      <c r="K51" s="209"/>
      <c r="L51" s="209"/>
      <c r="M51" s="209"/>
      <c r="N51" s="209"/>
      <c r="O51" s="209"/>
      <c r="P51" s="209"/>
      <c r="Q51" s="324"/>
      <c r="R51" s="325"/>
      <c r="S51" s="209"/>
      <c r="T51" s="325"/>
      <c r="U51" s="209"/>
    </row>
    <row r="52" spans="1:21">
      <c r="A52" s="209"/>
      <c r="B52" s="209" t="s">
        <v>2338</v>
      </c>
      <c r="C52" s="209"/>
      <c r="D52" s="209"/>
      <c r="E52" s="209"/>
      <c r="F52" s="319"/>
      <c r="G52" s="322" t="s">
        <v>104</v>
      </c>
      <c r="H52" s="939">
        <f>ROUND(H49*2%,0)</f>
        <v>150</v>
      </c>
      <c r="I52" s="323"/>
      <c r="J52" s="323"/>
      <c r="K52" s="209"/>
      <c r="L52" s="209"/>
      <c r="M52" s="209"/>
      <c r="N52" s="209"/>
      <c r="O52" s="209"/>
      <c r="P52" s="209"/>
      <c r="Q52" s="324"/>
      <c r="R52" s="325"/>
      <c r="S52" s="209"/>
      <c r="T52" s="325"/>
      <c r="U52" s="209"/>
    </row>
    <row r="53" spans="1:21">
      <c r="A53" s="209"/>
      <c r="B53" s="209"/>
      <c r="C53" s="209"/>
      <c r="D53" s="209"/>
      <c r="E53" s="209" t="s">
        <v>2339</v>
      </c>
      <c r="F53" s="319" t="s">
        <v>138</v>
      </c>
      <c r="G53" s="322" t="s">
        <v>104</v>
      </c>
      <c r="H53" s="940">
        <f>SUM(H49:H52)</f>
        <v>17391</v>
      </c>
      <c r="I53" s="323"/>
      <c r="J53" s="323"/>
      <c r="K53" s="209"/>
      <c r="L53" s="209"/>
      <c r="M53" s="209"/>
      <c r="N53" s="209"/>
      <c r="O53" s="209"/>
      <c r="P53" s="209"/>
      <c r="Q53" s="324"/>
      <c r="R53" s="325"/>
      <c r="S53" s="209"/>
      <c r="T53" s="325"/>
      <c r="U53" s="209"/>
    </row>
    <row r="54" spans="1:21">
      <c r="F54" s="213"/>
      <c r="G54" s="935"/>
      <c r="H54" s="936"/>
      <c r="I54" s="936"/>
      <c r="J54" s="936"/>
      <c r="K54" s="936"/>
      <c r="S54" s="937"/>
      <c r="T54" s="938"/>
    </row>
    <row r="55" spans="1:21">
      <c r="F55" s="213"/>
      <c r="G55" s="935"/>
      <c r="H55" s="936"/>
      <c r="I55" s="936"/>
      <c r="J55" s="936"/>
      <c r="K55" s="936"/>
      <c r="S55" s="937"/>
      <c r="T55" s="938"/>
    </row>
    <row r="58" spans="1:21">
      <c r="N58" s="213"/>
      <c r="O58" s="213"/>
      <c r="P58" s="213"/>
      <c r="Q58" s="213"/>
      <c r="R58" s="213"/>
      <c r="S58" s="213"/>
      <c r="T58" s="213"/>
      <c r="U58" s="213"/>
    </row>
    <row r="59" spans="1:21">
      <c r="M59" s="191" t="str">
        <f>'lead 25-26'!$H$32</f>
        <v>Deputy Executive Engineer</v>
      </c>
      <c r="R59" s="191" t="str">
        <f>'lead 25-26'!$K$32</f>
        <v>Assistant  Engineer</v>
      </c>
    </row>
    <row r="60" spans="1:21">
      <c r="M60" s="191" t="str">
        <f>'lead 25-26'!$H$33</f>
        <v>PRI Sub Division</v>
      </c>
      <c r="N60" s="213"/>
      <c r="O60" s="213"/>
      <c r="P60" s="213"/>
      <c r="Q60" s="213"/>
      <c r="R60" s="191" t="str">
        <f>'lead 25-26'!$K$33</f>
        <v>Mandal Praja parishad</v>
      </c>
      <c r="S60" s="213"/>
      <c r="T60" s="213"/>
      <c r="U60" s="213"/>
    </row>
    <row r="61" spans="1:21">
      <c r="M61" s="191" t="str">
        <f>'lead 25-26'!$H$34</f>
        <v>Kanigiri</v>
      </c>
      <c r="N61" s="213"/>
      <c r="O61" s="213"/>
      <c r="P61" s="213"/>
      <c r="Q61" s="213"/>
      <c r="R61" s="191" t="str">
        <f>'lead 25-26'!$K$34</f>
        <v>Kanigiri</v>
      </c>
      <c r="S61" s="213"/>
      <c r="T61" s="213"/>
      <c r="U61" s="213"/>
    </row>
    <row r="499" spans="16:16">
      <c r="P499" s="204" t="s">
        <v>0</v>
      </c>
    </row>
  </sheetData>
  <autoFilter ref="A3:U44" xr:uid="{00000000-0009-0000-0000-000004000000}">
    <filterColumn colId="5" showButton="0">
      <customFilters>
        <customFilter operator="notEqual" val=" "/>
      </customFilters>
    </filterColumn>
  </autoFilter>
  <mergeCells count="3">
    <mergeCell ref="A1:U1"/>
    <mergeCell ref="F3:G3"/>
    <mergeCell ref="A2:U2"/>
  </mergeCells>
  <printOptions horizontalCentered="1"/>
  <pageMargins left="0.51181102362204722" right="0.19685039370078741" top="0.23622047244094491" bottom="0.23622047244094491" header="0.23622047244094491" footer="0.15748031496062992"/>
  <pageSetup paperSize="9" scale="73" orientation="landscape" verticalDpi="0"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tabColor rgb="FF00B050"/>
  </sheetPr>
  <dimension ref="A1:O36"/>
  <sheetViews>
    <sheetView view="pageBreakPreview" topLeftCell="A4" zoomScale="115" zoomScaleNormal="130" zoomScaleSheetLayoutView="115" workbookViewId="0">
      <selection activeCell="F22" sqref="F22"/>
    </sheetView>
  </sheetViews>
  <sheetFormatPr defaultRowHeight="12.75"/>
  <cols>
    <col min="1" max="1" width="5.7109375" style="229" customWidth="1"/>
    <col min="2" max="2" width="31.5703125" style="221" customWidth="1"/>
    <col min="3" max="3" width="5.7109375" style="229" customWidth="1"/>
    <col min="4" max="4" width="14.140625" style="229" customWidth="1"/>
    <col min="5" max="5" width="6.7109375" style="221" bestFit="1" customWidth="1"/>
    <col min="6" max="6" width="6.5703125" style="221" customWidth="1"/>
    <col min="7" max="7" width="8.140625" style="221" customWidth="1"/>
    <col min="8" max="8" width="7.5703125" style="221" customWidth="1"/>
    <col min="9" max="9" width="8.140625" style="221" customWidth="1"/>
    <col min="10" max="10" width="8.28515625" style="221" customWidth="1"/>
    <col min="11" max="11" width="8.42578125" style="221" customWidth="1"/>
    <col min="12" max="12" width="8.7109375" style="221" customWidth="1"/>
    <col min="13" max="17" width="9.140625" style="221" customWidth="1"/>
    <col min="18" max="16384" width="9.140625" style="221"/>
  </cols>
  <sheetData>
    <row r="1" spans="1:15" s="196" customFormat="1" ht="20.100000000000001" customHeight="1">
      <c r="A1" s="990" t="s">
        <v>2348</v>
      </c>
      <c r="B1" s="991"/>
      <c r="C1" s="991"/>
      <c r="D1" s="991"/>
      <c r="E1" s="991"/>
      <c r="F1" s="991"/>
      <c r="G1" s="991"/>
      <c r="H1" s="991"/>
      <c r="I1" s="991"/>
      <c r="J1" s="991"/>
      <c r="K1" s="991"/>
      <c r="L1" s="991"/>
    </row>
    <row r="2" spans="1:15" s="196" customFormat="1" ht="27.75" customHeight="1">
      <c r="A2" s="197"/>
      <c r="B2" s="198" t="s">
        <v>794</v>
      </c>
      <c r="C2" s="994" t="s">
        <v>2298</v>
      </c>
      <c r="D2" s="994"/>
      <c r="E2" s="994"/>
      <c r="F2" s="994"/>
      <c r="G2" s="994"/>
      <c r="H2" s="994"/>
      <c r="I2" s="994"/>
      <c r="J2" s="994"/>
      <c r="K2" s="994"/>
      <c r="L2" s="994"/>
    </row>
    <row r="3" spans="1:15" s="196" customFormat="1" ht="20.100000000000001" customHeight="1">
      <c r="A3" s="199"/>
      <c r="B3" s="200"/>
      <c r="C3" s="201"/>
      <c r="D3" s="199"/>
      <c r="E3" s="202"/>
      <c r="F3" s="202"/>
      <c r="G3" s="202"/>
      <c r="H3" s="202"/>
      <c r="I3" s="202"/>
      <c r="J3" s="200"/>
      <c r="K3" s="200"/>
      <c r="L3" s="202"/>
      <c r="M3" s="196" t="s">
        <v>795</v>
      </c>
      <c r="N3" s="216">
        <v>75</v>
      </c>
    </row>
    <row r="4" spans="1:15" ht="15" customHeight="1">
      <c r="A4" s="217"/>
      <c r="B4" s="230"/>
      <c r="C4" s="309"/>
      <c r="D4" s="217"/>
      <c r="E4" s="218"/>
      <c r="F4" s="217"/>
      <c r="G4" s="218"/>
      <c r="H4" s="218"/>
      <c r="I4" s="218"/>
      <c r="J4" s="219" t="s">
        <v>796</v>
      </c>
      <c r="K4" s="220" t="s">
        <v>2277</v>
      </c>
      <c r="L4" s="217"/>
      <c r="M4" s="221" t="s">
        <v>137</v>
      </c>
      <c r="N4" s="216">
        <v>54</v>
      </c>
    </row>
    <row r="5" spans="1:15" s="222" customFormat="1" ht="31.5" customHeight="1">
      <c r="A5" s="992" t="s">
        <v>797</v>
      </c>
      <c r="B5" s="992" t="s">
        <v>316</v>
      </c>
      <c r="C5" s="992" t="s">
        <v>798</v>
      </c>
      <c r="D5" s="992" t="s">
        <v>799</v>
      </c>
      <c r="E5" s="992" t="s">
        <v>247</v>
      </c>
      <c r="F5" s="992" t="s">
        <v>800</v>
      </c>
      <c r="G5" s="992" t="s">
        <v>801</v>
      </c>
      <c r="H5" s="992" t="s">
        <v>17</v>
      </c>
      <c r="I5" s="992" t="s">
        <v>802</v>
      </c>
      <c r="J5" s="992" t="s">
        <v>1119</v>
      </c>
      <c r="K5" s="993" t="s">
        <v>1121</v>
      </c>
      <c r="L5" s="993" t="s">
        <v>115</v>
      </c>
      <c r="M5" s="222" t="s">
        <v>803</v>
      </c>
      <c r="N5" s="216">
        <v>40</v>
      </c>
    </row>
    <row r="6" spans="1:15" s="222" customFormat="1" ht="18" customHeight="1">
      <c r="A6" s="992"/>
      <c r="B6" s="992"/>
      <c r="C6" s="992"/>
      <c r="D6" s="992"/>
      <c r="E6" s="992"/>
      <c r="F6" s="992"/>
      <c r="G6" s="992"/>
      <c r="H6" s="992"/>
      <c r="I6" s="992"/>
      <c r="J6" s="992"/>
      <c r="K6" s="993"/>
      <c r="L6" s="993"/>
      <c r="M6" s="222" t="s">
        <v>1289</v>
      </c>
      <c r="N6" s="222">
        <v>76</v>
      </c>
      <c r="O6" s="223"/>
    </row>
    <row r="7" spans="1:15" s="224" customFormat="1" ht="15" customHeight="1">
      <c r="A7" s="231">
        <v>1</v>
      </c>
      <c r="B7" s="231">
        <v>2</v>
      </c>
      <c r="C7" s="231">
        <v>3</v>
      </c>
      <c r="D7" s="231">
        <v>4</v>
      </c>
      <c r="E7" s="231">
        <v>5</v>
      </c>
      <c r="F7" s="231">
        <v>6</v>
      </c>
      <c r="G7" s="231">
        <v>7</v>
      </c>
      <c r="H7" s="231">
        <v>8</v>
      </c>
      <c r="I7" s="231">
        <v>9</v>
      </c>
      <c r="J7" s="231">
        <v>10</v>
      </c>
      <c r="K7" s="231">
        <v>11</v>
      </c>
      <c r="L7" s="231">
        <v>13</v>
      </c>
    </row>
    <row r="8" spans="1:15" s="225" customFormat="1">
      <c r="A8" s="232">
        <v>1</v>
      </c>
      <c r="B8" s="233" t="s">
        <v>804</v>
      </c>
      <c r="C8" s="234" t="s">
        <v>29</v>
      </c>
      <c r="D8" s="235" t="s">
        <v>3</v>
      </c>
      <c r="E8" s="236" t="s">
        <v>15</v>
      </c>
      <c r="F8" s="236">
        <v>0</v>
      </c>
      <c r="G8" s="236">
        <v>4218.8</v>
      </c>
      <c r="H8" s="236"/>
      <c r="I8" s="236"/>
      <c r="J8" s="236"/>
      <c r="K8" s="236"/>
      <c r="L8" s="296">
        <f t="shared" ref="L8:L26" si="0">SUM(F8:K8)</f>
        <v>4218.8</v>
      </c>
    </row>
    <row r="9" spans="1:15" s="225" customFormat="1" hidden="1">
      <c r="A9" s="232">
        <v>2</v>
      </c>
      <c r="B9" s="233" t="s">
        <v>1456</v>
      </c>
      <c r="C9" s="234" t="s">
        <v>29</v>
      </c>
      <c r="D9" s="235" t="s">
        <v>3</v>
      </c>
      <c r="E9" s="236" t="s">
        <v>15</v>
      </c>
      <c r="F9" s="236">
        <v>0</v>
      </c>
      <c r="G9" s="236">
        <f>'MINI SSR 2025-26'!C5</f>
        <v>60000</v>
      </c>
      <c r="H9" s="236"/>
      <c r="I9" s="236"/>
      <c r="J9" s="236"/>
      <c r="K9" s="236"/>
      <c r="L9" s="296">
        <f t="shared" si="0"/>
        <v>60000</v>
      </c>
    </row>
    <row r="10" spans="1:15" s="225" customFormat="1">
      <c r="A10" s="232">
        <v>2</v>
      </c>
      <c r="B10" s="233" t="s">
        <v>1477</v>
      </c>
      <c r="C10" s="234" t="s">
        <v>29</v>
      </c>
      <c r="D10" s="235" t="s">
        <v>3</v>
      </c>
      <c r="E10" s="236" t="s">
        <v>15</v>
      </c>
      <c r="F10" s="236">
        <v>0</v>
      </c>
      <c r="G10" s="236">
        <v>58000</v>
      </c>
      <c r="H10" s="236"/>
      <c r="I10" s="236"/>
      <c r="J10" s="236"/>
      <c r="K10" s="236"/>
      <c r="L10" s="296">
        <f t="shared" ref="L10" si="1">SUM(F10:K10)</f>
        <v>58000</v>
      </c>
    </row>
    <row r="11" spans="1:15" s="225" customFormat="1" hidden="1">
      <c r="A11" s="232">
        <v>3</v>
      </c>
      <c r="B11" s="237" t="s">
        <v>805</v>
      </c>
      <c r="C11" s="234" t="s">
        <v>29</v>
      </c>
      <c r="D11" s="235" t="s">
        <v>3</v>
      </c>
      <c r="E11" s="236"/>
      <c r="F11" s="236"/>
      <c r="G11" s="236">
        <f>'MINI SSR 2025-26'!C7</f>
        <v>61000</v>
      </c>
      <c r="H11" s="236"/>
      <c r="I11" s="236"/>
      <c r="J11" s="236"/>
      <c r="K11" s="236"/>
      <c r="L11" s="296">
        <f t="shared" si="0"/>
        <v>61000</v>
      </c>
    </row>
    <row r="12" spans="1:15" s="225" customFormat="1" hidden="1">
      <c r="A12" s="232">
        <v>5</v>
      </c>
      <c r="B12" s="237" t="s">
        <v>806</v>
      </c>
      <c r="C12" s="234" t="s">
        <v>29</v>
      </c>
      <c r="D12" s="235" t="s">
        <v>3</v>
      </c>
      <c r="E12" s="236"/>
      <c r="F12" s="236"/>
      <c r="G12" s="236">
        <f>'MINI SSR 2025-26'!C8</f>
        <v>57000</v>
      </c>
      <c r="H12" s="236"/>
      <c r="I12" s="236"/>
      <c r="J12" s="236"/>
      <c r="K12" s="236"/>
      <c r="L12" s="296">
        <f t="shared" si="0"/>
        <v>57000</v>
      </c>
    </row>
    <row r="13" spans="1:15" s="225" customFormat="1">
      <c r="A13" s="232">
        <v>3</v>
      </c>
      <c r="B13" s="237" t="s">
        <v>807</v>
      </c>
      <c r="C13" s="234" t="s">
        <v>5</v>
      </c>
      <c r="D13" s="238" t="s">
        <v>2268</v>
      </c>
      <c r="E13" s="239">
        <f>N3</f>
        <v>75</v>
      </c>
      <c r="F13" s="239">
        <f>VLOOKUP(E13,'convey 25-26'!A6:F305,2,FALSE)</f>
        <v>1068.3999999999996</v>
      </c>
      <c r="G13" s="236">
        <f>'MINI SSR 2025-26'!C9</f>
        <v>128</v>
      </c>
      <c r="H13" s="236"/>
      <c r="I13" s="236"/>
      <c r="J13" s="236"/>
      <c r="K13" s="236"/>
      <c r="L13" s="296">
        <f t="shared" si="0"/>
        <v>1196.3999999999996</v>
      </c>
    </row>
    <row r="14" spans="1:15" s="225" customFormat="1">
      <c r="A14" s="232">
        <v>4</v>
      </c>
      <c r="B14" s="237" t="s">
        <v>808</v>
      </c>
      <c r="C14" s="234" t="s">
        <v>5</v>
      </c>
      <c r="D14" s="238" t="str">
        <f>D13</f>
        <v>K.Bitragunta</v>
      </c>
      <c r="E14" s="239">
        <f>E13</f>
        <v>75</v>
      </c>
      <c r="F14" s="239">
        <f>VLOOKUP(E14,'convey 25-26'!A6:F306,2,FALSE)</f>
        <v>1068.3999999999996</v>
      </c>
      <c r="G14" s="236">
        <f>'MINI SSR 2025-26'!C10</f>
        <v>0</v>
      </c>
      <c r="H14" s="236"/>
      <c r="I14" s="236"/>
      <c r="J14" s="236"/>
      <c r="K14" s="236"/>
      <c r="L14" s="296">
        <f t="shared" si="0"/>
        <v>1068.3999999999996</v>
      </c>
    </row>
    <row r="15" spans="1:15" s="225" customFormat="1">
      <c r="A15" s="232">
        <v>5</v>
      </c>
      <c r="B15" s="237" t="s">
        <v>735</v>
      </c>
      <c r="C15" s="234" t="s">
        <v>5</v>
      </c>
      <c r="D15" s="238" t="s">
        <v>3</v>
      </c>
      <c r="E15" s="239">
        <v>5</v>
      </c>
      <c r="F15" s="239">
        <f>VLOOKUP(E15,'convey 25-26'!A6:F307,2,FALSE)</f>
        <v>103</v>
      </c>
      <c r="G15" s="236">
        <f>'MINI SSR 2025-26'!C11</f>
        <v>0</v>
      </c>
      <c r="H15" s="236"/>
      <c r="I15" s="236"/>
      <c r="J15" s="236"/>
      <c r="K15" s="236"/>
      <c r="L15" s="296">
        <f t="shared" si="0"/>
        <v>103</v>
      </c>
    </row>
    <row r="16" spans="1:15" s="225" customFormat="1">
      <c r="A16" s="232">
        <v>6</v>
      </c>
      <c r="B16" s="237" t="s">
        <v>1118</v>
      </c>
      <c r="C16" s="234" t="s">
        <v>809</v>
      </c>
      <c r="D16" s="238" t="s">
        <v>2295</v>
      </c>
      <c r="E16" s="239">
        <f>N5</f>
        <v>40</v>
      </c>
      <c r="F16" s="239">
        <f>VLOOKUP(E16,'convey 25-26'!A6:F308,4,FALSE)</f>
        <v>988.77000000000078</v>
      </c>
      <c r="G16" s="236">
        <f>'MINI SSR 2025-26'!C12</f>
        <v>8548</v>
      </c>
      <c r="H16" s="236"/>
      <c r="I16" s="236"/>
      <c r="J16" s="236">
        <f>'MINI SSR 2025-26'!D12</f>
        <v>80.2</v>
      </c>
      <c r="K16" s="236">
        <f>'MINI SSR 2025-26'!E12</f>
        <v>80.2</v>
      </c>
      <c r="L16" s="296">
        <f t="shared" si="0"/>
        <v>9697.1700000000019</v>
      </c>
    </row>
    <row r="17" spans="1:12" s="225" customFormat="1">
      <c r="A17" s="232">
        <v>7</v>
      </c>
      <c r="B17" s="237" t="s">
        <v>1472</v>
      </c>
      <c r="C17" s="234" t="s">
        <v>5</v>
      </c>
      <c r="D17" s="238" t="s">
        <v>2296</v>
      </c>
      <c r="E17" s="239">
        <f>N4</f>
        <v>54</v>
      </c>
      <c r="F17" s="239">
        <f>VLOOKUP(E17,'convey 25-26'!A6:F309,3,FALSE)</f>
        <v>766.25000000000023</v>
      </c>
      <c r="G17" s="236">
        <f>'MINI SSR 2025-26'!C13</f>
        <v>770</v>
      </c>
      <c r="H17" s="236">
        <v>80</v>
      </c>
      <c r="I17" s="236">
        <f>ROUND(G17*0.25,2)</f>
        <v>192.5</v>
      </c>
      <c r="J17" s="236"/>
      <c r="K17" s="236"/>
      <c r="L17" s="296">
        <f t="shared" si="0"/>
        <v>1808.7500000000002</v>
      </c>
    </row>
    <row r="18" spans="1:12" s="226" customFormat="1">
      <c r="A18" s="232">
        <v>8</v>
      </c>
      <c r="B18" s="237" t="s">
        <v>1473</v>
      </c>
      <c r="C18" s="234" t="s">
        <v>5</v>
      </c>
      <c r="D18" s="238" t="str">
        <f t="shared" ref="D18:D21" si="2">D17</f>
        <v>Ramatherdham</v>
      </c>
      <c r="E18" s="239">
        <f t="shared" ref="E18:E21" si="3">E17</f>
        <v>54</v>
      </c>
      <c r="F18" s="239">
        <f>VLOOKUP(E18,'convey 25-26'!A6:F310,3,FALSE)</f>
        <v>766.25000000000023</v>
      </c>
      <c r="G18" s="236">
        <f>'MINI SSR 2025-26'!C14</f>
        <v>1285</v>
      </c>
      <c r="H18" s="236">
        <v>80</v>
      </c>
      <c r="I18" s="236">
        <f>ROUND(G18*0.25,2)</f>
        <v>321.25</v>
      </c>
      <c r="J18" s="236"/>
      <c r="K18" s="236"/>
      <c r="L18" s="296">
        <f t="shared" si="0"/>
        <v>2452.5</v>
      </c>
    </row>
    <row r="19" spans="1:12" s="226" customFormat="1" hidden="1">
      <c r="A19" s="232">
        <v>12</v>
      </c>
      <c r="B19" s="237" t="s">
        <v>1474</v>
      </c>
      <c r="C19" s="234" t="s">
        <v>5</v>
      </c>
      <c r="D19" s="238" t="str">
        <f t="shared" si="2"/>
        <v>Ramatherdham</v>
      </c>
      <c r="E19" s="239">
        <f t="shared" si="3"/>
        <v>54</v>
      </c>
      <c r="F19" s="239">
        <f>VLOOKUP(E19,'convey 25-26'!A6:F311,3,FALSE)</f>
        <v>766.25000000000023</v>
      </c>
      <c r="G19" s="236">
        <f>'MINI SSR 2025-26'!C15</f>
        <v>1024</v>
      </c>
      <c r="H19" s="236">
        <v>70</v>
      </c>
      <c r="I19" s="236">
        <f>ROUND(G19*0.25,2)</f>
        <v>256</v>
      </c>
      <c r="J19" s="236"/>
      <c r="K19" s="236"/>
      <c r="L19" s="296">
        <f t="shared" si="0"/>
        <v>2116.25</v>
      </c>
    </row>
    <row r="20" spans="1:12" s="226" customFormat="1" hidden="1">
      <c r="A20" s="232">
        <v>13</v>
      </c>
      <c r="B20" s="237" t="s">
        <v>1475</v>
      </c>
      <c r="C20" s="234" t="s">
        <v>5</v>
      </c>
      <c r="D20" s="238" t="str">
        <f t="shared" si="2"/>
        <v>Ramatherdham</v>
      </c>
      <c r="E20" s="239">
        <f t="shared" si="3"/>
        <v>54</v>
      </c>
      <c r="F20" s="239">
        <f>VLOOKUP(E20,'convey 25-26'!A6:F312,3,FALSE)</f>
        <v>766.25000000000023</v>
      </c>
      <c r="G20" s="236">
        <f>'MINI SSR 2025-26'!C16</f>
        <v>860</v>
      </c>
      <c r="H20" s="236">
        <v>70</v>
      </c>
      <c r="I20" s="236">
        <f>ROUND(G20*0.25,2)</f>
        <v>215</v>
      </c>
      <c r="J20" s="236"/>
      <c r="K20" s="236"/>
      <c r="L20" s="296">
        <f t="shared" si="0"/>
        <v>1911.2500000000002</v>
      </c>
    </row>
    <row r="21" spans="1:12" s="226" customFormat="1" hidden="1">
      <c r="A21" s="232">
        <v>14</v>
      </c>
      <c r="B21" s="237" t="s">
        <v>1476</v>
      </c>
      <c r="C21" s="234" t="s">
        <v>5</v>
      </c>
      <c r="D21" s="238" t="str">
        <f t="shared" si="2"/>
        <v>Ramatherdham</v>
      </c>
      <c r="E21" s="239">
        <f t="shared" si="3"/>
        <v>54</v>
      </c>
      <c r="F21" s="239">
        <f>VLOOKUP(E21,'convey 25-26'!A6:F313,3,FALSE)</f>
        <v>766.25000000000023</v>
      </c>
      <c r="G21" s="236">
        <f>'MINI SSR 2025-26'!C17</f>
        <v>684</v>
      </c>
      <c r="H21" s="236">
        <v>70</v>
      </c>
      <c r="I21" s="236">
        <f>ROUND(G21*0.25,2)</f>
        <v>171</v>
      </c>
      <c r="J21" s="236"/>
      <c r="K21" s="236"/>
      <c r="L21" s="296">
        <f t="shared" si="0"/>
        <v>1691.2500000000002</v>
      </c>
    </row>
    <row r="22" spans="1:12" s="226" customFormat="1">
      <c r="A22" s="232">
        <v>9</v>
      </c>
      <c r="B22" s="237" t="s">
        <v>2352</v>
      </c>
      <c r="C22" s="234" t="s">
        <v>5</v>
      </c>
      <c r="D22" s="238" t="s">
        <v>1892</v>
      </c>
      <c r="E22" s="239">
        <v>6</v>
      </c>
      <c r="F22" s="239">
        <f>VLOOKUP(E22,'convey 25-26'!A6:F314,3,FALSE)</f>
        <v>113.69</v>
      </c>
      <c r="G22" s="236">
        <f>'MINI SSR 2025-26'!C18</f>
        <v>322</v>
      </c>
      <c r="H22" s="236">
        <v>80</v>
      </c>
      <c r="I22" s="236"/>
      <c r="J22" s="236"/>
      <c r="K22" s="236"/>
      <c r="L22" s="296">
        <f t="shared" si="0"/>
        <v>515.69000000000005</v>
      </c>
    </row>
    <row r="23" spans="1:12" s="225" customFormat="1" hidden="1">
      <c r="A23" s="232">
        <v>9</v>
      </c>
      <c r="B23" s="240" t="s">
        <v>1120</v>
      </c>
      <c r="C23" s="234" t="s">
        <v>102</v>
      </c>
      <c r="D23" s="238" t="str">
        <f>D21</f>
        <v>Ramatherdham</v>
      </c>
      <c r="E23" s="239">
        <f>E21</f>
        <v>54</v>
      </c>
      <c r="F23" s="239">
        <f>VLOOKUP(E23,'convey 25-26'!A6:F315,5,FALSE)*0.16</f>
        <v>180.27519999999987</v>
      </c>
      <c r="G23" s="236">
        <f>'MINI SSR 2025-26'!C19</f>
        <v>2000</v>
      </c>
      <c r="H23" s="236"/>
      <c r="I23" s="236"/>
      <c r="J23" s="236"/>
      <c r="K23" s="236"/>
      <c r="L23" s="296">
        <f t="shared" si="0"/>
        <v>2180.2752</v>
      </c>
    </row>
    <row r="24" spans="1:12" s="225" customFormat="1" hidden="1">
      <c r="A24" s="232">
        <v>5</v>
      </c>
      <c r="B24" s="237" t="s">
        <v>983</v>
      </c>
      <c r="C24" s="234"/>
      <c r="D24" s="238" t="s">
        <v>984</v>
      </c>
      <c r="E24" s="239">
        <f>N6</f>
        <v>76</v>
      </c>
      <c r="F24" s="239">
        <f>VLOOKUP(E24,'convey 25-26'!A7:F316,5,FALSE)</f>
        <v>1526.4600000000007</v>
      </c>
      <c r="G24" s="236">
        <f>'MINI SSR 2025-26'!C24</f>
        <v>31000</v>
      </c>
      <c r="H24" s="236"/>
      <c r="I24" s="236"/>
      <c r="J24" s="236"/>
      <c r="K24" s="236"/>
      <c r="L24" s="296">
        <f t="shared" si="0"/>
        <v>32526.46</v>
      </c>
    </row>
    <row r="25" spans="1:12" s="225" customFormat="1">
      <c r="A25" s="232">
        <v>10</v>
      </c>
      <c r="B25" s="237" t="s">
        <v>1832</v>
      </c>
      <c r="C25" s="234" t="s">
        <v>5</v>
      </c>
      <c r="D25" s="238" t="s">
        <v>3</v>
      </c>
      <c r="E25" s="239">
        <v>5</v>
      </c>
      <c r="F25" s="239">
        <f>VLOOKUP(E25,'convey 25-26'!A6:F317,2,FALSE)</f>
        <v>103</v>
      </c>
      <c r="G25" s="236">
        <f>'MINI SSR 2025-26'!C25</f>
        <v>145</v>
      </c>
      <c r="H25" s="236"/>
      <c r="I25" s="236"/>
      <c r="J25" s="236"/>
      <c r="K25" s="236"/>
      <c r="L25" s="296">
        <f t="shared" si="0"/>
        <v>248</v>
      </c>
    </row>
    <row r="26" spans="1:12" s="225" customFormat="1" hidden="1">
      <c r="A26" s="232">
        <v>19</v>
      </c>
      <c r="B26" s="237" t="s">
        <v>653</v>
      </c>
      <c r="C26" s="234" t="s">
        <v>5</v>
      </c>
      <c r="D26" s="238" t="s">
        <v>3</v>
      </c>
      <c r="E26" s="239">
        <v>5</v>
      </c>
      <c r="F26" s="239">
        <f>VLOOKUP(E26,'convey 25-26'!A6:F318,2,FALSE)</f>
        <v>103</v>
      </c>
      <c r="G26" s="236">
        <f>'MINI SSR 2025-26'!C26</f>
        <v>169</v>
      </c>
      <c r="H26" s="236"/>
      <c r="I26" s="236"/>
      <c r="J26" s="236"/>
      <c r="K26" s="236"/>
      <c r="L26" s="296">
        <f t="shared" si="0"/>
        <v>272</v>
      </c>
    </row>
    <row r="27" spans="1:12" s="227" customFormat="1">
      <c r="A27" s="232"/>
      <c r="B27" s="241"/>
      <c r="C27" s="232"/>
      <c r="D27" s="241"/>
      <c r="E27" s="241"/>
      <c r="F27" s="241"/>
      <c r="G27" s="241"/>
      <c r="H27" s="241"/>
      <c r="I27" s="241"/>
      <c r="J27" s="241"/>
      <c r="K27" s="241"/>
      <c r="L27" s="297"/>
    </row>
    <row r="28" spans="1:12" s="227" customFormat="1">
      <c r="A28" s="225"/>
      <c r="C28" s="225"/>
    </row>
    <row r="29" spans="1:12" s="227" customFormat="1">
      <c r="A29" s="225" t="s">
        <v>1247</v>
      </c>
      <c r="B29" s="302" t="s">
        <v>1246</v>
      </c>
      <c r="C29" s="225"/>
    </row>
    <row r="30" spans="1:12" s="227" customFormat="1">
      <c r="A30" s="225" t="s">
        <v>1248</v>
      </c>
      <c r="B30" s="302" t="s">
        <v>2347</v>
      </c>
      <c r="C30" s="225"/>
    </row>
    <row r="31" spans="1:12" s="227" customFormat="1">
      <c r="A31" s="225"/>
      <c r="B31" s="302"/>
      <c r="C31" s="225"/>
    </row>
    <row r="32" spans="1:12" s="10" customFormat="1">
      <c r="B32" s="227"/>
      <c r="C32" s="225"/>
      <c r="D32" s="225"/>
      <c r="E32" s="227"/>
      <c r="F32" s="203"/>
      <c r="H32" s="228" t="s">
        <v>142</v>
      </c>
      <c r="J32" s="203"/>
      <c r="K32" s="228" t="s">
        <v>1348</v>
      </c>
      <c r="L32" s="203"/>
    </row>
    <row r="33" spans="1:12" s="10" customFormat="1">
      <c r="B33" s="227"/>
      <c r="C33" s="225"/>
      <c r="D33" s="225"/>
      <c r="E33" s="227"/>
      <c r="H33" s="228" t="s">
        <v>812</v>
      </c>
      <c r="J33" s="203"/>
      <c r="K33" s="228" t="s">
        <v>813</v>
      </c>
      <c r="L33" s="203"/>
    </row>
    <row r="34" spans="1:12" s="227" customFormat="1">
      <c r="A34" s="225"/>
      <c r="C34" s="225"/>
      <c r="D34" s="225"/>
      <c r="H34" s="228" t="s">
        <v>1892</v>
      </c>
      <c r="K34" s="228" t="s">
        <v>1892</v>
      </c>
    </row>
    <row r="35" spans="1:12" s="227" customFormat="1">
      <c r="A35" s="225"/>
      <c r="C35" s="225"/>
      <c r="D35" s="225"/>
    </row>
    <row r="36" spans="1:12" s="227" customFormat="1">
      <c r="A36" s="225"/>
      <c r="C36" s="225"/>
      <c r="D36" s="225"/>
    </row>
  </sheetData>
  <mergeCells count="14">
    <mergeCell ref="A1:L1"/>
    <mergeCell ref="A5:A6"/>
    <mergeCell ref="B5:B6"/>
    <mergeCell ref="C5:C6"/>
    <mergeCell ref="D5:D6"/>
    <mergeCell ref="E5:E6"/>
    <mergeCell ref="F5:F6"/>
    <mergeCell ref="G5:G6"/>
    <mergeCell ref="H5:H6"/>
    <mergeCell ref="I5:I6"/>
    <mergeCell ref="J5:J6"/>
    <mergeCell ref="K5:K6"/>
    <mergeCell ref="L5:L6"/>
    <mergeCell ref="C2:L2"/>
  </mergeCells>
  <pageMargins left="0.71" right="0.2" top="0.25" bottom="0.25" header="0.3" footer="0.3"/>
  <pageSetup paperSize="9" orientation="landscape" verticalDpi="300" r:id="rId1"/>
  <rowBreaks count="1" manualBreakCount="1">
    <brk id="35" max="16383" man="1"/>
  </rowBreaks>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filterMode="1">
    <tabColor rgb="FFFF0000"/>
  </sheetPr>
  <dimension ref="A1:N997"/>
  <sheetViews>
    <sheetView tabSelected="1" view="pageBreakPreview" topLeftCell="A546" zoomScale="145" zoomScaleSheetLayoutView="145" workbookViewId="0">
      <selection activeCell="E553" sqref="E553"/>
    </sheetView>
  </sheetViews>
  <sheetFormatPr defaultRowHeight="12.75"/>
  <cols>
    <col min="1" max="1" width="4.5703125" style="10" customWidth="1"/>
    <col min="2" max="2" width="10.42578125" style="10" customWidth="1"/>
    <col min="3" max="3" width="40.42578125" style="739" customWidth="1"/>
    <col min="4" max="4" width="6.5703125" style="21" bestFit="1" customWidth="1"/>
    <col min="5" max="5" width="8.5703125" style="21" customWidth="1"/>
    <col min="6" max="6" width="9.5703125" style="21" bestFit="1" customWidth="1"/>
    <col min="7" max="7" width="10.5703125" style="10" customWidth="1"/>
    <col min="8" max="8" width="7.5703125" style="22" customWidth="1"/>
    <col min="9" max="9" width="3" style="10" bestFit="1" customWidth="1"/>
    <col min="10" max="10" width="9.140625" style="10"/>
    <col min="11" max="11" width="8.5703125" style="10" bestFit="1" customWidth="1"/>
    <col min="12" max="12" width="55.5703125" style="10" customWidth="1"/>
    <col min="13" max="13" width="10.42578125" style="10" customWidth="1"/>
    <col min="14" max="14" width="5.42578125" style="10" bestFit="1" customWidth="1"/>
    <col min="15" max="16384" width="9.140625" style="10"/>
  </cols>
  <sheetData>
    <row r="1" spans="1:14">
      <c r="A1" s="995" t="s">
        <v>2349</v>
      </c>
      <c r="B1" s="995"/>
      <c r="C1" s="995"/>
      <c r="D1" s="995"/>
      <c r="E1" s="995"/>
      <c r="F1" s="995"/>
      <c r="G1" s="995"/>
    </row>
    <row r="2" spans="1:14" ht="24.75" customHeight="1">
      <c r="A2" s="996" t="str">
        <f>'lead 25-26'!B2&amp;'lead 25-26'!C2</f>
        <v>Name of the Work: Construction of Community Hall at Chakirala village and  GP of Kanigiri  Mandal.</v>
      </c>
      <c r="B2" s="996"/>
      <c r="C2" s="996"/>
      <c r="D2" s="996"/>
      <c r="E2" s="996"/>
      <c r="F2" s="996"/>
      <c r="G2" s="996"/>
    </row>
    <row r="3" spans="1:14">
      <c r="A3" s="203"/>
      <c r="E3" s="21" t="s">
        <v>265</v>
      </c>
      <c r="F3" s="228" t="str">
        <f>'lead 25-26'!K4</f>
        <v>20.00 Lakhs</v>
      </c>
      <c r="H3" s="818">
        <v>0.13614999999999999</v>
      </c>
    </row>
    <row r="4" spans="1:14" ht="3" customHeight="1"/>
    <row r="5" spans="1:14" s="177" customFormat="1" ht="19.5" customHeight="1">
      <c r="A5" s="394" t="s">
        <v>23</v>
      </c>
      <c r="B5" s="394" t="s">
        <v>24</v>
      </c>
      <c r="C5" s="632" t="s">
        <v>25</v>
      </c>
      <c r="D5" s="394" t="s">
        <v>16</v>
      </c>
      <c r="E5" s="394" t="s">
        <v>6</v>
      </c>
      <c r="F5" s="394" t="s">
        <v>8</v>
      </c>
      <c r="G5" s="394" t="s">
        <v>10</v>
      </c>
      <c r="H5" s="230"/>
    </row>
    <row r="6" spans="1:14" s="763" customFormat="1" ht="25.5">
      <c r="A6" s="820">
        <v>1</v>
      </c>
      <c r="B6" s="820" t="s">
        <v>46</v>
      </c>
      <c r="C6" s="785" t="s">
        <v>43</v>
      </c>
      <c r="D6" s="820"/>
      <c r="E6" s="820"/>
      <c r="F6" s="820"/>
      <c r="G6" s="820"/>
      <c r="H6" s="821"/>
      <c r="K6" s="836" t="s">
        <v>187</v>
      </c>
      <c r="L6" s="837" t="s">
        <v>1066</v>
      </c>
      <c r="M6" s="838">
        <v>625</v>
      </c>
      <c r="N6" s="839" t="s">
        <v>108</v>
      </c>
    </row>
    <row r="7" spans="1:14" s="763" customFormat="1" ht="15">
      <c r="A7" s="820"/>
      <c r="B7" s="820"/>
      <c r="C7" s="758" t="s">
        <v>44</v>
      </c>
      <c r="D7" s="820" t="s">
        <v>4</v>
      </c>
      <c r="E7" s="823">
        <f>1440/3</f>
        <v>480</v>
      </c>
      <c r="F7" s="823">
        <f>'lead 25-26'!$L$8</f>
        <v>4218.8</v>
      </c>
      <c r="G7" s="824">
        <f>ROUND(E7*F7/1000,2)</f>
        <v>2025.02</v>
      </c>
      <c r="H7" s="821"/>
      <c r="K7" s="836" t="s">
        <v>216</v>
      </c>
      <c r="L7" s="837" t="s">
        <v>1067</v>
      </c>
      <c r="M7" s="838">
        <v>580</v>
      </c>
      <c r="N7" s="839" t="s">
        <v>108</v>
      </c>
    </row>
    <row r="8" spans="1:14" s="763" customFormat="1">
      <c r="A8" s="820"/>
      <c r="B8" s="820"/>
      <c r="C8" s="758" t="s">
        <v>109</v>
      </c>
      <c r="D8" s="820" t="s">
        <v>35</v>
      </c>
      <c r="E8" s="823">
        <v>1.05</v>
      </c>
      <c r="F8" s="823">
        <f>'lead 25-26'!$L$13</f>
        <v>1196.3999999999996</v>
      </c>
      <c r="G8" s="824">
        <f>ROUND(E8*F8,2)</f>
        <v>1256.22</v>
      </c>
      <c r="H8" s="821"/>
      <c r="K8" s="836" t="s">
        <v>221</v>
      </c>
      <c r="L8" s="837" t="s">
        <v>149</v>
      </c>
      <c r="M8" s="838">
        <v>575</v>
      </c>
      <c r="N8" s="839" t="s">
        <v>108</v>
      </c>
    </row>
    <row r="9" spans="1:14" s="763" customFormat="1" ht="15">
      <c r="A9" s="820"/>
      <c r="B9" s="820"/>
      <c r="C9" s="758" t="s">
        <v>45</v>
      </c>
      <c r="D9" s="820" t="s">
        <v>27</v>
      </c>
      <c r="E9" s="823">
        <v>0.2</v>
      </c>
      <c r="F9" s="823">
        <f>'MINI SSR 2025-26'!$H$5</f>
        <v>615</v>
      </c>
      <c r="G9" s="824">
        <f>ROUND(E9*F9,2)</f>
        <v>123</v>
      </c>
      <c r="H9" s="821"/>
      <c r="K9" s="836" t="s">
        <v>157</v>
      </c>
      <c r="L9" s="837" t="s">
        <v>1068</v>
      </c>
      <c r="M9" s="838">
        <v>500</v>
      </c>
      <c r="N9" s="839" t="s">
        <v>108</v>
      </c>
    </row>
    <row r="10" spans="1:14" s="763" customFormat="1" ht="15">
      <c r="A10" s="820"/>
      <c r="B10" s="820"/>
      <c r="C10" s="758"/>
      <c r="D10" s="820"/>
      <c r="E10" s="820"/>
      <c r="F10" s="820"/>
      <c r="G10" s="825">
        <f>SUM(G7:G9)</f>
        <v>3404.24</v>
      </c>
      <c r="H10" s="821"/>
      <c r="K10" s="836" t="s">
        <v>160</v>
      </c>
      <c r="L10" s="837" t="s">
        <v>1069</v>
      </c>
      <c r="M10" s="838">
        <v>460</v>
      </c>
      <c r="N10" s="839" t="s">
        <v>108</v>
      </c>
    </row>
    <row r="11" spans="1:14" ht="25.5" hidden="1">
      <c r="A11" s="179">
        <v>2</v>
      </c>
      <c r="B11" s="179" t="s">
        <v>51</v>
      </c>
      <c r="C11" s="287" t="s">
        <v>47</v>
      </c>
      <c r="D11" s="179"/>
      <c r="E11" s="179"/>
      <c r="F11" s="179"/>
      <c r="G11" s="179"/>
      <c r="K11" s="407" t="s">
        <v>222</v>
      </c>
      <c r="L11" s="408" t="s">
        <v>150</v>
      </c>
      <c r="M11" s="409">
        <v>471</v>
      </c>
      <c r="N11" s="410" t="s">
        <v>108</v>
      </c>
    </row>
    <row r="12" spans="1:14" hidden="1">
      <c r="A12" s="179"/>
      <c r="B12" s="179"/>
      <c r="C12" s="632" t="s">
        <v>44</v>
      </c>
      <c r="D12" s="179" t="s">
        <v>4</v>
      </c>
      <c r="E12" s="281">
        <f>1440/4</f>
        <v>360</v>
      </c>
      <c r="F12" s="281">
        <f>'lead 25-26'!$L$8</f>
        <v>4218.8</v>
      </c>
      <c r="G12" s="173">
        <f>ROUND(E12*F12/1000,2)</f>
        <v>1518.77</v>
      </c>
      <c r="K12" s="407" t="s">
        <v>152</v>
      </c>
      <c r="L12" s="408" t="s">
        <v>147</v>
      </c>
      <c r="M12" s="409">
        <v>420</v>
      </c>
      <c r="N12" s="410" t="s">
        <v>108</v>
      </c>
    </row>
    <row r="13" spans="1:14" hidden="1">
      <c r="A13" s="179"/>
      <c r="B13" s="179"/>
      <c r="C13" s="632" t="s">
        <v>109</v>
      </c>
      <c r="D13" s="179" t="s">
        <v>35</v>
      </c>
      <c r="E13" s="281">
        <v>1.05</v>
      </c>
      <c r="F13" s="281">
        <f>'lead 25-26'!$L$13</f>
        <v>1196.3999999999996</v>
      </c>
      <c r="G13" s="173">
        <f>ROUND(E13*F13,2)</f>
        <v>1256.22</v>
      </c>
      <c r="K13" s="407" t="s">
        <v>223</v>
      </c>
      <c r="L13" s="408" t="s">
        <v>151</v>
      </c>
      <c r="M13" s="409">
        <v>471</v>
      </c>
      <c r="N13" s="410" t="s">
        <v>108</v>
      </c>
    </row>
    <row r="14" spans="1:14" hidden="1">
      <c r="A14" s="179"/>
      <c r="B14" s="179"/>
      <c r="C14" s="632" t="s">
        <v>45</v>
      </c>
      <c r="D14" s="179" t="s">
        <v>27</v>
      </c>
      <c r="E14" s="281">
        <v>0.2</v>
      </c>
      <c r="F14" s="281">
        <f>'MINI SSR 2025-26'!$H$5</f>
        <v>615</v>
      </c>
      <c r="G14" s="173">
        <f>ROUND(E14*F14,2)</f>
        <v>123</v>
      </c>
      <c r="K14" s="407" t="s">
        <v>153</v>
      </c>
      <c r="L14" s="408" t="s">
        <v>1070</v>
      </c>
      <c r="M14" s="409">
        <v>80</v>
      </c>
      <c r="N14" s="410" t="s">
        <v>148</v>
      </c>
    </row>
    <row r="15" spans="1:14" hidden="1">
      <c r="A15" s="179"/>
      <c r="B15" s="179"/>
      <c r="C15" s="632"/>
      <c r="D15" s="179"/>
      <c r="E15" s="179"/>
      <c r="F15" s="179"/>
      <c r="G15" s="273">
        <f>SUM(G12:G14)</f>
        <v>2897.99</v>
      </c>
      <c r="K15" s="407" t="s">
        <v>156</v>
      </c>
      <c r="L15" s="408" t="s">
        <v>154</v>
      </c>
      <c r="M15" s="409">
        <v>524.70000000000005</v>
      </c>
      <c r="N15" s="410" t="s">
        <v>155</v>
      </c>
    </row>
    <row r="16" spans="1:14" ht="25.5" hidden="1">
      <c r="A16" s="179">
        <v>2</v>
      </c>
      <c r="B16" s="179" t="s">
        <v>52</v>
      </c>
      <c r="C16" s="287" t="s">
        <v>48</v>
      </c>
      <c r="D16" s="179"/>
      <c r="E16" s="179"/>
      <c r="F16" s="179"/>
      <c r="G16" s="179"/>
      <c r="K16" s="407" t="s">
        <v>162</v>
      </c>
      <c r="L16" s="408" t="s">
        <v>161</v>
      </c>
      <c r="M16" s="409">
        <v>209.1</v>
      </c>
      <c r="N16" s="740" t="s">
        <v>155</v>
      </c>
    </row>
    <row r="17" spans="1:14" hidden="1">
      <c r="A17" s="179"/>
      <c r="B17" s="179"/>
      <c r="C17" s="632" t="s">
        <v>44</v>
      </c>
      <c r="D17" s="179" t="s">
        <v>4</v>
      </c>
      <c r="E17" s="281">
        <f>1440/5</f>
        <v>288</v>
      </c>
      <c r="F17" s="281">
        <f>'lead 25-26'!$L$8</f>
        <v>4218.8</v>
      </c>
      <c r="G17" s="173">
        <f>ROUND(E17*F17/1000,2)</f>
        <v>1215.01</v>
      </c>
      <c r="K17" s="407" t="s">
        <v>224</v>
      </c>
      <c r="L17" s="408" t="s">
        <v>38</v>
      </c>
      <c r="M17" s="409">
        <v>55</v>
      </c>
      <c r="N17" s="740" t="s">
        <v>4</v>
      </c>
    </row>
    <row r="18" spans="1:14" hidden="1">
      <c r="A18" s="179"/>
      <c r="B18" s="179"/>
      <c r="C18" s="632" t="s">
        <v>109</v>
      </c>
      <c r="D18" s="179" t="s">
        <v>35</v>
      </c>
      <c r="E18" s="281">
        <v>1.05</v>
      </c>
      <c r="F18" s="281">
        <f>'lead 25-26'!$L$13</f>
        <v>1196.3999999999996</v>
      </c>
      <c r="G18" s="173">
        <f>ROUND(E18*F18,2)</f>
        <v>1256.22</v>
      </c>
      <c r="K18" s="407"/>
      <c r="L18" s="408"/>
      <c r="M18" s="409"/>
      <c r="N18" s="410"/>
    </row>
    <row r="19" spans="1:14" hidden="1">
      <c r="A19" s="179"/>
      <c r="B19" s="179"/>
      <c r="C19" s="632" t="s">
        <v>45</v>
      </c>
      <c r="D19" s="179" t="s">
        <v>27</v>
      </c>
      <c r="E19" s="281">
        <v>0.2</v>
      </c>
      <c r="F19" s="281">
        <f>'MINI SSR 2025-26'!$H$5</f>
        <v>615</v>
      </c>
      <c r="G19" s="173">
        <f>ROUND(E19*F19,2)</f>
        <v>123</v>
      </c>
      <c r="K19" s="407"/>
      <c r="L19" s="408"/>
      <c r="M19" s="409"/>
      <c r="N19" s="410"/>
    </row>
    <row r="20" spans="1:14" hidden="1">
      <c r="A20" s="179"/>
      <c r="B20" s="179"/>
      <c r="C20" s="632"/>
      <c r="D20" s="179"/>
      <c r="E20" s="179"/>
      <c r="F20" s="179"/>
      <c r="G20" s="273">
        <f>SUM(G17:G19)</f>
        <v>2594.23</v>
      </c>
      <c r="K20" s="407"/>
      <c r="L20" s="408"/>
      <c r="M20" s="409"/>
      <c r="N20" s="410"/>
    </row>
    <row r="21" spans="1:14" ht="25.5" hidden="1">
      <c r="A21" s="179">
        <v>4</v>
      </c>
      <c r="B21" s="179" t="s">
        <v>53</v>
      </c>
      <c r="C21" s="287" t="s">
        <v>49</v>
      </c>
      <c r="D21" s="179"/>
      <c r="E21" s="179"/>
      <c r="F21" s="179"/>
      <c r="G21" s="179"/>
      <c r="K21" s="407"/>
      <c r="L21" s="408"/>
      <c r="M21" s="409"/>
      <c r="N21" s="410"/>
    </row>
    <row r="22" spans="1:14" hidden="1">
      <c r="A22" s="179"/>
      <c r="B22" s="179"/>
      <c r="C22" s="632" t="s">
        <v>44</v>
      </c>
      <c r="D22" s="179" t="s">
        <v>4</v>
      </c>
      <c r="E22" s="281">
        <f>1440/6</f>
        <v>240</v>
      </c>
      <c r="F22" s="281">
        <f>'lead 25-26'!$L$8</f>
        <v>4218.8</v>
      </c>
      <c r="G22" s="173">
        <f>ROUND(E22*F22/1000,2)</f>
        <v>1012.51</v>
      </c>
      <c r="K22" s="407"/>
      <c r="L22" s="408"/>
      <c r="M22" s="409"/>
      <c r="N22" s="410"/>
    </row>
    <row r="23" spans="1:14" hidden="1">
      <c r="A23" s="179"/>
      <c r="B23" s="179"/>
      <c r="C23" s="632" t="s">
        <v>110</v>
      </c>
      <c r="D23" s="179" t="s">
        <v>35</v>
      </c>
      <c r="E23" s="281">
        <v>1.05</v>
      </c>
      <c r="F23" s="281">
        <f>'lead 25-26'!$L$13</f>
        <v>1196.3999999999996</v>
      </c>
      <c r="G23" s="173">
        <f>ROUND(E23*F23,2)</f>
        <v>1256.22</v>
      </c>
      <c r="K23" s="407"/>
      <c r="L23" s="408"/>
      <c r="M23" s="409"/>
      <c r="N23" s="410"/>
    </row>
    <row r="24" spans="1:14" hidden="1">
      <c r="A24" s="179"/>
      <c r="B24" s="179"/>
      <c r="C24" s="632" t="s">
        <v>45</v>
      </c>
      <c r="D24" s="179" t="s">
        <v>27</v>
      </c>
      <c r="E24" s="281">
        <v>0.2</v>
      </c>
      <c r="F24" s="281">
        <f>'MINI SSR 2025-26'!$H$5</f>
        <v>615</v>
      </c>
      <c r="G24" s="173">
        <f>ROUND(E24*F24,2)</f>
        <v>123</v>
      </c>
      <c r="K24" s="407"/>
      <c r="L24" s="408"/>
      <c r="M24" s="409"/>
      <c r="N24" s="410"/>
    </row>
    <row r="25" spans="1:14" hidden="1">
      <c r="A25" s="179"/>
      <c r="B25" s="179"/>
      <c r="C25" s="632"/>
      <c r="D25" s="179"/>
      <c r="E25" s="179"/>
      <c r="F25" s="179"/>
      <c r="G25" s="273">
        <f>SUM(G22:G24)</f>
        <v>2391.73</v>
      </c>
    </row>
    <row r="26" spans="1:14" ht="25.5" hidden="1">
      <c r="A26" s="179">
        <v>5</v>
      </c>
      <c r="B26" s="179" t="s">
        <v>54</v>
      </c>
      <c r="C26" s="287" t="s">
        <v>50</v>
      </c>
      <c r="D26" s="179"/>
      <c r="E26" s="179"/>
      <c r="F26" s="179"/>
      <c r="G26" s="179"/>
    </row>
    <row r="27" spans="1:14" hidden="1">
      <c r="A27" s="179"/>
      <c r="B27" s="179"/>
      <c r="C27" s="632" t="s">
        <v>44</v>
      </c>
      <c r="D27" s="179" t="s">
        <v>4</v>
      </c>
      <c r="E27" s="281">
        <f>1440/8</f>
        <v>180</v>
      </c>
      <c r="F27" s="281">
        <f>'lead 25-26'!$L$8</f>
        <v>4218.8</v>
      </c>
      <c r="G27" s="173">
        <f>ROUND(E27*F27/1000,2)</f>
        <v>759.38</v>
      </c>
    </row>
    <row r="28" spans="1:14" hidden="1">
      <c r="A28" s="179"/>
      <c r="B28" s="179"/>
      <c r="C28" s="632" t="s">
        <v>110</v>
      </c>
      <c r="D28" s="179" t="s">
        <v>35</v>
      </c>
      <c r="E28" s="281">
        <v>1.05</v>
      </c>
      <c r="F28" s="281">
        <f>'lead 25-26'!$L$13</f>
        <v>1196.3999999999996</v>
      </c>
      <c r="G28" s="173">
        <f>ROUND(E28*F28,2)</f>
        <v>1256.22</v>
      </c>
    </row>
    <row r="29" spans="1:14" hidden="1">
      <c r="A29" s="179"/>
      <c r="B29" s="179"/>
      <c r="C29" s="632" t="s">
        <v>45</v>
      </c>
      <c r="D29" s="179" t="s">
        <v>27</v>
      </c>
      <c r="E29" s="281">
        <v>0.2</v>
      </c>
      <c r="F29" s="281">
        <f>'MINI SSR 2025-26'!$H$5</f>
        <v>615</v>
      </c>
      <c r="G29" s="173">
        <f>ROUND(E29*F29,2)</f>
        <v>123</v>
      </c>
    </row>
    <row r="30" spans="1:14" hidden="1">
      <c r="A30" s="179"/>
      <c r="B30" s="179"/>
      <c r="C30" s="632"/>
      <c r="D30" s="179"/>
      <c r="E30" s="179"/>
      <c r="F30" s="179"/>
      <c r="G30" s="273">
        <f>SUM(G27:G29)</f>
        <v>2138.6</v>
      </c>
    </row>
    <row r="31" spans="1:14" ht="25.5" hidden="1">
      <c r="A31" s="179">
        <v>3</v>
      </c>
      <c r="B31" s="179"/>
      <c r="C31" s="632" t="s">
        <v>784</v>
      </c>
      <c r="D31" s="179"/>
      <c r="E31" s="179"/>
      <c r="F31" s="179"/>
      <c r="G31" s="179"/>
    </row>
    <row r="32" spans="1:14" hidden="1">
      <c r="A32" s="179"/>
      <c r="B32" s="179"/>
      <c r="C32" s="632" t="s">
        <v>779</v>
      </c>
      <c r="D32" s="284">
        <v>0.6</v>
      </c>
      <c r="E32" s="284">
        <f>'lead 25-26'!L18</f>
        <v>2452.5</v>
      </c>
      <c r="F32" s="284">
        <f>ROUND(D32*E32,2)</f>
        <v>1471.5</v>
      </c>
      <c r="G32" s="179"/>
    </row>
    <row r="33" spans="1:8" hidden="1">
      <c r="A33" s="179"/>
      <c r="B33" s="179"/>
      <c r="C33" s="632" t="s">
        <v>780</v>
      </c>
      <c r="D33" s="284">
        <v>0.15</v>
      </c>
      <c r="E33" s="284">
        <f>'lead 25-26'!L19</f>
        <v>2116.25</v>
      </c>
      <c r="F33" s="284">
        <f>ROUND(D33*E33,2)</f>
        <v>317.44</v>
      </c>
      <c r="G33" s="179"/>
    </row>
    <row r="34" spans="1:8" hidden="1">
      <c r="A34" s="179"/>
      <c r="B34" s="179"/>
      <c r="C34" s="632" t="s">
        <v>781</v>
      </c>
      <c r="D34" s="284">
        <v>0.15</v>
      </c>
      <c r="E34" s="284">
        <f>'lead 25-26'!L20</f>
        <v>1911.2500000000002</v>
      </c>
      <c r="F34" s="284">
        <f>ROUND(D34*E34,2)</f>
        <v>286.69</v>
      </c>
      <c r="G34" s="179"/>
    </row>
    <row r="35" spans="1:8" hidden="1">
      <c r="A35" s="179"/>
      <c r="B35" s="179"/>
      <c r="C35" s="632" t="s">
        <v>782</v>
      </c>
      <c r="D35" s="284">
        <v>0.1</v>
      </c>
      <c r="E35" s="284">
        <f>'lead 25-26'!L21</f>
        <v>1691.2500000000002</v>
      </c>
      <c r="F35" s="284">
        <f>ROUND(D35*E35,2)</f>
        <v>169.13</v>
      </c>
      <c r="G35" s="179"/>
    </row>
    <row r="36" spans="1:8" hidden="1">
      <c r="A36" s="179"/>
      <c r="B36" s="179"/>
      <c r="C36" s="287" t="s">
        <v>783</v>
      </c>
      <c r="D36" s="179"/>
      <c r="E36" s="179"/>
      <c r="F36" s="285">
        <f>SUM(F32:F35)</f>
        <v>2244.7600000000002</v>
      </c>
      <c r="G36" s="179"/>
    </row>
    <row r="37" spans="1:8" ht="25.5" hidden="1">
      <c r="A37" s="110">
        <v>6</v>
      </c>
      <c r="B37" s="278"/>
      <c r="C37" s="632" t="s">
        <v>292</v>
      </c>
      <c r="D37" s="179"/>
      <c r="E37" s="179"/>
      <c r="F37" s="179"/>
      <c r="G37" s="147"/>
    </row>
    <row r="38" spans="1:8" hidden="1">
      <c r="A38" s="110"/>
      <c r="B38" s="278"/>
      <c r="C38" s="632" t="s">
        <v>31</v>
      </c>
      <c r="D38" s="179"/>
      <c r="E38" s="179"/>
      <c r="F38" s="179"/>
      <c r="G38" s="147"/>
    </row>
    <row r="39" spans="1:8" hidden="1">
      <c r="A39" s="110"/>
      <c r="B39" s="179"/>
      <c r="C39" s="632" t="s">
        <v>1122</v>
      </c>
      <c r="D39" s="179"/>
      <c r="E39" s="179"/>
      <c r="F39" s="179"/>
      <c r="G39" s="147"/>
    </row>
    <row r="40" spans="1:8" hidden="1">
      <c r="A40" s="110"/>
      <c r="B40" s="275"/>
      <c r="C40" s="632" t="s">
        <v>120</v>
      </c>
      <c r="D40" s="179"/>
      <c r="E40" s="179"/>
      <c r="F40" s="179"/>
      <c r="G40" s="173">
        <f>'MINI SSR 2025-26'!H25</f>
        <v>6.06</v>
      </c>
    </row>
    <row r="41" spans="1:8" hidden="1">
      <c r="A41" s="147"/>
      <c r="B41" s="147"/>
      <c r="C41" s="287" t="s">
        <v>117</v>
      </c>
      <c r="D41" s="110"/>
      <c r="E41" s="110"/>
      <c r="F41" s="110"/>
      <c r="G41" s="182">
        <f>SUM(G40)</f>
        <v>6.06</v>
      </c>
    </row>
    <row r="42" spans="1:8" s="763" customFormat="1" ht="114.75">
      <c r="A42" s="757">
        <v>3</v>
      </c>
      <c r="B42" s="819" t="s">
        <v>2231</v>
      </c>
      <c r="C42" s="758" t="s">
        <v>2228</v>
      </c>
      <c r="D42" s="820"/>
      <c r="E42" s="820"/>
      <c r="F42" s="820"/>
      <c r="G42" s="764"/>
      <c r="H42" s="821"/>
    </row>
    <row r="43" spans="1:8" s="763" customFormat="1">
      <c r="A43" s="757"/>
      <c r="B43" s="819"/>
      <c r="C43" s="758" t="s">
        <v>2229</v>
      </c>
      <c r="D43" s="820"/>
      <c r="E43" s="820"/>
      <c r="F43" s="820"/>
      <c r="G43" s="764"/>
      <c r="H43" s="821"/>
    </row>
    <row r="44" spans="1:8" s="763" customFormat="1">
      <c r="A44" s="757"/>
      <c r="B44" s="822"/>
      <c r="C44" s="758" t="s">
        <v>116</v>
      </c>
      <c r="D44" s="757" t="s">
        <v>27</v>
      </c>
      <c r="E44" s="768">
        <v>3.64</v>
      </c>
      <c r="F44" s="823">
        <f>'MINI SSR 2025-26'!$H$5</f>
        <v>615</v>
      </c>
      <c r="G44" s="824">
        <f>ROUND(E44*F44,2)</f>
        <v>2238.6</v>
      </c>
      <c r="H44" s="821"/>
    </row>
    <row r="45" spans="1:8" s="763" customFormat="1">
      <c r="A45" s="820"/>
      <c r="B45" s="820"/>
      <c r="C45" s="758" t="s">
        <v>2213</v>
      </c>
      <c r="D45" s="820"/>
      <c r="E45" s="823"/>
      <c r="F45" s="823"/>
      <c r="G45" s="825">
        <f>ROUND(G44*$H$3,2)</f>
        <v>304.79000000000002</v>
      </c>
    </row>
    <row r="46" spans="1:8" s="763" customFormat="1">
      <c r="A46" s="757"/>
      <c r="B46" s="822"/>
      <c r="C46" s="785" t="s">
        <v>2230</v>
      </c>
      <c r="D46" s="757"/>
      <c r="E46" s="757"/>
      <c r="F46" s="757"/>
      <c r="G46" s="826">
        <f>SUBTOTAL(9,G44:G45)</f>
        <v>2543.39</v>
      </c>
      <c r="H46" s="821"/>
    </row>
    <row r="47" spans="1:8" s="763" customFormat="1">
      <c r="A47" s="764"/>
      <c r="B47" s="764"/>
      <c r="C47" s="785" t="s">
        <v>117</v>
      </c>
      <c r="D47" s="757"/>
      <c r="E47" s="757"/>
      <c r="F47" s="757"/>
      <c r="G47" s="826">
        <f>ROUND(G46/10,2)</f>
        <v>254.34</v>
      </c>
      <c r="H47" s="821"/>
    </row>
    <row r="48" spans="1:8" ht="102" hidden="1">
      <c r="A48" s="110">
        <v>4</v>
      </c>
      <c r="B48" s="278" t="s">
        <v>1125</v>
      </c>
      <c r="C48" s="632" t="s">
        <v>55</v>
      </c>
      <c r="D48" s="179"/>
      <c r="E48" s="179"/>
      <c r="F48" s="179"/>
      <c r="G48" s="278"/>
    </row>
    <row r="49" spans="1:11" hidden="1">
      <c r="A49" s="110"/>
      <c r="B49" s="179"/>
      <c r="C49" s="287" t="s">
        <v>31</v>
      </c>
      <c r="D49" s="179"/>
      <c r="E49" s="179"/>
      <c r="F49" s="179"/>
      <c r="G49" s="147"/>
    </row>
    <row r="50" spans="1:11" hidden="1">
      <c r="A50" s="110"/>
      <c r="B50" s="179"/>
      <c r="C50" s="287" t="s">
        <v>2299</v>
      </c>
      <c r="D50" s="179"/>
      <c r="E50" s="179"/>
      <c r="F50" s="179"/>
      <c r="G50" s="147"/>
    </row>
    <row r="51" spans="1:11" hidden="1">
      <c r="A51" s="110"/>
      <c r="B51" s="275" t="s">
        <v>18</v>
      </c>
      <c r="C51" s="287" t="s">
        <v>26</v>
      </c>
      <c r="D51" s="179"/>
      <c r="E51" s="179"/>
      <c r="F51" s="179"/>
      <c r="G51" s="147"/>
    </row>
    <row r="52" spans="1:11" hidden="1">
      <c r="A52" s="147"/>
      <c r="B52" s="147"/>
      <c r="C52" s="632" t="s">
        <v>116</v>
      </c>
      <c r="D52" s="110" t="s">
        <v>27</v>
      </c>
      <c r="E52" s="12">
        <v>0.31</v>
      </c>
      <c r="F52" s="281">
        <f>'MINI SSR 2025-26'!$H$5</f>
        <v>615</v>
      </c>
      <c r="G52" s="173">
        <f>ROUND(E52*F52,2)</f>
        <v>190.65</v>
      </c>
      <c r="K52" s="20"/>
    </row>
    <row r="53" spans="1:11" hidden="1">
      <c r="A53" s="147"/>
      <c r="B53" s="275" t="s">
        <v>20</v>
      </c>
      <c r="C53" s="287" t="s">
        <v>22</v>
      </c>
      <c r="D53" s="110"/>
      <c r="E53" s="110"/>
      <c r="F53" s="110"/>
      <c r="G53" s="147"/>
    </row>
    <row r="54" spans="1:11" hidden="1">
      <c r="A54" s="147"/>
      <c r="B54" s="147"/>
      <c r="C54" s="632" t="s">
        <v>32</v>
      </c>
      <c r="D54" s="110" t="s">
        <v>5</v>
      </c>
      <c r="E54" s="12">
        <v>6</v>
      </c>
      <c r="F54" s="12">
        <f>'lead 25-26'!L15</f>
        <v>103</v>
      </c>
      <c r="G54" s="173">
        <f>ROUND(E54*F54,2)</f>
        <v>618</v>
      </c>
    </row>
    <row r="55" spans="1:11" hidden="1">
      <c r="A55" s="147"/>
      <c r="B55" s="147"/>
      <c r="C55" s="287" t="s">
        <v>2300</v>
      </c>
      <c r="D55" s="110"/>
      <c r="E55" s="12"/>
      <c r="F55" s="12"/>
      <c r="G55" s="173">
        <f>SUM(G52:G54)</f>
        <v>808.65</v>
      </c>
    </row>
    <row r="56" spans="1:11" ht="13.5" hidden="1" thickBot="1">
      <c r="A56" s="147"/>
      <c r="B56" s="147"/>
      <c r="C56" s="287" t="s">
        <v>28</v>
      </c>
      <c r="D56" s="110"/>
      <c r="E56" s="110"/>
      <c r="F56" s="110"/>
      <c r="G56" s="182">
        <f>ROUND(G55/6,2)</f>
        <v>134.78</v>
      </c>
      <c r="K56" s="276"/>
    </row>
    <row r="57" spans="1:11" s="763" customFormat="1" ht="102">
      <c r="A57" s="757">
        <v>4</v>
      </c>
      <c r="B57" s="819" t="s">
        <v>1124</v>
      </c>
      <c r="C57" s="758" t="s">
        <v>1831</v>
      </c>
      <c r="D57" s="820"/>
      <c r="E57" s="820"/>
      <c r="F57" s="820"/>
      <c r="G57" s="819"/>
      <c r="H57" s="821"/>
    </row>
    <row r="58" spans="1:11" s="763" customFormat="1">
      <c r="A58" s="757"/>
      <c r="B58" s="820"/>
      <c r="C58" s="785" t="s">
        <v>31</v>
      </c>
      <c r="D58" s="820"/>
      <c r="E58" s="820"/>
      <c r="F58" s="820"/>
      <c r="G58" s="764"/>
      <c r="H58" s="821"/>
    </row>
    <row r="59" spans="1:11" s="763" customFormat="1">
      <c r="A59" s="757"/>
      <c r="B59" s="822" t="s">
        <v>18</v>
      </c>
      <c r="C59" s="785" t="s">
        <v>26</v>
      </c>
      <c r="D59" s="820"/>
      <c r="E59" s="820"/>
      <c r="F59" s="820"/>
      <c r="G59" s="764"/>
      <c r="H59" s="821"/>
    </row>
    <row r="60" spans="1:11" s="763" customFormat="1">
      <c r="A60" s="764"/>
      <c r="B60" s="764"/>
      <c r="C60" s="758" t="s">
        <v>116</v>
      </c>
      <c r="D60" s="757" t="s">
        <v>27</v>
      </c>
      <c r="E60" s="768">
        <v>0.31</v>
      </c>
      <c r="F60" s="823">
        <f>'MINI SSR 2025-26'!$H$5</f>
        <v>615</v>
      </c>
      <c r="G60" s="824">
        <f>ROUND(E60*F60,2)</f>
        <v>190.65</v>
      </c>
      <c r="H60" s="821"/>
      <c r="K60" s="827"/>
    </row>
    <row r="61" spans="1:11" s="763" customFormat="1">
      <c r="A61" s="764"/>
      <c r="B61" s="822" t="s">
        <v>20</v>
      </c>
      <c r="C61" s="785" t="s">
        <v>22</v>
      </c>
      <c r="D61" s="757"/>
      <c r="E61" s="757"/>
      <c r="F61" s="757"/>
      <c r="G61" s="764"/>
      <c r="H61" s="821"/>
    </row>
    <row r="62" spans="1:11" s="763" customFormat="1">
      <c r="A62" s="764"/>
      <c r="B62" s="764"/>
      <c r="C62" s="758" t="s">
        <v>1832</v>
      </c>
      <c r="D62" s="757" t="s">
        <v>5</v>
      </c>
      <c r="E62" s="768">
        <v>6</v>
      </c>
      <c r="F62" s="768">
        <f>'lead 25-26'!L25</f>
        <v>248</v>
      </c>
      <c r="G62" s="824">
        <f>ROUND(E62*F62,2)</f>
        <v>1488</v>
      </c>
      <c r="H62" s="821"/>
    </row>
    <row r="63" spans="1:11" s="763" customFormat="1">
      <c r="A63" s="764"/>
      <c r="B63" s="764"/>
      <c r="C63" s="785"/>
      <c r="D63" s="757"/>
      <c r="E63" s="768"/>
      <c r="F63" s="768"/>
      <c r="G63" s="824">
        <f>SUM(G60:G62)</f>
        <v>1678.65</v>
      </c>
      <c r="H63" s="821"/>
    </row>
    <row r="64" spans="1:11" s="763" customFormat="1">
      <c r="A64" s="764"/>
      <c r="B64" s="764"/>
      <c r="C64" s="758" t="s">
        <v>2213</v>
      </c>
      <c r="D64" s="820"/>
      <c r="E64" s="823"/>
      <c r="F64" s="823"/>
      <c r="G64" s="825">
        <f>ROUND(G63*$H$3,2)</f>
        <v>228.55</v>
      </c>
      <c r="H64" s="821"/>
    </row>
    <row r="65" spans="1:11" s="763" customFormat="1">
      <c r="A65" s="764"/>
      <c r="B65" s="764"/>
      <c r="C65" s="785" t="s">
        <v>2300</v>
      </c>
      <c r="D65" s="757"/>
      <c r="E65" s="768"/>
      <c r="F65" s="768"/>
      <c r="G65" s="824">
        <f>SUM(G63:G64)</f>
        <v>1907.2</v>
      </c>
      <c r="H65" s="821"/>
    </row>
    <row r="66" spans="1:11" s="763" customFormat="1" ht="13.5" thickBot="1">
      <c r="A66" s="764"/>
      <c r="B66" s="764"/>
      <c r="C66" s="785" t="s">
        <v>28</v>
      </c>
      <c r="D66" s="757"/>
      <c r="E66" s="757"/>
      <c r="F66" s="757"/>
      <c r="G66" s="826">
        <f>ROUND(G65/6,2)</f>
        <v>317.87</v>
      </c>
      <c r="H66" s="821"/>
      <c r="K66" s="829"/>
    </row>
    <row r="67" spans="1:11" ht="102.75" hidden="1" thickTop="1">
      <c r="A67" s="110">
        <v>10</v>
      </c>
      <c r="B67" s="278" t="s">
        <v>1124</v>
      </c>
      <c r="C67" s="632" t="s">
        <v>651</v>
      </c>
      <c r="D67" s="179"/>
      <c r="E67" s="179"/>
      <c r="F67" s="179"/>
      <c r="G67" s="278"/>
    </row>
    <row r="68" spans="1:11" ht="13.5" hidden="1" thickTop="1">
      <c r="A68" s="110"/>
      <c r="B68" s="179"/>
      <c r="C68" s="287" t="s">
        <v>31</v>
      </c>
      <c r="D68" s="179"/>
      <c r="E68" s="179"/>
      <c r="F68" s="179"/>
      <c r="G68" s="147"/>
    </row>
    <row r="69" spans="1:11" ht="13.5" hidden="1" thickTop="1">
      <c r="A69" s="110"/>
      <c r="B69" s="275" t="s">
        <v>18</v>
      </c>
      <c r="C69" s="287" t="s">
        <v>26</v>
      </c>
      <c r="D69" s="179"/>
      <c r="E69" s="179"/>
      <c r="F69" s="179"/>
      <c r="G69" s="147"/>
    </row>
    <row r="70" spans="1:11" ht="13.5" hidden="1" thickTop="1">
      <c r="A70" s="147"/>
      <c r="B70" s="147"/>
      <c r="C70" s="632" t="s">
        <v>116</v>
      </c>
      <c r="D70" s="110" t="s">
        <v>27</v>
      </c>
      <c r="E70" s="12">
        <v>0.31</v>
      </c>
      <c r="F70" s="281">
        <f>'MINI SSR 2025-26'!$H$5</f>
        <v>615</v>
      </c>
      <c r="G70" s="173">
        <f>ROUND(E70*F70,2)</f>
        <v>190.65</v>
      </c>
      <c r="K70" s="20"/>
    </row>
    <row r="71" spans="1:11" ht="13.5" hidden="1" thickTop="1">
      <c r="A71" s="147"/>
      <c r="B71" s="275" t="s">
        <v>20</v>
      </c>
      <c r="C71" s="287" t="s">
        <v>22</v>
      </c>
      <c r="D71" s="110"/>
      <c r="E71" s="110"/>
      <c r="F71" s="110"/>
      <c r="G71" s="147"/>
    </row>
    <row r="72" spans="1:11" ht="13.5" hidden="1" thickTop="1">
      <c r="A72" s="147"/>
      <c r="B72" s="147"/>
      <c r="C72" s="632" t="s">
        <v>652</v>
      </c>
      <c r="D72" s="110" t="s">
        <v>5</v>
      </c>
      <c r="E72" s="12">
        <v>1</v>
      </c>
      <c r="F72" s="12">
        <f>'lead 25-26'!L26</f>
        <v>272</v>
      </c>
      <c r="G72" s="173">
        <f>ROUND(E72*F72,2)</f>
        <v>272</v>
      </c>
    </row>
    <row r="73" spans="1:11" ht="13.5" hidden="1" thickTop="1">
      <c r="A73" s="147"/>
      <c r="B73" s="147"/>
      <c r="C73" s="632" t="s">
        <v>57</v>
      </c>
      <c r="D73" s="110" t="s">
        <v>289</v>
      </c>
      <c r="E73" s="12">
        <v>0.1</v>
      </c>
      <c r="F73" s="12">
        <f>'MINI SSR 2025-26'!$C$29</f>
        <v>105</v>
      </c>
      <c r="G73" s="173">
        <f>ROUND(E73*F73,2)</f>
        <v>10.5</v>
      </c>
    </row>
    <row r="74" spans="1:11" ht="14.25" hidden="1" thickTop="1" thickBot="1">
      <c r="A74" s="147"/>
      <c r="B74" s="147"/>
      <c r="C74" s="287" t="s">
        <v>28</v>
      </c>
      <c r="D74" s="110"/>
      <c r="E74" s="110"/>
      <c r="F74" s="110"/>
      <c r="G74" s="182">
        <f>SUM(G70:G73)</f>
        <v>473.15</v>
      </c>
      <c r="K74" s="276"/>
    </row>
    <row r="75" spans="1:11" s="763" customFormat="1" ht="64.5" thickTop="1">
      <c r="A75" s="757">
        <v>5</v>
      </c>
      <c r="B75" s="819" t="s">
        <v>1123</v>
      </c>
      <c r="C75" s="758" t="s">
        <v>280</v>
      </c>
      <c r="D75" s="820"/>
      <c r="E75" s="820"/>
      <c r="F75" s="820"/>
      <c r="G75" s="819"/>
      <c r="H75" s="821"/>
    </row>
    <row r="76" spans="1:11" s="763" customFormat="1">
      <c r="A76" s="820"/>
      <c r="B76" s="820"/>
      <c r="C76" s="758" t="s">
        <v>307</v>
      </c>
      <c r="D76" s="820"/>
      <c r="E76" s="823"/>
      <c r="F76" s="823"/>
      <c r="G76" s="824"/>
      <c r="H76" s="821"/>
      <c r="K76" s="827"/>
    </row>
    <row r="77" spans="1:11" s="763" customFormat="1">
      <c r="A77" s="820"/>
      <c r="B77" s="820"/>
      <c r="C77" s="758" t="s">
        <v>306</v>
      </c>
      <c r="D77" s="820" t="s">
        <v>27</v>
      </c>
      <c r="E77" s="823">
        <v>3.12</v>
      </c>
      <c r="F77" s="823">
        <f>'MINI SSR 2025-26'!$H$5</f>
        <v>615</v>
      </c>
      <c r="G77" s="824">
        <f>ROUND(E77*F77,2)</f>
        <v>1918.8</v>
      </c>
      <c r="H77" s="821"/>
      <c r="K77" s="827"/>
    </row>
    <row r="78" spans="1:11" s="763" customFormat="1">
      <c r="A78" s="820"/>
      <c r="B78" s="820"/>
      <c r="C78" s="758" t="s">
        <v>57</v>
      </c>
      <c r="D78" s="820" t="s">
        <v>59</v>
      </c>
      <c r="E78" s="823">
        <v>0.72</v>
      </c>
      <c r="F78" s="768">
        <f>'MINI SSR 2025-26'!$C$29</f>
        <v>105</v>
      </c>
      <c r="G78" s="824">
        <f>ROUND(E78*F78,2)</f>
        <v>75.599999999999994</v>
      </c>
      <c r="H78" s="821"/>
      <c r="K78" s="827"/>
    </row>
    <row r="79" spans="1:11" s="763" customFormat="1">
      <c r="A79" s="820"/>
      <c r="B79" s="820"/>
      <c r="C79" s="785"/>
      <c r="D79" s="757"/>
      <c r="E79" s="768"/>
      <c r="F79" s="768"/>
      <c r="G79" s="824">
        <f>SUM(G76:G78)</f>
        <v>1994.3999999999999</v>
      </c>
      <c r="H79" s="821"/>
      <c r="K79" s="827"/>
    </row>
    <row r="80" spans="1:11" s="763" customFormat="1">
      <c r="A80" s="820"/>
      <c r="B80" s="820"/>
      <c r="C80" s="758" t="s">
        <v>2213</v>
      </c>
      <c r="D80" s="820"/>
      <c r="E80" s="823"/>
      <c r="F80" s="823"/>
      <c r="G80" s="825">
        <f>ROUND(G79*$H$3,2)</f>
        <v>271.54000000000002</v>
      </c>
      <c r="H80" s="821"/>
      <c r="K80" s="827"/>
    </row>
    <row r="81" spans="1:11" s="763" customFormat="1">
      <c r="A81" s="820"/>
      <c r="B81" s="820"/>
      <c r="C81" s="785" t="s">
        <v>2300</v>
      </c>
      <c r="D81" s="757"/>
      <c r="E81" s="768"/>
      <c r="F81" s="768"/>
      <c r="G81" s="824">
        <f>SUM(G79:G80)</f>
        <v>2265.94</v>
      </c>
      <c r="H81" s="821"/>
      <c r="K81" s="827"/>
    </row>
    <row r="82" spans="1:11" s="763" customFormat="1" ht="13.5" thickBot="1">
      <c r="A82" s="820"/>
      <c r="B82" s="820"/>
      <c r="C82" s="758" t="s">
        <v>308</v>
      </c>
      <c r="D82" s="820"/>
      <c r="E82" s="820"/>
      <c r="F82" s="820"/>
      <c r="G82" s="828">
        <f>ROUND(G81/6,2)</f>
        <v>377.66</v>
      </c>
      <c r="H82" s="821"/>
      <c r="K82" s="829"/>
    </row>
    <row r="83" spans="1:11" s="763" customFormat="1" ht="90" thickTop="1">
      <c r="A83" s="757">
        <v>6</v>
      </c>
      <c r="B83" s="819" t="s">
        <v>158</v>
      </c>
      <c r="C83" s="758" t="s">
        <v>159</v>
      </c>
      <c r="D83" s="820"/>
      <c r="E83" s="820"/>
      <c r="F83" s="820"/>
      <c r="G83" s="819"/>
      <c r="H83" s="821"/>
    </row>
    <row r="84" spans="1:11" s="763" customFormat="1">
      <c r="A84" s="757"/>
      <c r="B84" s="819"/>
      <c r="C84" s="785" t="s">
        <v>60</v>
      </c>
      <c r="D84" s="820"/>
      <c r="E84" s="820"/>
      <c r="F84" s="820"/>
      <c r="G84" s="825"/>
      <c r="H84" s="821"/>
    </row>
    <row r="85" spans="1:11" s="763" customFormat="1">
      <c r="A85" s="820"/>
      <c r="B85" s="820"/>
      <c r="C85" s="758" t="s">
        <v>44</v>
      </c>
      <c r="D85" s="820" t="s">
        <v>4</v>
      </c>
      <c r="E85" s="823">
        <v>162</v>
      </c>
      <c r="F85" s="823">
        <f>'lead 25-26'!L8</f>
        <v>4218.8</v>
      </c>
      <c r="G85" s="824">
        <f>ROUND(E85*F85/1000,2)</f>
        <v>683.45</v>
      </c>
      <c r="H85" s="821"/>
    </row>
    <row r="86" spans="1:11" s="763" customFormat="1">
      <c r="A86" s="820"/>
      <c r="B86" s="820"/>
      <c r="C86" s="758" t="s">
        <v>56</v>
      </c>
      <c r="D86" s="820" t="s">
        <v>35</v>
      </c>
      <c r="E86" s="823">
        <v>0.9</v>
      </c>
      <c r="F86" s="823">
        <f>'lead 25-26'!L17</f>
        <v>1808.7500000000002</v>
      </c>
      <c r="G86" s="824">
        <f>ROUND(E86*F86,2)</f>
        <v>1627.88</v>
      </c>
      <c r="H86" s="821"/>
    </row>
    <row r="87" spans="1:11" s="763" customFormat="1">
      <c r="A87" s="820"/>
      <c r="B87" s="820"/>
      <c r="C87" s="758" t="s">
        <v>111</v>
      </c>
      <c r="D87" s="820" t="s">
        <v>35</v>
      </c>
      <c r="E87" s="823">
        <v>0.45</v>
      </c>
      <c r="F87" s="823">
        <f>'lead 25-26'!L14</f>
        <v>1068.3999999999996</v>
      </c>
      <c r="G87" s="824">
        <f>ROUND(E87*F87,2)</f>
        <v>480.78</v>
      </c>
      <c r="H87" s="821"/>
    </row>
    <row r="88" spans="1:11" s="763" customFormat="1">
      <c r="A88" s="820"/>
      <c r="B88" s="820"/>
      <c r="C88" s="758" t="s">
        <v>57</v>
      </c>
      <c r="D88" s="820" t="s">
        <v>58</v>
      </c>
      <c r="E88" s="823">
        <v>1.2</v>
      </c>
      <c r="F88" s="768">
        <f>'MINI SSR 2025-26'!$C$29</f>
        <v>105</v>
      </c>
      <c r="G88" s="824">
        <f>ROUND(E88*F88,2)</f>
        <v>126</v>
      </c>
      <c r="H88" s="821"/>
    </row>
    <row r="89" spans="1:11" s="763" customFormat="1">
      <c r="A89" s="820"/>
      <c r="B89" s="820"/>
      <c r="C89" s="785" t="s">
        <v>61</v>
      </c>
      <c r="D89" s="820"/>
      <c r="E89" s="823"/>
      <c r="F89" s="823"/>
      <c r="G89" s="824"/>
      <c r="H89" s="821"/>
    </row>
    <row r="90" spans="1:11" s="763" customFormat="1">
      <c r="A90" s="820"/>
      <c r="B90" s="820"/>
      <c r="C90" s="758" t="s">
        <v>62</v>
      </c>
      <c r="D90" s="820" t="s">
        <v>21</v>
      </c>
      <c r="E90" s="823">
        <v>1</v>
      </c>
      <c r="F90" s="823">
        <f>'MINI SSR 2025-26'!$C$30</f>
        <v>722.41</v>
      </c>
      <c r="G90" s="824">
        <f>ROUND(E90*F90,2)</f>
        <v>722.41</v>
      </c>
      <c r="H90" s="821"/>
    </row>
    <row r="91" spans="1:11" s="763" customFormat="1">
      <c r="A91" s="820"/>
      <c r="B91" s="820"/>
      <c r="C91" s="785" t="s">
        <v>63</v>
      </c>
      <c r="D91" s="820"/>
      <c r="E91" s="823"/>
      <c r="F91" s="823"/>
      <c r="G91" s="824"/>
      <c r="H91" s="821"/>
    </row>
    <row r="92" spans="1:11" s="763" customFormat="1">
      <c r="A92" s="820"/>
      <c r="B92" s="820"/>
      <c r="C92" s="758" t="s">
        <v>64</v>
      </c>
      <c r="D92" s="820" t="s">
        <v>27</v>
      </c>
      <c r="E92" s="823">
        <v>0.1</v>
      </c>
      <c r="F92" s="823">
        <f>'MINI SSR 2025-26'!$H$3</f>
        <v>735</v>
      </c>
      <c r="G92" s="824">
        <f>ROUND(E92*F92,2)</f>
        <v>73.5</v>
      </c>
      <c r="H92" s="821"/>
      <c r="K92" s="827"/>
    </row>
    <row r="93" spans="1:11" s="763" customFormat="1">
      <c r="A93" s="820"/>
      <c r="B93" s="820"/>
      <c r="C93" s="758" t="s">
        <v>19</v>
      </c>
      <c r="D93" s="820" t="s">
        <v>27</v>
      </c>
      <c r="E93" s="823">
        <v>1.39</v>
      </c>
      <c r="F93" s="823">
        <f>'MINI SSR 2025-26'!$H$5</f>
        <v>615</v>
      </c>
      <c r="G93" s="824">
        <f>ROUND(E93*F93,2)</f>
        <v>854.85</v>
      </c>
      <c r="H93" s="821"/>
      <c r="K93" s="827"/>
    </row>
    <row r="94" spans="1:11" s="763" customFormat="1">
      <c r="A94" s="820"/>
      <c r="B94" s="820"/>
      <c r="C94" s="758"/>
      <c r="D94" s="820"/>
      <c r="E94" s="823"/>
      <c r="F94" s="823"/>
      <c r="G94" s="824">
        <f>SUM(G85:G93)</f>
        <v>4568.87</v>
      </c>
      <c r="H94" s="821"/>
      <c r="K94" s="827"/>
    </row>
    <row r="95" spans="1:11" s="763" customFormat="1">
      <c r="A95" s="820"/>
      <c r="B95" s="820"/>
      <c r="C95" s="758" t="s">
        <v>2213</v>
      </c>
      <c r="D95" s="820"/>
      <c r="E95" s="823"/>
      <c r="F95" s="823"/>
      <c r="G95" s="825">
        <f>ROUND(G94*$H$3,2)</f>
        <v>622.04999999999995</v>
      </c>
    </row>
    <row r="96" spans="1:11" s="763" customFormat="1" ht="13.5" thickBot="1">
      <c r="A96" s="820"/>
      <c r="B96" s="820"/>
      <c r="C96" s="758"/>
      <c r="D96" s="820"/>
      <c r="E96" s="820"/>
      <c r="F96" s="820"/>
      <c r="G96" s="828">
        <f>SUM(G94:G95)</f>
        <v>5190.92</v>
      </c>
      <c r="H96" s="821"/>
      <c r="K96" s="829"/>
    </row>
    <row r="97" spans="1:11" ht="90" hidden="1" thickTop="1">
      <c r="A97" s="110">
        <v>12</v>
      </c>
      <c r="B97" s="278" t="s">
        <v>65</v>
      </c>
      <c r="C97" s="632" t="s">
        <v>67</v>
      </c>
      <c r="D97" s="179"/>
      <c r="E97" s="179"/>
      <c r="F97" s="179"/>
      <c r="G97" s="278"/>
    </row>
    <row r="98" spans="1:11" ht="13.5" hidden="1" thickTop="1">
      <c r="A98" s="110"/>
      <c r="B98" s="278"/>
      <c r="C98" s="287" t="s">
        <v>60</v>
      </c>
      <c r="D98" s="179"/>
      <c r="E98" s="179"/>
      <c r="F98" s="179"/>
      <c r="G98" s="273"/>
    </row>
    <row r="99" spans="1:11" ht="13.5" hidden="1" thickTop="1">
      <c r="A99" s="179"/>
      <c r="B99" s="179"/>
      <c r="C99" s="632" t="s">
        <v>44</v>
      </c>
      <c r="D99" s="179" t="s">
        <v>4</v>
      </c>
      <c r="E99" s="281">
        <v>129.6</v>
      </c>
      <c r="F99" s="281">
        <f>F85</f>
        <v>4218.8</v>
      </c>
      <c r="G99" s="173">
        <f>ROUND(E99*F99/1000,2)</f>
        <v>546.76</v>
      </c>
    </row>
    <row r="100" spans="1:11" ht="13.5" hidden="1" thickTop="1">
      <c r="A100" s="179"/>
      <c r="B100" s="179"/>
      <c r="C100" s="632" t="s">
        <v>56</v>
      </c>
      <c r="D100" s="179" t="s">
        <v>35</v>
      </c>
      <c r="E100" s="281">
        <v>0.9</v>
      </c>
      <c r="F100" s="281">
        <f>F86</f>
        <v>1808.7500000000002</v>
      </c>
      <c r="G100" s="173">
        <f>ROUND(E100*F100,2)</f>
        <v>1627.88</v>
      </c>
    </row>
    <row r="101" spans="1:11" ht="13.5" hidden="1" thickTop="1">
      <c r="A101" s="179"/>
      <c r="B101" s="179"/>
      <c r="C101" s="632" t="s">
        <v>111</v>
      </c>
      <c r="D101" s="179" t="s">
        <v>35</v>
      </c>
      <c r="E101" s="281">
        <v>0.45</v>
      </c>
      <c r="F101" s="281">
        <f>F87</f>
        <v>1068.3999999999996</v>
      </c>
      <c r="G101" s="173">
        <f>ROUND(E101*F101,2)</f>
        <v>480.78</v>
      </c>
    </row>
    <row r="102" spans="1:11" ht="13.5" hidden="1" thickTop="1">
      <c r="A102" s="179"/>
      <c r="B102" s="179"/>
      <c r="C102" s="632" t="s">
        <v>57</v>
      </c>
      <c r="D102" s="179" t="s">
        <v>58</v>
      </c>
      <c r="E102" s="281">
        <v>1.2</v>
      </c>
      <c r="F102" s="12">
        <f>'MINI SSR 2025-26'!$C$29</f>
        <v>105</v>
      </c>
      <c r="G102" s="173">
        <f>ROUND(E102*F102,2)</f>
        <v>126</v>
      </c>
    </row>
    <row r="103" spans="1:11" ht="13.5" hidden="1" thickTop="1">
      <c r="A103" s="179"/>
      <c r="B103" s="179"/>
      <c r="C103" s="287" t="s">
        <v>61</v>
      </c>
      <c r="D103" s="179"/>
      <c r="E103" s="281"/>
      <c r="F103" s="281"/>
      <c r="G103" s="173"/>
    </row>
    <row r="104" spans="1:11" ht="13.5" hidden="1" thickTop="1">
      <c r="A104" s="179"/>
      <c r="B104" s="179"/>
      <c r="C104" s="632" t="s">
        <v>62</v>
      </c>
      <c r="D104" s="179" t="s">
        <v>21</v>
      </c>
      <c r="E104" s="281">
        <v>1</v>
      </c>
      <c r="F104" s="281">
        <f>'MINI SSR 2025-26'!$C$30</f>
        <v>722.41</v>
      </c>
      <c r="G104" s="173">
        <f>ROUND(E104*F104,2)</f>
        <v>722.41</v>
      </c>
    </row>
    <row r="105" spans="1:11" ht="13.5" hidden="1" thickTop="1">
      <c r="A105" s="179"/>
      <c r="B105" s="179"/>
      <c r="C105" s="287" t="s">
        <v>63</v>
      </c>
      <c r="D105" s="179"/>
      <c r="E105" s="281"/>
      <c r="F105" s="281"/>
      <c r="G105" s="173"/>
    </row>
    <row r="106" spans="1:11" ht="13.5" hidden="1" thickTop="1">
      <c r="A106" s="179"/>
      <c r="B106" s="179"/>
      <c r="C106" s="632" t="s">
        <v>64</v>
      </c>
      <c r="D106" s="179" t="s">
        <v>27</v>
      </c>
      <c r="E106" s="281">
        <v>0.1</v>
      </c>
      <c r="F106" s="281">
        <f>'MINI SSR 2025-26'!$H$3</f>
        <v>735</v>
      </c>
      <c r="G106" s="173">
        <f>ROUND(E106*F106,2)</f>
        <v>73.5</v>
      </c>
      <c r="K106" s="20"/>
    </row>
    <row r="107" spans="1:11" ht="13.5" hidden="1" thickTop="1">
      <c r="A107" s="179"/>
      <c r="B107" s="179"/>
      <c r="C107" s="632" t="s">
        <v>19</v>
      </c>
      <c r="D107" s="179" t="s">
        <v>27</v>
      </c>
      <c r="E107" s="281">
        <v>1.39</v>
      </c>
      <c r="F107" s="281">
        <f>'MINI SSR 2025-26'!$H$5</f>
        <v>615</v>
      </c>
      <c r="G107" s="173">
        <f>ROUND(E107*F107,2)</f>
        <v>854.85</v>
      </c>
      <c r="K107" s="20"/>
    </row>
    <row r="108" spans="1:11" ht="14.25" hidden="1" thickTop="1" thickBot="1">
      <c r="A108" s="179"/>
      <c r="B108" s="179"/>
      <c r="C108" s="632"/>
      <c r="D108" s="179"/>
      <c r="E108" s="179"/>
      <c r="F108" s="179"/>
      <c r="G108" s="282">
        <f>SUM(G99:G107)</f>
        <v>4432.18</v>
      </c>
      <c r="K108" s="276"/>
    </row>
    <row r="109" spans="1:11" s="763" customFormat="1" ht="179.25" thickTop="1">
      <c r="A109" s="757">
        <v>7</v>
      </c>
      <c r="B109" s="819" t="s">
        <v>66</v>
      </c>
      <c r="C109" s="758" t="s">
        <v>1843</v>
      </c>
      <c r="D109" s="820"/>
      <c r="E109" s="820"/>
      <c r="F109" s="820"/>
      <c r="G109" s="819"/>
      <c r="H109" s="821"/>
    </row>
    <row r="110" spans="1:11" s="763" customFormat="1">
      <c r="A110" s="757"/>
      <c r="B110" s="819"/>
      <c r="C110" s="785" t="s">
        <v>81</v>
      </c>
      <c r="D110" s="820"/>
      <c r="E110" s="820"/>
      <c r="F110" s="820"/>
      <c r="G110" s="825"/>
      <c r="H110" s="821"/>
    </row>
    <row r="111" spans="1:11" s="763" customFormat="1">
      <c r="A111" s="757"/>
      <c r="B111" s="819"/>
      <c r="C111" s="785" t="s">
        <v>60</v>
      </c>
      <c r="D111" s="820"/>
      <c r="E111" s="820"/>
      <c r="F111" s="820"/>
      <c r="G111" s="825"/>
      <c r="H111" s="821"/>
    </row>
    <row r="112" spans="1:11" s="763" customFormat="1">
      <c r="A112" s="757"/>
      <c r="B112" s="819"/>
      <c r="C112" s="758" t="s">
        <v>2211</v>
      </c>
      <c r="D112" s="820" t="s">
        <v>35</v>
      </c>
      <c r="E112" s="823">
        <v>0.9</v>
      </c>
      <c r="F112" s="823">
        <f>'lead 25-26'!L18</f>
        <v>2452.5</v>
      </c>
      <c r="G112" s="824">
        <f>ROUND(E112*F112,2)</f>
        <v>2207.25</v>
      </c>
      <c r="H112" s="821"/>
    </row>
    <row r="113" spans="1:11" s="763" customFormat="1">
      <c r="A113" s="757"/>
      <c r="B113" s="819"/>
      <c r="C113" s="758" t="s">
        <v>111</v>
      </c>
      <c r="D113" s="820" t="s">
        <v>35</v>
      </c>
      <c r="E113" s="823">
        <v>0.45</v>
      </c>
      <c r="F113" s="823">
        <f>'lead 25-26'!L14</f>
        <v>1068.3999999999996</v>
      </c>
      <c r="G113" s="824">
        <f>ROUND(E113*F113,2)</f>
        <v>480.78</v>
      </c>
      <c r="H113" s="821"/>
    </row>
    <row r="114" spans="1:11" s="763" customFormat="1">
      <c r="A114" s="820"/>
      <c r="B114" s="820"/>
      <c r="C114" s="758" t="s">
        <v>33</v>
      </c>
      <c r="D114" s="820" t="s">
        <v>4</v>
      </c>
      <c r="E114" s="823">
        <v>330</v>
      </c>
      <c r="F114" s="823">
        <f>'lead 25-26'!L8</f>
        <v>4218.8</v>
      </c>
      <c r="G114" s="824">
        <f>ROUND(E114*F114/1000,2)</f>
        <v>1392.2</v>
      </c>
      <c r="H114" s="821"/>
    </row>
    <row r="115" spans="1:11" s="763" customFormat="1">
      <c r="A115" s="820"/>
      <c r="B115" s="820"/>
      <c r="C115" s="785" t="s">
        <v>68</v>
      </c>
      <c r="D115" s="820"/>
      <c r="E115" s="823"/>
      <c r="F115" s="823"/>
      <c r="G115" s="824"/>
      <c r="H115" s="821"/>
    </row>
    <row r="116" spans="1:11" s="763" customFormat="1">
      <c r="A116" s="820"/>
      <c r="B116" s="820"/>
      <c r="C116" s="758" t="s">
        <v>64</v>
      </c>
      <c r="D116" s="820" t="s">
        <v>27</v>
      </c>
      <c r="E116" s="830">
        <v>0.13300000000000001</v>
      </c>
      <c r="F116" s="823">
        <f>'MINI SSR 2025-26'!$H$3</f>
        <v>735</v>
      </c>
      <c r="G116" s="824">
        <f>ROUND(E116*F116,2)</f>
        <v>97.76</v>
      </c>
      <c r="H116" s="821"/>
      <c r="K116" s="827"/>
    </row>
    <row r="117" spans="1:11" s="763" customFormat="1">
      <c r="A117" s="820"/>
      <c r="B117" s="820"/>
      <c r="C117" s="758" t="s">
        <v>69</v>
      </c>
      <c r="D117" s="820" t="s">
        <v>27</v>
      </c>
      <c r="E117" s="830">
        <v>0.26700000000000002</v>
      </c>
      <c r="F117" s="823">
        <f>'MINI SSR 2025-26'!$H$4</f>
        <v>665</v>
      </c>
      <c r="G117" s="824">
        <f>ROUND(E117*F117,2)</f>
        <v>177.56</v>
      </c>
      <c r="H117" s="821"/>
      <c r="K117" s="827"/>
    </row>
    <row r="118" spans="1:11" s="763" customFormat="1">
      <c r="A118" s="820"/>
      <c r="B118" s="820"/>
      <c r="C118" s="758" t="s">
        <v>70</v>
      </c>
      <c r="D118" s="820" t="s">
        <v>27</v>
      </c>
      <c r="E118" s="830">
        <v>3.6</v>
      </c>
      <c r="F118" s="823">
        <f>'MINI SSR 2025-26'!$H$5</f>
        <v>615</v>
      </c>
      <c r="G118" s="824">
        <f>ROUND(E118*F118,2)</f>
        <v>2214</v>
      </c>
      <c r="H118" s="821"/>
      <c r="K118" s="827"/>
    </row>
    <row r="119" spans="1:11" s="763" customFormat="1">
      <c r="A119" s="820"/>
      <c r="B119" s="820"/>
      <c r="C119" s="785" t="s">
        <v>61</v>
      </c>
      <c r="D119" s="820"/>
      <c r="E119" s="823"/>
      <c r="F119" s="823"/>
      <c r="G119" s="824"/>
      <c r="H119" s="821"/>
    </row>
    <row r="120" spans="1:11" s="763" customFormat="1">
      <c r="A120" s="820"/>
      <c r="B120" s="820"/>
      <c r="C120" s="758" t="s">
        <v>62</v>
      </c>
      <c r="D120" s="820" t="s">
        <v>21</v>
      </c>
      <c r="E120" s="823">
        <v>1</v>
      </c>
      <c r="F120" s="823">
        <f>'MINI SSR 2025-26'!$C$30</f>
        <v>722.41</v>
      </c>
      <c r="G120" s="824">
        <f>ROUND(E120*F120,2)</f>
        <v>722.41</v>
      </c>
      <c r="H120" s="821"/>
    </row>
    <row r="121" spans="1:11" s="763" customFormat="1">
      <c r="A121" s="820"/>
      <c r="B121" s="820"/>
      <c r="C121" s="758" t="s">
        <v>161</v>
      </c>
      <c r="D121" s="820" t="s">
        <v>21</v>
      </c>
      <c r="E121" s="823">
        <v>1</v>
      </c>
      <c r="F121" s="823">
        <f>'MINI SSR 2025-26'!$C$31</f>
        <v>297.87</v>
      </c>
      <c r="G121" s="824">
        <f>ROUND(E121*F121,2)</f>
        <v>297.87</v>
      </c>
      <c r="H121" s="821"/>
    </row>
    <row r="122" spans="1:11" s="763" customFormat="1">
      <c r="A122" s="820"/>
      <c r="B122" s="820"/>
      <c r="C122" s="758" t="s">
        <v>57</v>
      </c>
      <c r="D122" s="820" t="s">
        <v>58</v>
      </c>
      <c r="E122" s="823">
        <v>1.2</v>
      </c>
      <c r="F122" s="823">
        <f>'MINI SSR 2025-26'!$C$29</f>
        <v>105</v>
      </c>
      <c r="G122" s="824">
        <f>ROUND(E122*F122,2)</f>
        <v>126</v>
      </c>
      <c r="H122" s="821"/>
    </row>
    <row r="123" spans="1:11" s="763" customFormat="1" ht="13.5" thickBot="1">
      <c r="A123" s="820"/>
      <c r="B123" s="820"/>
      <c r="C123" s="785" t="s">
        <v>71</v>
      </c>
      <c r="D123" s="820"/>
      <c r="E123" s="820"/>
      <c r="F123" s="820"/>
      <c r="G123" s="828">
        <f>SUM(G112:G122)</f>
        <v>7715.83</v>
      </c>
      <c r="H123" s="821"/>
      <c r="K123" s="829"/>
    </row>
    <row r="124" spans="1:11" s="763" customFormat="1" ht="13.5" thickTop="1">
      <c r="A124" s="820"/>
      <c r="B124" s="820"/>
      <c r="C124" s="785" t="s">
        <v>72</v>
      </c>
      <c r="D124" s="820"/>
      <c r="E124" s="820"/>
      <c r="F124" s="820"/>
      <c r="G124" s="825"/>
      <c r="H124" s="821"/>
    </row>
    <row r="125" spans="1:11" s="763" customFormat="1">
      <c r="A125" s="820"/>
      <c r="B125" s="820"/>
      <c r="C125" s="758" t="s">
        <v>73</v>
      </c>
      <c r="D125" s="820" t="s">
        <v>35</v>
      </c>
      <c r="E125" s="823">
        <v>1</v>
      </c>
      <c r="F125" s="823">
        <f>G123</f>
        <v>7715.83</v>
      </c>
      <c r="G125" s="824">
        <f>ROUND(E125*F125,2)</f>
        <v>7715.83</v>
      </c>
      <c r="H125" s="821"/>
      <c r="K125" s="827"/>
    </row>
    <row r="126" spans="1:11" s="763" customFormat="1" ht="25.5">
      <c r="A126" s="820"/>
      <c r="B126" s="820"/>
      <c r="C126" s="758" t="s">
        <v>1080</v>
      </c>
      <c r="D126" s="820" t="s">
        <v>35</v>
      </c>
      <c r="E126" s="823">
        <v>1</v>
      </c>
      <c r="F126" s="823">
        <f>'MINI SSR 2025-26'!C52</f>
        <v>301</v>
      </c>
      <c r="G126" s="824">
        <f t="shared" ref="G126:G127" si="0">ROUND(E126*F126,2)</f>
        <v>301</v>
      </c>
      <c r="H126" s="821"/>
    </row>
    <row r="127" spans="1:11" s="763" customFormat="1">
      <c r="A127" s="820"/>
      <c r="B127" s="820"/>
      <c r="C127" s="758" t="s">
        <v>1081</v>
      </c>
      <c r="D127" s="820" t="s">
        <v>35</v>
      </c>
      <c r="E127" s="823">
        <v>1</v>
      </c>
      <c r="F127" s="823">
        <f>'MINI SSR 2025-26'!D52</f>
        <v>672</v>
      </c>
      <c r="G127" s="824">
        <f t="shared" si="0"/>
        <v>672</v>
      </c>
      <c r="H127" s="821"/>
      <c r="K127" s="827"/>
    </row>
    <row r="128" spans="1:11" s="763" customFormat="1">
      <c r="A128" s="820"/>
      <c r="B128" s="820"/>
      <c r="C128" s="758"/>
      <c r="D128" s="820"/>
      <c r="E128" s="823"/>
      <c r="F128" s="823"/>
      <c r="G128" s="824">
        <f>SUM(G125:G127)</f>
        <v>8688.83</v>
      </c>
      <c r="H128" s="821"/>
      <c r="K128" s="827"/>
    </row>
    <row r="129" spans="1:11" s="763" customFormat="1">
      <c r="A129" s="820"/>
      <c r="B129" s="820"/>
      <c r="C129" s="758" t="s">
        <v>2213</v>
      </c>
      <c r="D129" s="820"/>
      <c r="E129" s="823"/>
      <c r="F129" s="823"/>
      <c r="G129" s="825">
        <f>ROUND(G128*$H$3,2)</f>
        <v>1182.98</v>
      </c>
      <c r="H129" s="821"/>
      <c r="K129" s="827"/>
    </row>
    <row r="130" spans="1:11" s="763" customFormat="1" ht="13.5" thickBot="1">
      <c r="A130" s="820"/>
      <c r="B130" s="820"/>
      <c r="C130" s="758"/>
      <c r="D130" s="820"/>
      <c r="E130" s="820"/>
      <c r="F130" s="820"/>
      <c r="G130" s="828">
        <f>SUM(G128:G129)</f>
        <v>9871.81</v>
      </c>
      <c r="H130" s="821"/>
      <c r="K130" s="829"/>
    </row>
    <row r="131" spans="1:11" s="763" customFormat="1" ht="13.5" thickTop="1">
      <c r="A131" s="820"/>
      <c r="B131" s="820"/>
      <c r="C131" s="785" t="s">
        <v>74</v>
      </c>
      <c r="D131" s="820"/>
      <c r="E131" s="820"/>
      <c r="F131" s="820"/>
      <c r="G131" s="825"/>
      <c r="H131" s="821"/>
    </row>
    <row r="132" spans="1:11" s="763" customFormat="1">
      <c r="A132" s="820"/>
      <c r="B132" s="820"/>
      <c r="C132" s="758" t="s">
        <v>73</v>
      </c>
      <c r="D132" s="820" t="s">
        <v>35</v>
      </c>
      <c r="E132" s="823">
        <v>1</v>
      </c>
      <c r="F132" s="823">
        <f>G123</f>
        <v>7715.83</v>
      </c>
      <c r="G132" s="824">
        <f>ROUND(E132*F132,2)</f>
        <v>7715.83</v>
      </c>
      <c r="H132" s="821"/>
      <c r="K132" s="827"/>
    </row>
    <row r="133" spans="1:11" s="763" customFormat="1" ht="25.5">
      <c r="A133" s="820"/>
      <c r="B133" s="820"/>
      <c r="C133" s="758" t="s">
        <v>1082</v>
      </c>
      <c r="D133" s="820" t="s">
        <v>35</v>
      </c>
      <c r="E133" s="823">
        <v>1</v>
      </c>
      <c r="F133" s="823">
        <f>'MINI SSR 2025-26'!C54</f>
        <v>343</v>
      </c>
      <c r="G133" s="824">
        <f t="shared" ref="G133:G134" si="1">ROUND(E133*F133,2)</f>
        <v>343</v>
      </c>
      <c r="H133" s="821"/>
    </row>
    <row r="134" spans="1:11" s="763" customFormat="1">
      <c r="A134" s="820"/>
      <c r="B134" s="820"/>
      <c r="C134" s="758" t="s">
        <v>1083</v>
      </c>
      <c r="D134" s="820" t="s">
        <v>35</v>
      </c>
      <c r="E134" s="823">
        <v>1</v>
      </c>
      <c r="F134" s="823">
        <f>'MINI SSR 2025-26'!D54</f>
        <v>1069</v>
      </c>
      <c r="G134" s="824">
        <f t="shared" si="1"/>
        <v>1069</v>
      </c>
      <c r="H134" s="821"/>
      <c r="K134" s="827"/>
    </row>
    <row r="135" spans="1:11" s="763" customFormat="1">
      <c r="A135" s="820"/>
      <c r="B135" s="820"/>
      <c r="C135" s="758"/>
      <c r="D135" s="820"/>
      <c r="E135" s="823"/>
      <c r="F135" s="823"/>
      <c r="G135" s="824">
        <f>SUM(G132:G134)</f>
        <v>9127.83</v>
      </c>
      <c r="H135" s="821"/>
      <c r="K135" s="827"/>
    </row>
    <row r="136" spans="1:11" s="763" customFormat="1">
      <c r="A136" s="820"/>
      <c r="B136" s="820"/>
      <c r="C136" s="758" t="s">
        <v>2213</v>
      </c>
      <c r="D136" s="820"/>
      <c r="E136" s="823"/>
      <c r="F136" s="823"/>
      <c r="G136" s="825">
        <f>ROUND(G135*$H$3,2)</f>
        <v>1242.75</v>
      </c>
      <c r="H136" s="821"/>
      <c r="K136" s="827"/>
    </row>
    <row r="137" spans="1:11" s="763" customFormat="1" ht="13.5" thickBot="1">
      <c r="A137" s="820"/>
      <c r="B137" s="820"/>
      <c r="C137" s="758"/>
      <c r="D137" s="820"/>
      <c r="E137" s="820"/>
      <c r="F137" s="820"/>
      <c r="G137" s="828">
        <f>SUM(G135:G136)</f>
        <v>10370.58</v>
      </c>
      <c r="H137" s="821"/>
      <c r="K137" s="829"/>
    </row>
    <row r="138" spans="1:11" s="763" customFormat="1" ht="13.5" thickTop="1">
      <c r="A138" s="820"/>
      <c r="B138" s="820"/>
      <c r="C138" s="785" t="s">
        <v>75</v>
      </c>
      <c r="D138" s="820"/>
      <c r="E138" s="820"/>
      <c r="F138" s="820"/>
      <c r="G138" s="825"/>
      <c r="H138" s="821"/>
    </row>
    <row r="139" spans="1:11" s="763" customFormat="1">
      <c r="A139" s="820"/>
      <c r="B139" s="820"/>
      <c r="C139" s="758" t="s">
        <v>73</v>
      </c>
      <c r="D139" s="820" t="s">
        <v>35</v>
      </c>
      <c r="E139" s="823">
        <v>1</v>
      </c>
      <c r="F139" s="823">
        <f>G123</f>
        <v>7715.83</v>
      </c>
      <c r="G139" s="824">
        <f>ROUND(E139*F139,2)</f>
        <v>7715.83</v>
      </c>
      <c r="H139" s="821"/>
      <c r="K139" s="827"/>
    </row>
    <row r="140" spans="1:11" s="763" customFormat="1">
      <c r="A140" s="820"/>
      <c r="B140" s="820"/>
      <c r="C140" s="758" t="s">
        <v>1084</v>
      </c>
      <c r="D140" s="820" t="s">
        <v>35</v>
      </c>
      <c r="E140" s="823">
        <v>1</v>
      </c>
      <c r="F140" s="823">
        <f>'MINI SSR 2025-26'!C55</f>
        <v>1453</v>
      </c>
      <c r="G140" s="824">
        <f t="shared" ref="G140:G141" si="2">ROUND(E140*F140,2)</f>
        <v>1453</v>
      </c>
      <c r="H140" s="821"/>
    </row>
    <row r="141" spans="1:11" s="763" customFormat="1">
      <c r="A141" s="820"/>
      <c r="B141" s="820"/>
      <c r="C141" s="758" t="s">
        <v>1085</v>
      </c>
      <c r="D141" s="820" t="s">
        <v>35</v>
      </c>
      <c r="E141" s="823">
        <v>1</v>
      </c>
      <c r="F141" s="823">
        <f>'MINI SSR 2025-26'!D55</f>
        <v>1620</v>
      </c>
      <c r="G141" s="824">
        <f t="shared" si="2"/>
        <v>1620</v>
      </c>
      <c r="H141" s="821"/>
      <c r="K141" s="827"/>
    </row>
    <row r="142" spans="1:11" s="763" customFormat="1">
      <c r="A142" s="820"/>
      <c r="B142" s="820"/>
      <c r="C142" s="758"/>
      <c r="D142" s="820"/>
      <c r="E142" s="823"/>
      <c r="F142" s="823"/>
      <c r="G142" s="824">
        <f>SUM(G139:G141)</f>
        <v>10788.83</v>
      </c>
      <c r="H142" s="821"/>
      <c r="K142" s="827"/>
    </row>
    <row r="143" spans="1:11" s="763" customFormat="1">
      <c r="A143" s="820"/>
      <c r="B143" s="820"/>
      <c r="C143" s="758" t="s">
        <v>2213</v>
      </c>
      <c r="D143" s="820"/>
      <c r="E143" s="823"/>
      <c r="F143" s="823"/>
      <c r="G143" s="825">
        <f>ROUND(G142*$H$3,2)</f>
        <v>1468.9</v>
      </c>
      <c r="H143" s="821"/>
      <c r="K143" s="827"/>
    </row>
    <row r="144" spans="1:11" s="763" customFormat="1" ht="13.5" thickBot="1">
      <c r="A144" s="820"/>
      <c r="B144" s="820"/>
      <c r="C144" s="758"/>
      <c r="D144" s="820"/>
      <c r="E144" s="820"/>
      <c r="F144" s="820"/>
      <c r="G144" s="828">
        <f>SUM(G142:G143)</f>
        <v>12257.73</v>
      </c>
      <c r="H144" s="821"/>
      <c r="K144" s="829"/>
    </row>
    <row r="145" spans="1:11" s="763" customFormat="1" ht="179.25" thickTop="1">
      <c r="A145" s="757">
        <v>8</v>
      </c>
      <c r="B145" s="819" t="s">
        <v>76</v>
      </c>
      <c r="C145" s="758" t="s">
        <v>1844</v>
      </c>
      <c r="D145" s="820"/>
      <c r="E145" s="820"/>
      <c r="F145" s="820"/>
      <c r="G145" s="819"/>
      <c r="H145" s="821"/>
    </row>
    <row r="146" spans="1:11" s="763" customFormat="1">
      <c r="A146" s="757"/>
      <c r="B146" s="819"/>
      <c r="C146" s="785" t="s">
        <v>80</v>
      </c>
      <c r="D146" s="820"/>
      <c r="E146" s="820"/>
      <c r="F146" s="820"/>
      <c r="G146" s="825"/>
      <c r="H146" s="821"/>
    </row>
    <row r="147" spans="1:11" s="763" customFormat="1">
      <c r="A147" s="757"/>
      <c r="B147" s="819"/>
      <c r="C147" s="785" t="s">
        <v>60</v>
      </c>
      <c r="D147" s="820"/>
      <c r="E147" s="820"/>
      <c r="F147" s="820"/>
      <c r="G147" s="825"/>
      <c r="H147" s="821"/>
    </row>
    <row r="148" spans="1:11" s="763" customFormat="1">
      <c r="A148" s="757"/>
      <c r="B148" s="819"/>
      <c r="C148" s="758" t="s">
        <v>146</v>
      </c>
      <c r="D148" s="820" t="s">
        <v>35</v>
      </c>
      <c r="E148" s="823">
        <v>0.9</v>
      </c>
      <c r="F148" s="823">
        <f>F112</f>
        <v>2452.5</v>
      </c>
      <c r="G148" s="824">
        <f>ROUND(E148*F148,2)</f>
        <v>2207.25</v>
      </c>
      <c r="H148" s="821"/>
    </row>
    <row r="149" spans="1:11" s="763" customFormat="1">
      <c r="A149" s="757"/>
      <c r="B149" s="819"/>
      <c r="C149" s="758" t="s">
        <v>111</v>
      </c>
      <c r="D149" s="820" t="s">
        <v>35</v>
      </c>
      <c r="E149" s="823">
        <v>0.45</v>
      </c>
      <c r="F149" s="823">
        <f>'lead 25-26'!L14</f>
        <v>1068.3999999999996</v>
      </c>
      <c r="G149" s="824">
        <f>ROUND(E149*F149,2)</f>
        <v>480.78</v>
      </c>
      <c r="H149" s="821"/>
    </row>
    <row r="150" spans="1:11" s="763" customFormat="1">
      <c r="A150" s="820"/>
      <c r="B150" s="820"/>
      <c r="C150" s="758" t="s">
        <v>33</v>
      </c>
      <c r="D150" s="820" t="s">
        <v>4</v>
      </c>
      <c r="E150" s="823">
        <f>E114</f>
        <v>330</v>
      </c>
      <c r="F150" s="823">
        <f>'lead 25-26'!L8</f>
        <v>4218.8</v>
      </c>
      <c r="G150" s="824">
        <f>ROUND(E150*F150/1000,2)</f>
        <v>1392.2</v>
      </c>
      <c r="H150" s="821"/>
    </row>
    <row r="151" spans="1:11" s="763" customFormat="1">
      <c r="A151" s="820"/>
      <c r="B151" s="820"/>
      <c r="C151" s="785" t="s">
        <v>68</v>
      </c>
      <c r="D151" s="820"/>
      <c r="E151" s="823"/>
      <c r="F151" s="823"/>
      <c r="G151" s="824"/>
      <c r="H151" s="821"/>
    </row>
    <row r="152" spans="1:11" s="763" customFormat="1">
      <c r="A152" s="820"/>
      <c r="B152" s="820"/>
      <c r="C152" s="758" t="s">
        <v>64</v>
      </c>
      <c r="D152" s="820" t="s">
        <v>27</v>
      </c>
      <c r="E152" s="830">
        <v>0.16700000000000001</v>
      </c>
      <c r="F152" s="823">
        <f>'MINI SSR 2025-26'!$H$3</f>
        <v>735</v>
      </c>
      <c r="G152" s="824">
        <f>ROUND(E152*F152,2)</f>
        <v>122.75</v>
      </c>
      <c r="H152" s="821"/>
      <c r="K152" s="827">
        <f>G152</f>
        <v>122.75</v>
      </c>
    </row>
    <row r="153" spans="1:11" s="763" customFormat="1">
      <c r="A153" s="820"/>
      <c r="B153" s="820"/>
      <c r="C153" s="758" t="s">
        <v>69</v>
      </c>
      <c r="D153" s="820" t="s">
        <v>27</v>
      </c>
      <c r="E153" s="830">
        <v>0.16700000000000001</v>
      </c>
      <c r="F153" s="823">
        <f>'MINI SSR 2025-26'!$H$4</f>
        <v>665</v>
      </c>
      <c r="G153" s="824">
        <f>ROUND(E153*F153,2)</f>
        <v>111.06</v>
      </c>
      <c r="H153" s="821"/>
      <c r="K153" s="827">
        <f>G153</f>
        <v>111.06</v>
      </c>
    </row>
    <row r="154" spans="1:11" s="763" customFormat="1">
      <c r="A154" s="820"/>
      <c r="B154" s="820"/>
      <c r="C154" s="758" t="s">
        <v>70</v>
      </c>
      <c r="D154" s="820" t="s">
        <v>27</v>
      </c>
      <c r="E154" s="830">
        <v>4.7</v>
      </c>
      <c r="F154" s="823">
        <f>'MINI SSR 2025-26'!$H$5</f>
        <v>615</v>
      </c>
      <c r="G154" s="824">
        <f>ROUND(E154*F154,2)</f>
        <v>2890.5</v>
      </c>
      <c r="H154" s="821"/>
      <c r="K154" s="827">
        <f>G154</f>
        <v>2890.5</v>
      </c>
    </row>
    <row r="155" spans="1:11" s="763" customFormat="1">
      <c r="A155" s="820"/>
      <c r="B155" s="820"/>
      <c r="C155" s="785" t="s">
        <v>61</v>
      </c>
      <c r="D155" s="820"/>
      <c r="E155" s="823"/>
      <c r="F155" s="823"/>
      <c r="G155" s="824"/>
      <c r="H155" s="821"/>
    </row>
    <row r="156" spans="1:11" s="763" customFormat="1">
      <c r="A156" s="820"/>
      <c r="B156" s="820"/>
      <c r="C156" s="758" t="s">
        <v>62</v>
      </c>
      <c r="D156" s="820" t="s">
        <v>21</v>
      </c>
      <c r="E156" s="823">
        <v>1</v>
      </c>
      <c r="F156" s="823">
        <f>'MINI SSR 2025-26'!$C$30</f>
        <v>722.41</v>
      </c>
      <c r="G156" s="824">
        <f>ROUND(E156*F156,2)</f>
        <v>722.41</v>
      </c>
      <c r="H156" s="821"/>
    </row>
    <row r="157" spans="1:11" s="763" customFormat="1">
      <c r="A157" s="820"/>
      <c r="B157" s="820"/>
      <c r="C157" s="758" t="s">
        <v>161</v>
      </c>
      <c r="D157" s="820" t="s">
        <v>21</v>
      </c>
      <c r="E157" s="823">
        <v>1</v>
      </c>
      <c r="F157" s="823">
        <f>'MINI SSR 2025-26'!$C$31</f>
        <v>297.87</v>
      </c>
      <c r="G157" s="824">
        <f>ROUND(E157*F157,2)</f>
        <v>297.87</v>
      </c>
      <c r="H157" s="821"/>
    </row>
    <row r="158" spans="1:11" s="763" customFormat="1">
      <c r="A158" s="820"/>
      <c r="B158" s="820"/>
      <c r="C158" s="758" t="s">
        <v>57</v>
      </c>
      <c r="D158" s="820" t="s">
        <v>58</v>
      </c>
      <c r="E158" s="823">
        <v>1.2</v>
      </c>
      <c r="F158" s="823">
        <f>'MINI SSR 2025-26'!$C$29</f>
        <v>105</v>
      </c>
      <c r="G158" s="824">
        <f>ROUND(E158*F158,2)</f>
        <v>126</v>
      </c>
      <c r="H158" s="821"/>
    </row>
    <row r="159" spans="1:11" s="763" customFormat="1" ht="13.5" thickBot="1">
      <c r="A159" s="820"/>
      <c r="B159" s="820"/>
      <c r="C159" s="785" t="s">
        <v>71</v>
      </c>
      <c r="D159" s="820"/>
      <c r="E159" s="820"/>
      <c r="F159" s="820"/>
      <c r="G159" s="828">
        <f>SUM(G148:G158)</f>
        <v>8350.82</v>
      </c>
      <c r="H159" s="821"/>
      <c r="K159" s="829">
        <f>SUM(K152:K158)</f>
        <v>3124.31</v>
      </c>
    </row>
    <row r="160" spans="1:11" s="763" customFormat="1" ht="13.5" thickTop="1">
      <c r="A160" s="820"/>
      <c r="B160" s="820"/>
      <c r="C160" s="785"/>
      <c r="D160" s="820"/>
      <c r="E160" s="819" t="s">
        <v>163</v>
      </c>
      <c r="F160" s="819" t="s">
        <v>164</v>
      </c>
      <c r="G160" s="831" t="s">
        <v>165</v>
      </c>
    </row>
    <row r="161" spans="1:8" s="763" customFormat="1">
      <c r="A161" s="820"/>
      <c r="B161" s="820"/>
      <c r="C161" s="785" t="s">
        <v>1086</v>
      </c>
      <c r="D161" s="820"/>
      <c r="E161" s="823">
        <f>G159</f>
        <v>8350.82</v>
      </c>
      <c r="F161" s="823">
        <f>G159</f>
        <v>8350.82</v>
      </c>
      <c r="G161" s="825">
        <f>G159</f>
        <v>8350.82</v>
      </c>
    </row>
    <row r="162" spans="1:8" s="763" customFormat="1" ht="25.5">
      <c r="A162" s="820"/>
      <c r="B162" s="820"/>
      <c r="C162" s="758" t="s">
        <v>166</v>
      </c>
      <c r="D162" s="820"/>
      <c r="E162" s="823">
        <f>'MINI SSR 2025-26'!C57</f>
        <v>371</v>
      </c>
      <c r="F162" s="823">
        <f>E162</f>
        <v>371</v>
      </c>
      <c r="G162" s="784">
        <f>E162</f>
        <v>371</v>
      </c>
    </row>
    <row r="163" spans="1:8" s="763" customFormat="1">
      <c r="A163" s="820"/>
      <c r="B163" s="820"/>
      <c r="C163" s="758" t="s">
        <v>167</v>
      </c>
      <c r="D163" s="820"/>
      <c r="E163" s="823">
        <f>'MINI SSR 2025-26'!D57</f>
        <v>2415</v>
      </c>
      <c r="F163" s="823">
        <f>'MINI SSR 2025-26'!E57</f>
        <v>2657</v>
      </c>
      <c r="G163" s="825">
        <f>'MINI SSR 2025-26'!F57</f>
        <v>2898</v>
      </c>
    </row>
    <row r="164" spans="1:8" s="763" customFormat="1" ht="25.5">
      <c r="A164" s="820"/>
      <c r="B164" s="820"/>
      <c r="C164" s="758" t="s">
        <v>1087</v>
      </c>
      <c r="D164" s="820"/>
      <c r="E164" s="820"/>
      <c r="F164" s="820">
        <f>ROUND((G152+G153+G154+F163)*0.1,2)</f>
        <v>578.13</v>
      </c>
      <c r="G164" s="832">
        <f>ROUND((G152+G153+G154+G163)*0.2,2)</f>
        <v>1204.46</v>
      </c>
    </row>
    <row r="165" spans="1:8" s="763" customFormat="1">
      <c r="A165" s="820"/>
      <c r="B165" s="820"/>
      <c r="C165" s="758" t="s">
        <v>2213</v>
      </c>
      <c r="D165" s="820"/>
      <c r="E165" s="823">
        <f>ROUND(SUM(E161:E164)*$H$3,2)</f>
        <v>1516.28</v>
      </c>
      <c r="F165" s="823">
        <f>ROUND(SUM(F161:F164)*$H$3,2)</f>
        <v>1627.94</v>
      </c>
      <c r="G165" s="823">
        <f>ROUND(SUM(G161:G164)*$H$3,2)</f>
        <v>1746.03</v>
      </c>
    </row>
    <row r="166" spans="1:8" s="763" customFormat="1">
      <c r="A166" s="820"/>
      <c r="B166" s="820"/>
      <c r="C166" s="758"/>
      <c r="D166" s="820"/>
      <c r="E166" s="831">
        <f>SUM(E161:E165)</f>
        <v>12653.1</v>
      </c>
      <c r="F166" s="831">
        <f>SUM(F161:F165)</f>
        <v>13584.89</v>
      </c>
      <c r="G166" s="831">
        <f>SUM(G161:G165)</f>
        <v>14570.31</v>
      </c>
    </row>
    <row r="167" spans="1:8" s="763" customFormat="1">
      <c r="A167" s="820"/>
      <c r="B167" s="820"/>
      <c r="C167" s="785"/>
      <c r="D167" s="820"/>
      <c r="E167" s="819" t="s">
        <v>163</v>
      </c>
      <c r="F167" s="819" t="s">
        <v>164</v>
      </c>
      <c r="G167" s="831" t="s">
        <v>165</v>
      </c>
    </row>
    <row r="168" spans="1:8" s="763" customFormat="1">
      <c r="A168" s="820"/>
      <c r="B168" s="820"/>
      <c r="C168" s="785" t="s">
        <v>1088</v>
      </c>
      <c r="D168" s="820"/>
      <c r="E168" s="823">
        <f>G159</f>
        <v>8350.82</v>
      </c>
      <c r="F168" s="823">
        <f>G159</f>
        <v>8350.82</v>
      </c>
      <c r="G168" s="825">
        <f>G159</f>
        <v>8350.82</v>
      </c>
    </row>
    <row r="169" spans="1:8" s="763" customFormat="1" ht="25.5">
      <c r="A169" s="820"/>
      <c r="B169" s="820"/>
      <c r="C169" s="758" t="s">
        <v>168</v>
      </c>
      <c r="D169" s="820"/>
      <c r="E169" s="823">
        <f>'MINI SSR 2025-26'!C58</f>
        <v>1233</v>
      </c>
      <c r="F169" s="823">
        <f>E169</f>
        <v>1233</v>
      </c>
      <c r="G169" s="784">
        <f>E169</f>
        <v>1233</v>
      </c>
    </row>
    <row r="170" spans="1:8" s="763" customFormat="1">
      <c r="A170" s="820"/>
      <c r="B170" s="820"/>
      <c r="C170" s="758" t="s">
        <v>169</v>
      </c>
      <c r="D170" s="820"/>
      <c r="E170" s="823">
        <f>'MINI SSR 2025-26'!D58</f>
        <v>1720</v>
      </c>
      <c r="F170" s="823">
        <f>'MINI SSR 2025-26'!E58</f>
        <v>1892</v>
      </c>
      <c r="G170" s="825">
        <f>'MINI SSR 2025-26'!F58</f>
        <v>2064</v>
      </c>
    </row>
    <row r="171" spans="1:8" s="763" customFormat="1" ht="25.5">
      <c r="A171" s="820"/>
      <c r="B171" s="820"/>
      <c r="C171" s="758" t="s">
        <v>1087</v>
      </c>
      <c r="D171" s="820"/>
      <c r="E171" s="820"/>
      <c r="F171" s="820">
        <f>ROUND((G152+G153+G154+F170)*0.1,2)</f>
        <v>501.63</v>
      </c>
      <c r="G171" s="832">
        <f>ROUND((G152+G153+G154+G170)*0.2,2)</f>
        <v>1037.6600000000001</v>
      </c>
    </row>
    <row r="172" spans="1:8" s="763" customFormat="1">
      <c r="A172" s="820"/>
      <c r="B172" s="820"/>
      <c r="C172" s="758" t="s">
        <v>2213</v>
      </c>
      <c r="D172" s="820"/>
      <c r="E172" s="823">
        <f>ROUND(SUM(E168:E171)*$H$3,2)</f>
        <v>1539.02</v>
      </c>
      <c r="F172" s="823">
        <f>ROUND(SUM(F168:F171)*$H$3,2)</f>
        <v>1630.73</v>
      </c>
      <c r="G172" s="823">
        <f>ROUND(SUM(G168:G171)*$H$3,2)</f>
        <v>1727.13</v>
      </c>
    </row>
    <row r="173" spans="1:8" s="763" customFormat="1">
      <c r="A173" s="820"/>
      <c r="B173" s="820"/>
      <c r="C173" s="758"/>
      <c r="D173" s="820"/>
      <c r="E173" s="831">
        <f>SUM(E168:E172)</f>
        <v>12842.84</v>
      </c>
      <c r="F173" s="831">
        <f>SUM(F168:F172)</f>
        <v>13608.179999999998</v>
      </c>
      <c r="G173" s="831">
        <f>SUM(G168:G172)</f>
        <v>14412.61</v>
      </c>
    </row>
    <row r="174" spans="1:8" s="763" customFormat="1" ht="178.5">
      <c r="A174" s="757">
        <v>9</v>
      </c>
      <c r="B174" s="819" t="s">
        <v>78</v>
      </c>
      <c r="C174" s="758" t="s">
        <v>1844</v>
      </c>
      <c r="D174" s="820"/>
      <c r="E174" s="820"/>
      <c r="F174" s="820"/>
      <c r="G174" s="819"/>
      <c r="H174" s="821"/>
    </row>
    <row r="175" spans="1:8" s="763" customFormat="1">
      <c r="A175" s="757"/>
      <c r="B175" s="819"/>
      <c r="C175" s="785" t="s">
        <v>79</v>
      </c>
      <c r="D175" s="820"/>
      <c r="E175" s="820"/>
      <c r="F175" s="820"/>
      <c r="G175" s="825"/>
      <c r="H175" s="821"/>
    </row>
    <row r="176" spans="1:8" s="763" customFormat="1">
      <c r="A176" s="757"/>
      <c r="B176" s="819"/>
      <c r="C176" s="785" t="s">
        <v>60</v>
      </c>
      <c r="D176" s="819"/>
      <c r="E176" s="819"/>
      <c r="F176" s="819"/>
      <c r="G176" s="825"/>
      <c r="H176" s="821"/>
    </row>
    <row r="177" spans="1:11" s="763" customFormat="1">
      <c r="A177" s="757"/>
      <c r="B177" s="819"/>
      <c r="C177" s="758" t="s">
        <v>146</v>
      </c>
      <c r="D177" s="820" t="s">
        <v>35</v>
      </c>
      <c r="E177" s="823">
        <v>0.9</v>
      </c>
      <c r="F177" s="823">
        <f>'lead 25-26'!L18</f>
        <v>2452.5</v>
      </c>
      <c r="G177" s="824">
        <f>ROUND(E177*F177,2)</f>
        <v>2207.25</v>
      </c>
      <c r="H177" s="821"/>
    </row>
    <row r="178" spans="1:11" s="763" customFormat="1">
      <c r="A178" s="757"/>
      <c r="B178" s="819"/>
      <c r="C178" s="758" t="s">
        <v>111</v>
      </c>
      <c r="D178" s="820" t="s">
        <v>35</v>
      </c>
      <c r="E178" s="823">
        <v>0.45</v>
      </c>
      <c r="F178" s="823">
        <f>'lead 25-26'!L14</f>
        <v>1068.3999999999996</v>
      </c>
      <c r="G178" s="824">
        <f>ROUND(E178*F178,2)</f>
        <v>480.78</v>
      </c>
      <c r="H178" s="821"/>
    </row>
    <row r="179" spans="1:11" s="763" customFormat="1">
      <c r="A179" s="820"/>
      <c r="B179" s="820"/>
      <c r="C179" s="758" t="s">
        <v>33</v>
      </c>
      <c r="D179" s="820" t="s">
        <v>4</v>
      </c>
      <c r="E179" s="823">
        <f>E150</f>
        <v>330</v>
      </c>
      <c r="F179" s="823">
        <f>'lead 25-26'!L8</f>
        <v>4218.8</v>
      </c>
      <c r="G179" s="824">
        <f>ROUND(E179*F179/1000,2)</f>
        <v>1392.2</v>
      </c>
      <c r="H179" s="821"/>
    </row>
    <row r="180" spans="1:11" s="763" customFormat="1">
      <c r="A180" s="820"/>
      <c r="B180" s="820"/>
      <c r="C180" s="785" t="s">
        <v>68</v>
      </c>
      <c r="D180" s="820"/>
      <c r="E180" s="823"/>
      <c r="F180" s="823"/>
      <c r="G180" s="824"/>
      <c r="H180" s="821"/>
    </row>
    <row r="181" spans="1:11" s="763" customFormat="1">
      <c r="A181" s="820"/>
      <c r="B181" s="820"/>
      <c r="C181" s="758" t="s">
        <v>64</v>
      </c>
      <c r="D181" s="820" t="s">
        <v>27</v>
      </c>
      <c r="E181" s="830">
        <v>6.7000000000000004E-2</v>
      </c>
      <c r="F181" s="823">
        <f>'MINI SSR 2025-26'!$H$3</f>
        <v>735</v>
      </c>
      <c r="G181" s="824">
        <f>ROUND(E181*F181,2)</f>
        <v>49.25</v>
      </c>
      <c r="H181" s="821"/>
      <c r="K181" s="827">
        <f>G181</f>
        <v>49.25</v>
      </c>
    </row>
    <row r="182" spans="1:11" s="763" customFormat="1">
      <c r="A182" s="820"/>
      <c r="B182" s="820"/>
      <c r="C182" s="758" t="s">
        <v>69</v>
      </c>
      <c r="D182" s="820" t="s">
        <v>27</v>
      </c>
      <c r="E182" s="830">
        <v>0.13300000000000001</v>
      </c>
      <c r="F182" s="823">
        <f>'MINI SSR 2025-26'!$H$4</f>
        <v>665</v>
      </c>
      <c r="G182" s="824">
        <f>ROUND(E182*F182,2)</f>
        <v>88.45</v>
      </c>
      <c r="H182" s="821"/>
      <c r="K182" s="827">
        <f>G182</f>
        <v>88.45</v>
      </c>
    </row>
    <row r="183" spans="1:11" s="763" customFormat="1">
      <c r="A183" s="820"/>
      <c r="B183" s="820"/>
      <c r="C183" s="758" t="s">
        <v>70</v>
      </c>
      <c r="D183" s="820" t="s">
        <v>27</v>
      </c>
      <c r="E183" s="830">
        <v>2.5</v>
      </c>
      <c r="F183" s="823">
        <f>'MINI SSR 2025-26'!$H$5</f>
        <v>615</v>
      </c>
      <c r="G183" s="824">
        <f>ROUND(E183*F183,2)</f>
        <v>1537.5</v>
      </c>
      <c r="H183" s="821"/>
      <c r="K183" s="827">
        <f>G183</f>
        <v>1537.5</v>
      </c>
    </row>
    <row r="184" spans="1:11" s="763" customFormat="1">
      <c r="A184" s="820"/>
      <c r="B184" s="820"/>
      <c r="C184" s="785" t="s">
        <v>61</v>
      </c>
      <c r="D184" s="820"/>
      <c r="E184" s="823"/>
      <c r="F184" s="823"/>
      <c r="G184" s="824"/>
      <c r="H184" s="821"/>
    </row>
    <row r="185" spans="1:11" s="763" customFormat="1">
      <c r="A185" s="820"/>
      <c r="B185" s="820"/>
      <c r="C185" s="758" t="s">
        <v>62</v>
      </c>
      <c r="D185" s="820" t="s">
        <v>21</v>
      </c>
      <c r="E185" s="830">
        <v>0.26700000000000002</v>
      </c>
      <c r="F185" s="823">
        <f>'MINI SSR 2025-26'!$C$30</f>
        <v>722.41</v>
      </c>
      <c r="G185" s="824">
        <f>ROUND(E185*F185,2)</f>
        <v>192.88</v>
      </c>
      <c r="H185" s="821"/>
    </row>
    <row r="186" spans="1:11" s="763" customFormat="1">
      <c r="A186" s="820"/>
      <c r="B186" s="820"/>
      <c r="C186" s="758" t="s">
        <v>161</v>
      </c>
      <c r="D186" s="820" t="s">
        <v>21</v>
      </c>
      <c r="E186" s="830">
        <v>0.26700000000000002</v>
      </c>
      <c r="F186" s="823">
        <f>'MINI SSR 2025-26'!$C$31</f>
        <v>297.87</v>
      </c>
      <c r="G186" s="824">
        <f>ROUND(E186*F186,2)</f>
        <v>79.53</v>
      </c>
      <c r="H186" s="821"/>
    </row>
    <row r="187" spans="1:11" s="763" customFormat="1">
      <c r="A187" s="820"/>
      <c r="B187" s="820"/>
      <c r="C187" s="758" t="s">
        <v>57</v>
      </c>
      <c r="D187" s="820" t="s">
        <v>58</v>
      </c>
      <c r="E187" s="823">
        <v>1.2</v>
      </c>
      <c r="F187" s="823">
        <f>'MINI SSR 2025-26'!$C$29</f>
        <v>105</v>
      </c>
      <c r="G187" s="824">
        <f>ROUND(E187*F187,2)</f>
        <v>126</v>
      </c>
      <c r="H187" s="821"/>
    </row>
    <row r="188" spans="1:11" s="763" customFormat="1" ht="13.5" thickBot="1">
      <c r="A188" s="820"/>
      <c r="B188" s="820"/>
      <c r="C188" s="785" t="s">
        <v>71</v>
      </c>
      <c r="D188" s="820"/>
      <c r="E188" s="820"/>
      <c r="F188" s="820"/>
      <c r="G188" s="828">
        <f>SUM(G177:G187)</f>
        <v>6153.8399999999992</v>
      </c>
      <c r="H188" s="821"/>
      <c r="K188" s="829">
        <f>SUM(K181:K187)</f>
        <v>1675.2</v>
      </c>
    </row>
    <row r="189" spans="1:11" s="763" customFormat="1" ht="13.5" thickTop="1">
      <c r="A189" s="820"/>
      <c r="B189" s="820"/>
      <c r="C189" s="785"/>
      <c r="D189" s="820"/>
      <c r="E189" s="819" t="s">
        <v>163</v>
      </c>
      <c r="F189" s="819" t="s">
        <v>164</v>
      </c>
      <c r="G189" s="831" t="s">
        <v>165</v>
      </c>
    </row>
    <row r="190" spans="1:11" s="763" customFormat="1">
      <c r="A190" s="820"/>
      <c r="B190" s="820"/>
      <c r="C190" s="785" t="s">
        <v>1089</v>
      </c>
      <c r="D190" s="820"/>
      <c r="E190" s="823">
        <f>G188</f>
        <v>6153.8399999999992</v>
      </c>
      <c r="F190" s="823">
        <f>G188</f>
        <v>6153.8399999999992</v>
      </c>
      <c r="G190" s="825">
        <f>G188</f>
        <v>6153.8399999999992</v>
      </c>
    </row>
    <row r="191" spans="1:11" s="763" customFormat="1" ht="25.5">
      <c r="A191" s="820"/>
      <c r="B191" s="820"/>
      <c r="C191" s="758" t="s">
        <v>179</v>
      </c>
      <c r="D191" s="820"/>
      <c r="E191" s="823">
        <f>'MINI SSR 2025-26'!C60</f>
        <v>2179</v>
      </c>
      <c r="F191" s="823">
        <f>E191</f>
        <v>2179</v>
      </c>
      <c r="G191" s="784">
        <f>E191</f>
        <v>2179</v>
      </c>
    </row>
    <row r="192" spans="1:11" s="763" customFormat="1">
      <c r="A192" s="820"/>
      <c r="B192" s="820"/>
      <c r="C192" s="758" t="s">
        <v>180</v>
      </c>
      <c r="D192" s="820"/>
      <c r="E192" s="823">
        <f>'MINI SSR 2025-26'!D60</f>
        <v>2027</v>
      </c>
      <c r="F192" s="823">
        <f>'MINI SSR 2025-26'!E60</f>
        <v>2230</v>
      </c>
      <c r="G192" s="825">
        <f>'MINI SSR 2025-26'!F60</f>
        <v>2432</v>
      </c>
    </row>
    <row r="193" spans="1:8" s="763" customFormat="1" ht="25.5">
      <c r="A193" s="820"/>
      <c r="B193" s="820"/>
      <c r="C193" s="758" t="s">
        <v>1087</v>
      </c>
      <c r="D193" s="820"/>
      <c r="E193" s="820"/>
      <c r="F193" s="823">
        <f>ROUND((G181+G182+G183+F192)*0.1,2)</f>
        <v>390.52</v>
      </c>
      <c r="G193" s="825">
        <f>ROUND((G181+G182+G183+G192)*0.2,2)</f>
        <v>821.44</v>
      </c>
    </row>
    <row r="194" spans="1:8" s="763" customFormat="1">
      <c r="A194" s="820"/>
      <c r="B194" s="820"/>
      <c r="C194" s="758" t="s">
        <v>2213</v>
      </c>
      <c r="D194" s="820"/>
      <c r="E194" s="823">
        <f>ROUND(SUM(E190:E193)*$H$3,2)</f>
        <v>1410.49</v>
      </c>
      <c r="F194" s="823">
        <f>ROUND(SUM(F190:F193)*$H$3,2)</f>
        <v>1491.3</v>
      </c>
      <c r="G194" s="823">
        <f>ROUND(SUM(G190:G193)*$H$3,2)</f>
        <v>1577.47</v>
      </c>
    </row>
    <row r="195" spans="1:8" s="763" customFormat="1">
      <c r="A195" s="820"/>
      <c r="B195" s="820"/>
      <c r="C195" s="785" t="s">
        <v>184</v>
      </c>
      <c r="D195" s="820"/>
      <c r="E195" s="831">
        <f>SUM(E190:E194)</f>
        <v>11770.33</v>
      </c>
      <c r="F195" s="831">
        <f>SUM(F190:F194)</f>
        <v>12444.66</v>
      </c>
      <c r="G195" s="831">
        <f>SUM(G190:G194)</f>
        <v>13163.75</v>
      </c>
    </row>
    <row r="196" spans="1:8" hidden="1">
      <c r="A196" s="179"/>
      <c r="B196" s="179"/>
      <c r="C196" s="287"/>
      <c r="D196" s="179"/>
      <c r="E196" s="278" t="s">
        <v>163</v>
      </c>
      <c r="F196" s="278" t="s">
        <v>164</v>
      </c>
      <c r="G196" s="285" t="s">
        <v>165</v>
      </c>
      <c r="H196" s="10"/>
    </row>
    <row r="197" spans="1:8" hidden="1">
      <c r="A197" s="179"/>
      <c r="B197" s="179"/>
      <c r="C197" s="287" t="s">
        <v>1090</v>
      </c>
      <c r="D197" s="179"/>
      <c r="E197" s="281">
        <f>G188</f>
        <v>6153.8399999999992</v>
      </c>
      <c r="F197" s="281">
        <f>G188</f>
        <v>6153.8399999999992</v>
      </c>
      <c r="G197" s="273">
        <f>G188</f>
        <v>6153.8399999999992</v>
      </c>
      <c r="H197" s="10"/>
    </row>
    <row r="198" spans="1:8" hidden="1">
      <c r="A198" s="179"/>
      <c r="B198" s="179"/>
      <c r="C198" s="287" t="s">
        <v>1071</v>
      </c>
      <c r="D198" s="281">
        <v>0.1</v>
      </c>
      <c r="E198" s="281">
        <f>ROUND(E197*0.1,2)</f>
        <v>615.38</v>
      </c>
      <c r="F198" s="281">
        <f>ROUND(F197*0.1,2)</f>
        <v>615.38</v>
      </c>
      <c r="G198" s="273">
        <f>ROUND(G197*0.1,2)</f>
        <v>615.38</v>
      </c>
      <c r="H198" s="10"/>
    </row>
    <row r="199" spans="1:8" ht="25.5" hidden="1">
      <c r="A199" s="179"/>
      <c r="B199" s="179"/>
      <c r="C199" s="632" t="s">
        <v>181</v>
      </c>
      <c r="D199" s="179"/>
      <c r="E199" s="281">
        <f>'MINI SSR 2025-26'!C61</f>
        <v>247</v>
      </c>
      <c r="F199" s="281">
        <f>E199</f>
        <v>247</v>
      </c>
      <c r="G199" s="11">
        <f>E199</f>
        <v>247</v>
      </c>
      <c r="H199" s="10"/>
    </row>
    <row r="200" spans="1:8" hidden="1">
      <c r="A200" s="179"/>
      <c r="B200" s="179"/>
      <c r="C200" s="632" t="s">
        <v>182</v>
      </c>
      <c r="D200" s="179"/>
      <c r="E200" s="281">
        <f>'MINI SSR 2025-26'!D61</f>
        <v>241</v>
      </c>
      <c r="F200" s="281">
        <f>'MINI SSR 2025-26'!E61</f>
        <v>265</v>
      </c>
      <c r="G200" s="273">
        <f>'MINI SSR 2025-26'!F61</f>
        <v>289</v>
      </c>
      <c r="H200" s="10"/>
    </row>
    <row r="201" spans="1:8" ht="25.5" hidden="1">
      <c r="A201" s="179"/>
      <c r="B201" s="179"/>
      <c r="C201" s="632" t="s">
        <v>1091</v>
      </c>
      <c r="D201" s="179"/>
      <c r="E201" s="179"/>
      <c r="F201" s="281">
        <f>ROUND(((G181+G182+G183+F200)*0.1),2)</f>
        <v>194.02</v>
      </c>
      <c r="G201" s="273">
        <f>ROUND(((G181+G182+G183+G200)*0.1),2)</f>
        <v>196.42</v>
      </c>
      <c r="H201" s="10"/>
    </row>
    <row r="202" spans="1:8" hidden="1">
      <c r="A202" s="179"/>
      <c r="B202" s="179"/>
      <c r="C202" s="632" t="s">
        <v>2213</v>
      </c>
      <c r="D202" s="179"/>
      <c r="E202" s="281">
        <f>ROUND(SUM(E198:E201)*13.615%,2)</f>
        <v>150.22999999999999</v>
      </c>
      <c r="F202" s="281">
        <f>ROUND(SUM(F198:F201)*13.615%,2)</f>
        <v>179.91</v>
      </c>
      <c r="G202" s="281">
        <f>ROUND(SUM(G198:G201)*13.615%,2)</f>
        <v>183.5</v>
      </c>
      <c r="H202" s="10"/>
    </row>
    <row r="203" spans="1:8" hidden="1">
      <c r="A203" s="179"/>
      <c r="B203" s="179"/>
      <c r="C203" s="287" t="s">
        <v>183</v>
      </c>
      <c r="D203" s="179"/>
      <c r="E203" s="285">
        <f>SUM(E198:E201)</f>
        <v>1103.3800000000001</v>
      </c>
      <c r="F203" s="285">
        <f>SUM(F198:F201)</f>
        <v>1321.4</v>
      </c>
      <c r="G203" s="282">
        <f>SUM(G198:G201)</f>
        <v>1347.8000000000002</v>
      </c>
      <c r="H203" s="10"/>
    </row>
    <row r="204" spans="1:8" s="763" customFormat="1">
      <c r="A204" s="820"/>
      <c r="B204" s="820"/>
      <c r="C204" s="785"/>
      <c r="D204" s="820"/>
      <c r="E204" s="819" t="s">
        <v>163</v>
      </c>
      <c r="F204" s="819" t="s">
        <v>164</v>
      </c>
      <c r="G204" s="831" t="s">
        <v>165</v>
      </c>
    </row>
    <row r="205" spans="1:8" s="763" customFormat="1">
      <c r="A205" s="820"/>
      <c r="B205" s="820"/>
      <c r="C205" s="785" t="s">
        <v>1092</v>
      </c>
      <c r="D205" s="820"/>
      <c r="E205" s="823">
        <f>G188</f>
        <v>6153.8399999999992</v>
      </c>
      <c r="F205" s="823">
        <f>G188</f>
        <v>6153.8399999999992</v>
      </c>
      <c r="G205" s="825">
        <f>G188</f>
        <v>6153.8399999999992</v>
      </c>
    </row>
    <row r="206" spans="1:8" s="763" customFormat="1">
      <c r="A206" s="820"/>
      <c r="B206" s="820"/>
      <c r="C206" s="785" t="s">
        <v>1072</v>
      </c>
      <c r="D206" s="820">
        <v>0.125</v>
      </c>
      <c r="E206" s="823">
        <f>ROUND(E205*0.125,2)</f>
        <v>769.23</v>
      </c>
      <c r="F206" s="823">
        <f>ROUND(F205*0.125,2)</f>
        <v>769.23</v>
      </c>
      <c r="G206" s="825">
        <f>ROUND(G205*0.125,2)</f>
        <v>769.23</v>
      </c>
    </row>
    <row r="207" spans="1:8" s="763" customFormat="1" ht="25.5">
      <c r="A207" s="820"/>
      <c r="B207" s="820"/>
      <c r="C207" s="758" t="s">
        <v>181</v>
      </c>
      <c r="D207" s="820"/>
      <c r="E207" s="823">
        <f>'MINI SSR 2025-26'!C61</f>
        <v>247</v>
      </c>
      <c r="F207" s="823">
        <f>E207</f>
        <v>247</v>
      </c>
      <c r="G207" s="784">
        <f>E207</f>
        <v>247</v>
      </c>
    </row>
    <row r="208" spans="1:8" s="763" customFormat="1">
      <c r="A208" s="820"/>
      <c r="B208" s="820"/>
      <c r="C208" s="758" t="s">
        <v>182</v>
      </c>
      <c r="D208" s="820"/>
      <c r="E208" s="823">
        <f>'MINI SSR 2025-26'!D61</f>
        <v>241</v>
      </c>
      <c r="F208" s="823">
        <f>'MINI SSR 2025-26'!E61</f>
        <v>265</v>
      </c>
      <c r="G208" s="825">
        <f>'MINI SSR 2025-26'!F61</f>
        <v>289</v>
      </c>
    </row>
    <row r="209" spans="1:8" s="763" customFormat="1" ht="25.5">
      <c r="A209" s="820"/>
      <c r="B209" s="820"/>
      <c r="C209" s="758" t="s">
        <v>1091</v>
      </c>
      <c r="D209" s="820"/>
      <c r="E209" s="820"/>
      <c r="F209" s="823">
        <f>ROUND(((G181+G182+G183+F208)*0.1),2)</f>
        <v>194.02</v>
      </c>
      <c r="G209" s="825">
        <f>ROUND(((G181+G182+G183+G208)*0.1),2)</f>
        <v>196.42</v>
      </c>
    </row>
    <row r="210" spans="1:8" s="763" customFormat="1">
      <c r="A210" s="820"/>
      <c r="B210" s="820"/>
      <c r="C210" s="758" t="s">
        <v>2213</v>
      </c>
      <c r="D210" s="820"/>
      <c r="E210" s="823">
        <f>ROUND(SUM(E206:E209)*$H$3,2)</f>
        <v>171.17</v>
      </c>
      <c r="F210" s="823">
        <f>ROUND(SUM(F206:F209)*$H$3,2)</f>
        <v>200.86</v>
      </c>
      <c r="G210" s="823">
        <f>ROUND(SUM(G206:G209)*$H$3,2)</f>
        <v>204.45</v>
      </c>
    </row>
    <row r="211" spans="1:8" s="763" customFormat="1">
      <c r="A211" s="820"/>
      <c r="B211" s="820"/>
      <c r="C211" s="785" t="s">
        <v>183</v>
      </c>
      <c r="D211" s="820"/>
      <c r="E211" s="831">
        <f>SUM(E206:E210)</f>
        <v>1428.4</v>
      </c>
      <c r="F211" s="831">
        <f>SUM(F206:F210)</f>
        <v>1676.1100000000001</v>
      </c>
      <c r="G211" s="831">
        <f>SUM(G206:G210)</f>
        <v>1706.1000000000001</v>
      </c>
    </row>
    <row r="212" spans="1:8" hidden="1">
      <c r="A212" s="179"/>
      <c r="B212" s="179"/>
      <c r="C212" s="287"/>
      <c r="D212" s="179"/>
      <c r="E212" s="278" t="s">
        <v>163</v>
      </c>
      <c r="F212" s="278" t="s">
        <v>164</v>
      </c>
      <c r="G212" s="285" t="s">
        <v>165</v>
      </c>
      <c r="H212" s="10"/>
    </row>
    <row r="213" spans="1:8" hidden="1">
      <c r="A213" s="179"/>
      <c r="B213" s="179"/>
      <c r="C213" s="287" t="s">
        <v>1093</v>
      </c>
      <c r="D213" s="179"/>
      <c r="E213" s="281">
        <f>G188</f>
        <v>6153.8399999999992</v>
      </c>
      <c r="F213" s="281">
        <f>G188</f>
        <v>6153.8399999999992</v>
      </c>
      <c r="G213" s="273">
        <f>G188</f>
        <v>6153.8399999999992</v>
      </c>
      <c r="H213" s="10"/>
    </row>
    <row r="214" spans="1:8" hidden="1">
      <c r="A214" s="179"/>
      <c r="B214" s="179"/>
      <c r="C214" s="287" t="s">
        <v>1072</v>
      </c>
      <c r="D214" s="179">
        <v>0.15</v>
      </c>
      <c r="E214" s="281">
        <f>ROUND(E213*0.15,2)</f>
        <v>923.08</v>
      </c>
      <c r="F214" s="281">
        <f>ROUND(F213*0.15,2)</f>
        <v>923.08</v>
      </c>
      <c r="G214" s="273">
        <f>ROUND(G213*0.15,2)</f>
        <v>923.08</v>
      </c>
      <c r="H214" s="10"/>
    </row>
    <row r="215" spans="1:8" ht="25.5" hidden="1">
      <c r="A215" s="179"/>
      <c r="B215" s="179"/>
      <c r="C215" s="632" t="s">
        <v>181</v>
      </c>
      <c r="D215" s="179"/>
      <c r="E215" s="281">
        <f>'MINI SSR 2025-26'!C61</f>
        <v>247</v>
      </c>
      <c r="F215" s="281">
        <f>E215</f>
        <v>247</v>
      </c>
      <c r="G215" s="11">
        <f>E215</f>
        <v>247</v>
      </c>
      <c r="H215" s="10"/>
    </row>
    <row r="216" spans="1:8" hidden="1">
      <c r="A216" s="179"/>
      <c r="B216" s="179"/>
      <c r="C216" s="632" t="s">
        <v>182</v>
      </c>
      <c r="D216" s="179"/>
      <c r="E216" s="281">
        <f>'MINI SSR 2025-26'!D61</f>
        <v>241</v>
      </c>
      <c r="F216" s="281">
        <f>'MINI SSR 2025-26'!E61</f>
        <v>265</v>
      </c>
      <c r="G216" s="273">
        <f>'MINI SSR 2025-26'!F61</f>
        <v>289</v>
      </c>
      <c r="H216" s="10"/>
    </row>
    <row r="217" spans="1:8" ht="25.5" hidden="1">
      <c r="A217" s="179"/>
      <c r="B217" s="179"/>
      <c r="C217" s="632" t="s">
        <v>1091</v>
      </c>
      <c r="D217" s="179"/>
      <c r="E217" s="179"/>
      <c r="F217" s="281">
        <f>ROUND(((G181+G182+G183+F216)*0.15)*0.1,2)</f>
        <v>29.1</v>
      </c>
      <c r="G217" s="273">
        <f>ROUND(((G181+G182+G183+G216)*0.15)*0.1,2)</f>
        <v>29.46</v>
      </c>
      <c r="H217" s="10"/>
    </row>
    <row r="218" spans="1:8" hidden="1">
      <c r="A218" s="179"/>
      <c r="B218" s="179"/>
      <c r="C218" s="632" t="s">
        <v>2213</v>
      </c>
      <c r="D218" s="179"/>
      <c r="E218" s="281">
        <f>ROUND(SUM(E214:E217)*13.615%,2)</f>
        <v>192.12</v>
      </c>
      <c r="F218" s="281">
        <f>ROUND(SUM(F214:F217)*13.615%,2)</f>
        <v>199.35</v>
      </c>
      <c r="G218" s="281">
        <f>ROUND(SUM(G214:G217)*13.615%,2)</f>
        <v>202.66</v>
      </c>
      <c r="H218" s="10"/>
    </row>
    <row r="219" spans="1:8" hidden="1">
      <c r="A219" s="179"/>
      <c r="B219" s="179"/>
      <c r="C219" s="287" t="s">
        <v>183</v>
      </c>
      <c r="D219" s="179"/>
      <c r="E219" s="285">
        <f>SUM(E214:E218)</f>
        <v>1603.1999999999998</v>
      </c>
      <c r="F219" s="285">
        <f>SUM(F214:F218)</f>
        <v>1663.5299999999997</v>
      </c>
      <c r="G219" s="285">
        <f>SUM(G214:G218)</f>
        <v>1691.2</v>
      </c>
      <c r="H219" s="10"/>
    </row>
    <row r="220" spans="1:8" hidden="1">
      <c r="A220" s="179"/>
      <c r="B220" s="179"/>
      <c r="C220" s="287"/>
      <c r="D220" s="179"/>
      <c r="E220" s="285"/>
      <c r="F220" s="285"/>
      <c r="G220" s="282"/>
      <c r="H220" s="10"/>
    </row>
    <row r="221" spans="1:8" hidden="1">
      <c r="A221" s="179"/>
      <c r="B221" s="179"/>
      <c r="C221" s="287" t="s">
        <v>1094</v>
      </c>
      <c r="D221" s="179"/>
      <c r="E221" s="281">
        <f>G188</f>
        <v>6153.8399999999992</v>
      </c>
      <c r="F221" s="281">
        <f>G188</f>
        <v>6153.8399999999992</v>
      </c>
      <c r="G221" s="273">
        <f>G188</f>
        <v>6153.8399999999992</v>
      </c>
      <c r="H221" s="10"/>
    </row>
    <row r="222" spans="1:8" hidden="1">
      <c r="A222" s="179"/>
      <c r="B222" s="179"/>
      <c r="C222" s="287" t="s">
        <v>1072</v>
      </c>
      <c r="D222" s="188">
        <v>0.17499999999999999</v>
      </c>
      <c r="E222" s="281">
        <f>ROUND(E221*0.175,2)</f>
        <v>1076.92</v>
      </c>
      <c r="F222" s="281">
        <f>ROUND(F221*0.175,2)</f>
        <v>1076.92</v>
      </c>
      <c r="G222" s="273">
        <f>ROUND(G221*0.175,2)</f>
        <v>1076.92</v>
      </c>
      <c r="H222" s="10"/>
    </row>
    <row r="223" spans="1:8" ht="25.5" hidden="1">
      <c r="A223" s="179"/>
      <c r="B223" s="179"/>
      <c r="C223" s="632" t="s">
        <v>185</v>
      </c>
      <c r="D223" s="179"/>
      <c r="E223" s="281">
        <f>'MINI SSR 2025-26'!C62</f>
        <v>254</v>
      </c>
      <c r="F223" s="281">
        <f>E223</f>
        <v>254</v>
      </c>
      <c r="G223" s="11">
        <f>E223</f>
        <v>254</v>
      </c>
      <c r="H223" s="10"/>
    </row>
    <row r="224" spans="1:8" hidden="1">
      <c r="A224" s="179"/>
      <c r="B224" s="179"/>
      <c r="C224" s="632" t="s">
        <v>186</v>
      </c>
      <c r="D224" s="179"/>
      <c r="E224" s="281">
        <f>'MINI SSR 2025-26'!D62</f>
        <v>248</v>
      </c>
      <c r="F224" s="281">
        <f>'MINI SSR 2025-26'!E62</f>
        <v>273</v>
      </c>
      <c r="G224" s="273">
        <f>'MINI SSR 2025-26'!F62</f>
        <v>298</v>
      </c>
      <c r="H224" s="10"/>
    </row>
    <row r="225" spans="1:8" ht="25.5" hidden="1">
      <c r="A225" s="179"/>
      <c r="B225" s="179"/>
      <c r="C225" s="632" t="s">
        <v>1091</v>
      </c>
      <c r="D225" s="179"/>
      <c r="E225" s="179"/>
      <c r="F225" s="281">
        <f>ROUND(((G181+G182+G183+F224)*0.175)*0.1,2)</f>
        <v>34.090000000000003</v>
      </c>
      <c r="G225" s="273">
        <f>ROUND(((G181+G182+G183+G224)*0.175)*0.1,2)</f>
        <v>34.53</v>
      </c>
      <c r="H225" s="10"/>
    </row>
    <row r="226" spans="1:8" hidden="1">
      <c r="A226" s="179"/>
      <c r="B226" s="179"/>
      <c r="C226" s="632" t="s">
        <v>2213</v>
      </c>
      <c r="D226" s="179"/>
      <c r="E226" s="281">
        <f>ROUND(SUM(E222:E225)*13.615%,2)</f>
        <v>214.97</v>
      </c>
      <c r="F226" s="281">
        <f>ROUND(SUM(F222:F225)*13.615%,2)</f>
        <v>223.02</v>
      </c>
      <c r="G226" s="281">
        <f>ROUND(SUM(G222:G225)*13.615%,2)</f>
        <v>226.48</v>
      </c>
      <c r="H226" s="10"/>
    </row>
    <row r="227" spans="1:8" hidden="1">
      <c r="A227" s="179"/>
      <c r="B227" s="179"/>
      <c r="C227" s="287" t="s">
        <v>183</v>
      </c>
      <c r="D227" s="179"/>
      <c r="E227" s="285">
        <f>SUM(E222:E226)</f>
        <v>1793.89</v>
      </c>
      <c r="F227" s="285">
        <f>SUM(F222:F226)</f>
        <v>1861.03</v>
      </c>
      <c r="G227" s="285">
        <f>SUM(G222:G226)</f>
        <v>1889.93</v>
      </c>
      <c r="H227" s="10"/>
    </row>
    <row r="228" spans="1:8" hidden="1">
      <c r="A228" s="179"/>
      <c r="B228" s="179"/>
      <c r="C228" s="287" t="s">
        <v>1095</v>
      </c>
      <c r="D228" s="179"/>
      <c r="E228" s="278" t="s">
        <v>163</v>
      </c>
      <c r="F228" s="278" t="s">
        <v>164</v>
      </c>
      <c r="G228" s="285" t="s">
        <v>165</v>
      </c>
      <c r="H228" s="10"/>
    </row>
    <row r="229" spans="1:8" hidden="1">
      <c r="A229" s="179"/>
      <c r="B229" s="179"/>
      <c r="C229" s="632" t="s">
        <v>170</v>
      </c>
      <c r="D229" s="179"/>
      <c r="E229" s="281">
        <f>G188</f>
        <v>6153.8399999999992</v>
      </c>
      <c r="F229" s="281">
        <f>E229</f>
        <v>6153.8399999999992</v>
      </c>
      <c r="G229" s="173">
        <f>F229</f>
        <v>6153.8399999999992</v>
      </c>
      <c r="H229" s="10"/>
    </row>
    <row r="230" spans="1:8" hidden="1">
      <c r="A230" s="179"/>
      <c r="B230" s="179"/>
      <c r="C230" s="632" t="s">
        <v>171</v>
      </c>
      <c r="D230" s="277">
        <v>0.05</v>
      </c>
      <c r="E230" s="281">
        <f>ROUND(E229*D230,2)</f>
        <v>307.69</v>
      </c>
      <c r="F230" s="281">
        <f>ROUND(F229*D230,2)</f>
        <v>307.69</v>
      </c>
      <c r="G230" s="173">
        <f>ROUND(G229*D230,2)</f>
        <v>307.69</v>
      </c>
      <c r="H230" s="10"/>
    </row>
    <row r="231" spans="1:8" ht="25.5" hidden="1">
      <c r="A231" s="179"/>
      <c r="B231" s="179"/>
      <c r="C231" s="632" t="s">
        <v>173</v>
      </c>
      <c r="D231" s="281" t="s">
        <v>77</v>
      </c>
      <c r="E231" s="281">
        <f>'MINI SSR 2025-26'!C59</f>
        <v>243</v>
      </c>
      <c r="F231" s="281">
        <f>E231</f>
        <v>243</v>
      </c>
      <c r="G231" s="273">
        <f>F231</f>
        <v>243</v>
      </c>
      <c r="H231" s="10"/>
    </row>
    <row r="232" spans="1:8" hidden="1">
      <c r="A232" s="179"/>
      <c r="B232" s="179"/>
      <c r="C232" s="632" t="s">
        <v>174</v>
      </c>
      <c r="D232" s="281" t="s">
        <v>77</v>
      </c>
      <c r="E232" s="281">
        <f>'MINI SSR 2025-26'!D59</f>
        <v>264</v>
      </c>
      <c r="F232" s="281">
        <f>'MINI SSR 2025-26'!E59</f>
        <v>290</v>
      </c>
      <c r="G232" s="273">
        <f>'MINI SSR 2025-26'!F59</f>
        <v>317</v>
      </c>
      <c r="H232" s="10"/>
    </row>
    <row r="233" spans="1:8" ht="25.5" hidden="1">
      <c r="A233" s="179"/>
      <c r="B233" s="179"/>
      <c r="C233" s="632" t="s">
        <v>172</v>
      </c>
      <c r="D233" s="179"/>
      <c r="E233" s="179"/>
      <c r="F233" s="281">
        <f>ROUND(((G181+G182+G183+F232))*0.1,2)</f>
        <v>196.52</v>
      </c>
      <c r="G233" s="273">
        <f>ROUND(((G181+G182+G183+G232))*0.1,2)</f>
        <v>199.22</v>
      </c>
      <c r="H233" s="10"/>
    </row>
    <row r="234" spans="1:8" hidden="1">
      <c r="A234" s="179"/>
      <c r="B234" s="179"/>
      <c r="C234" s="632" t="s">
        <v>2213</v>
      </c>
      <c r="D234" s="179"/>
      <c r="E234" s="281">
        <f>ROUND(SUM(E230:E233)*13.615%,2)</f>
        <v>110.92</v>
      </c>
      <c r="F234" s="281">
        <f>ROUND(SUM(F230:F233)*13.615%,2)</f>
        <v>141.22</v>
      </c>
      <c r="G234" s="281">
        <f>ROUND(SUM(G230:G233)*13.615%,2)</f>
        <v>145.26</v>
      </c>
      <c r="H234" s="10"/>
    </row>
    <row r="235" spans="1:8" hidden="1">
      <c r="A235" s="179"/>
      <c r="B235" s="179"/>
      <c r="C235" s="287" t="s">
        <v>177</v>
      </c>
      <c r="D235" s="179"/>
      <c r="E235" s="285">
        <f>SUM(E230:E234)</f>
        <v>925.61</v>
      </c>
      <c r="F235" s="285">
        <f>SUM(F230:F234)</f>
        <v>1178.43</v>
      </c>
      <c r="G235" s="285">
        <f>SUM(G230:G234)</f>
        <v>1212.17</v>
      </c>
      <c r="H235" s="228"/>
    </row>
    <row r="236" spans="1:8" s="763" customFormat="1">
      <c r="A236" s="757"/>
      <c r="B236" s="819"/>
      <c r="C236" s="785" t="s">
        <v>175</v>
      </c>
      <c r="D236" s="820"/>
      <c r="E236" s="820"/>
      <c r="F236" s="820"/>
      <c r="G236" s="825"/>
    </row>
    <row r="237" spans="1:8" s="763" customFormat="1">
      <c r="A237" s="820"/>
      <c r="B237" s="820"/>
      <c r="C237" s="785"/>
      <c r="D237" s="820"/>
      <c r="E237" s="819" t="s">
        <v>163</v>
      </c>
      <c r="F237" s="819" t="s">
        <v>164</v>
      </c>
      <c r="G237" s="831" t="s">
        <v>165</v>
      </c>
    </row>
    <row r="238" spans="1:8" s="763" customFormat="1">
      <c r="A238" s="820"/>
      <c r="B238" s="820"/>
      <c r="C238" s="758" t="s">
        <v>176</v>
      </c>
      <c r="D238" s="833"/>
      <c r="E238" s="823">
        <f>E229</f>
        <v>6153.8399999999992</v>
      </c>
      <c r="F238" s="823">
        <f>F229</f>
        <v>6153.8399999999992</v>
      </c>
      <c r="G238" s="825">
        <f>G229</f>
        <v>6153.8399999999992</v>
      </c>
    </row>
    <row r="239" spans="1:8" s="763" customFormat="1">
      <c r="A239" s="820"/>
      <c r="B239" s="820"/>
      <c r="C239" s="758" t="s">
        <v>1073</v>
      </c>
      <c r="D239" s="833">
        <v>3.7499999999999999E-2</v>
      </c>
      <c r="E239" s="823">
        <f>ROUND(E238*0.0375,2)</f>
        <v>230.77</v>
      </c>
      <c r="F239" s="823">
        <f>ROUND(F238*0.0375,2)</f>
        <v>230.77</v>
      </c>
      <c r="G239" s="825">
        <f>ROUND(G238*0.0375,2)</f>
        <v>230.77</v>
      </c>
    </row>
    <row r="240" spans="1:8" s="763" customFormat="1">
      <c r="A240" s="820"/>
      <c r="B240" s="820"/>
      <c r="C240" s="758" t="s">
        <v>792</v>
      </c>
      <c r="D240" s="823"/>
      <c r="E240" s="823">
        <f>'MINI SSR 2025-26'!C59</f>
        <v>243</v>
      </c>
      <c r="F240" s="823">
        <f>E240</f>
        <v>243</v>
      </c>
      <c r="G240" s="825">
        <f>F240</f>
        <v>243</v>
      </c>
    </row>
    <row r="241" spans="1:11" s="763" customFormat="1">
      <c r="A241" s="820"/>
      <c r="B241" s="820"/>
      <c r="C241" s="758" t="s">
        <v>793</v>
      </c>
      <c r="D241" s="823"/>
      <c r="E241" s="823">
        <f>'MINI SSR 2025-26'!D59</f>
        <v>264</v>
      </c>
      <c r="F241" s="823">
        <f>'MINI SSR 2025-26'!E59</f>
        <v>290</v>
      </c>
      <c r="G241" s="825">
        <f>'MINI SSR 2025-26'!F59</f>
        <v>317</v>
      </c>
    </row>
    <row r="242" spans="1:11" s="763" customFormat="1" ht="25.5">
      <c r="A242" s="820"/>
      <c r="B242" s="820"/>
      <c r="C242" s="758" t="s">
        <v>172</v>
      </c>
      <c r="D242" s="820"/>
      <c r="E242" s="820"/>
      <c r="F242" s="825">
        <f>ROUND(((G181+G182+G183+F241))*0.1,2)</f>
        <v>196.52</v>
      </c>
      <c r="G242" s="825">
        <f>ROUND(((G181+G182+G183+G241))*0.1,2)</f>
        <v>199.22</v>
      </c>
    </row>
    <row r="243" spans="1:11" s="763" customFormat="1">
      <c r="A243" s="820"/>
      <c r="B243" s="820"/>
      <c r="C243" s="758" t="s">
        <v>2213</v>
      </c>
      <c r="D243" s="820"/>
      <c r="E243" s="823">
        <f>ROUND(SUM(E239:E242)*$H$3,2)</f>
        <v>100.45</v>
      </c>
      <c r="F243" s="823">
        <f>ROUND(SUM(F239:F242)*$H$3,2)</f>
        <v>130.74</v>
      </c>
      <c r="G243" s="823">
        <f>ROUND(SUM(G239:G242)*$H$3,2)</f>
        <v>134.79</v>
      </c>
    </row>
    <row r="244" spans="1:11" s="763" customFormat="1">
      <c r="A244" s="820"/>
      <c r="B244" s="820"/>
      <c r="C244" s="785" t="s">
        <v>178</v>
      </c>
      <c r="D244" s="820"/>
      <c r="E244" s="831">
        <f>SUM(E239:E243)</f>
        <v>838.22</v>
      </c>
      <c r="F244" s="831">
        <f>SUM(F239:F243)</f>
        <v>1091.03</v>
      </c>
      <c r="G244" s="831">
        <f>SUM(G239:G243)</f>
        <v>1124.78</v>
      </c>
    </row>
    <row r="245" spans="1:11" ht="191.25" hidden="1">
      <c r="A245" s="110">
        <v>17</v>
      </c>
      <c r="B245" s="278" t="s">
        <v>78</v>
      </c>
      <c r="C245" s="632" t="s">
        <v>1845</v>
      </c>
      <c r="D245" s="179"/>
      <c r="E245" s="179"/>
      <c r="F245" s="179"/>
      <c r="G245" s="278"/>
    </row>
    <row r="246" spans="1:11" hidden="1">
      <c r="A246" s="110"/>
      <c r="B246" s="278"/>
      <c r="C246" s="287" t="s">
        <v>985</v>
      </c>
      <c r="D246" s="179"/>
      <c r="E246" s="179"/>
      <c r="F246" s="179"/>
      <c r="G246" s="273"/>
    </row>
    <row r="247" spans="1:11" hidden="1">
      <c r="A247" s="110"/>
      <c r="B247" s="278"/>
      <c r="C247" s="287" t="s">
        <v>60</v>
      </c>
      <c r="D247" s="278"/>
      <c r="E247" s="278"/>
      <c r="F247" s="278"/>
      <c r="G247" s="273"/>
    </row>
    <row r="248" spans="1:11" hidden="1">
      <c r="A248" s="110"/>
      <c r="B248" s="278"/>
      <c r="C248" s="632" t="s">
        <v>146</v>
      </c>
      <c r="D248" s="179" t="s">
        <v>35</v>
      </c>
      <c r="E248" s="281">
        <v>0.9</v>
      </c>
      <c r="F248" s="281">
        <f>'lead 25-26'!L18</f>
        <v>2452.5</v>
      </c>
      <c r="G248" s="173">
        <f>ROUND(E248*F248,2)</f>
        <v>2207.25</v>
      </c>
    </row>
    <row r="249" spans="1:11" hidden="1">
      <c r="A249" s="110"/>
      <c r="B249" s="278"/>
      <c r="C249" s="632" t="s">
        <v>111</v>
      </c>
      <c r="D249" s="179" t="s">
        <v>35</v>
      </c>
      <c r="E249" s="281">
        <v>0.45</v>
      </c>
      <c r="F249" s="281">
        <f>'lead 25-26'!L14</f>
        <v>1068.3999999999996</v>
      </c>
      <c r="G249" s="173">
        <f>ROUND(E249*F249,2)</f>
        <v>480.78</v>
      </c>
    </row>
    <row r="250" spans="1:11" hidden="1">
      <c r="A250" s="179"/>
      <c r="B250" s="179"/>
      <c r="C250" s="632" t="s">
        <v>33</v>
      </c>
      <c r="D250" s="179" t="s">
        <v>4</v>
      </c>
      <c r="E250" s="281">
        <f>E179</f>
        <v>330</v>
      </c>
      <c r="F250" s="281">
        <f>'lead 25-26'!L8</f>
        <v>4218.8</v>
      </c>
      <c r="G250" s="173">
        <f>ROUND(E250*F250/1000,2)</f>
        <v>1392.2</v>
      </c>
    </row>
    <row r="251" spans="1:11" hidden="1">
      <c r="A251" s="179"/>
      <c r="B251" s="179"/>
      <c r="C251" s="287" t="s">
        <v>68</v>
      </c>
      <c r="D251" s="179"/>
      <c r="E251" s="281"/>
      <c r="F251" s="281"/>
      <c r="G251" s="173"/>
    </row>
    <row r="252" spans="1:11" hidden="1">
      <c r="A252" s="179"/>
      <c r="B252" s="179"/>
      <c r="C252" s="632" t="s">
        <v>64</v>
      </c>
      <c r="D252" s="179" t="s">
        <v>27</v>
      </c>
      <c r="E252" s="188">
        <v>6.7000000000000004E-2</v>
      </c>
      <c r="F252" s="281">
        <f>'MINI SSR 2025-26'!$H$3</f>
        <v>735</v>
      </c>
      <c r="G252" s="173">
        <f>ROUND(E252*F252,2)</f>
        <v>49.25</v>
      </c>
      <c r="K252" s="20">
        <f>G252</f>
        <v>49.25</v>
      </c>
    </row>
    <row r="253" spans="1:11" hidden="1">
      <c r="A253" s="179"/>
      <c r="B253" s="179"/>
      <c r="C253" s="632" t="s">
        <v>69</v>
      </c>
      <c r="D253" s="179" t="s">
        <v>27</v>
      </c>
      <c r="E253" s="188">
        <v>0.13300000000000001</v>
      </c>
      <c r="F253" s="281">
        <f>'MINI SSR 2025-26'!$H$4</f>
        <v>665</v>
      </c>
      <c r="G253" s="173">
        <f>ROUND(E253*F253,2)</f>
        <v>88.45</v>
      </c>
      <c r="K253" s="20">
        <f>G253</f>
        <v>88.45</v>
      </c>
    </row>
    <row r="254" spans="1:11" hidden="1">
      <c r="A254" s="179"/>
      <c r="B254" s="179"/>
      <c r="C254" s="632" t="s">
        <v>70</v>
      </c>
      <c r="D254" s="179" t="s">
        <v>27</v>
      </c>
      <c r="E254" s="188">
        <v>2.5</v>
      </c>
      <c r="F254" s="281">
        <f>'MINI SSR 2025-26'!$H$5</f>
        <v>615</v>
      </c>
      <c r="G254" s="173">
        <f>ROUND(E254*F254,2)</f>
        <v>1537.5</v>
      </c>
      <c r="K254" s="20">
        <f>G254</f>
        <v>1537.5</v>
      </c>
    </row>
    <row r="255" spans="1:11" hidden="1">
      <c r="A255" s="179"/>
      <c r="B255" s="179"/>
      <c r="C255" s="287" t="s">
        <v>61</v>
      </c>
      <c r="D255" s="179"/>
      <c r="E255" s="281"/>
      <c r="F255" s="281"/>
      <c r="G255" s="173"/>
    </row>
    <row r="256" spans="1:11" hidden="1">
      <c r="A256" s="179"/>
      <c r="B256" s="179"/>
      <c r="C256" s="632" t="s">
        <v>62</v>
      </c>
      <c r="D256" s="179" t="s">
        <v>21</v>
      </c>
      <c r="E256" s="188">
        <v>0.26700000000000002</v>
      </c>
      <c r="F256" s="281">
        <f>'MINI SSR 2025-26'!$C$30</f>
        <v>722.41</v>
      </c>
      <c r="G256" s="173">
        <f>ROUND(E256*F256,2)</f>
        <v>192.88</v>
      </c>
    </row>
    <row r="257" spans="1:11" hidden="1">
      <c r="A257" s="179"/>
      <c r="B257" s="179"/>
      <c r="C257" s="632" t="s">
        <v>57</v>
      </c>
      <c r="D257" s="179" t="s">
        <v>58</v>
      </c>
      <c r="E257" s="281">
        <v>1.2</v>
      </c>
      <c r="F257" s="281">
        <f>'MINI SSR 2025-26'!$C$29</f>
        <v>105</v>
      </c>
      <c r="G257" s="173">
        <f>ROUND(E257*F257,2)</f>
        <v>126</v>
      </c>
    </row>
    <row r="258" spans="1:11" ht="13.5" hidden="1" thickBot="1">
      <c r="A258" s="179"/>
      <c r="B258" s="179"/>
      <c r="C258" s="287" t="s">
        <v>71</v>
      </c>
      <c r="D258" s="179"/>
      <c r="E258" s="179"/>
      <c r="F258" s="281"/>
      <c r="G258" s="282">
        <f>SUM(G248:G257)+0.01</f>
        <v>6074.32</v>
      </c>
      <c r="K258" s="276">
        <f>SUM(K252:K257)</f>
        <v>1675.2</v>
      </c>
    </row>
    <row r="259" spans="1:11" hidden="1">
      <c r="A259" s="179"/>
      <c r="B259" s="179"/>
      <c r="C259" s="287"/>
      <c r="D259" s="179"/>
      <c r="E259" s="278" t="s">
        <v>163</v>
      </c>
      <c r="F259" s="278" t="s">
        <v>164</v>
      </c>
      <c r="G259" s="285" t="s">
        <v>165</v>
      </c>
      <c r="H259" s="10"/>
    </row>
    <row r="260" spans="1:11" hidden="1">
      <c r="A260" s="179"/>
      <c r="B260" s="179"/>
      <c r="C260" s="287" t="s">
        <v>1096</v>
      </c>
      <c r="D260" s="179"/>
      <c r="E260" s="281">
        <f>G258</f>
        <v>6074.32</v>
      </c>
      <c r="F260" s="281">
        <f>G258</f>
        <v>6074.32</v>
      </c>
      <c r="G260" s="273">
        <f>G258</f>
        <v>6074.32</v>
      </c>
      <c r="H260" s="10"/>
    </row>
    <row r="261" spans="1:11" hidden="1">
      <c r="A261" s="179"/>
      <c r="B261" s="179"/>
      <c r="C261" s="287" t="s">
        <v>1074</v>
      </c>
      <c r="D261" s="281">
        <v>0.05</v>
      </c>
      <c r="E261" s="281">
        <f>ROUND(E260*D261,2)</f>
        <v>303.72000000000003</v>
      </c>
      <c r="F261" s="281">
        <f>ROUND(F260*D261,2)</f>
        <v>303.72000000000003</v>
      </c>
      <c r="G261" s="273">
        <f>ROUND(G260*D261,2)</f>
        <v>303.72000000000003</v>
      </c>
      <c r="H261" s="10"/>
    </row>
    <row r="262" spans="1:11" ht="25.5" hidden="1">
      <c r="A262" s="179"/>
      <c r="B262" s="179"/>
      <c r="C262" s="632" t="s">
        <v>986</v>
      </c>
      <c r="D262" s="179"/>
      <c r="E262" s="281">
        <f>E199*50%</f>
        <v>123.5</v>
      </c>
      <c r="F262" s="281">
        <f>E262</f>
        <v>123.5</v>
      </c>
      <c r="G262" s="11">
        <f>E262</f>
        <v>123.5</v>
      </c>
      <c r="H262" s="10"/>
    </row>
    <row r="263" spans="1:11" ht="25.5" hidden="1">
      <c r="A263" s="179"/>
      <c r="B263" s="179"/>
      <c r="C263" s="632" t="s">
        <v>987</v>
      </c>
      <c r="D263" s="179"/>
      <c r="E263" s="281">
        <f>E200*50%</f>
        <v>120.5</v>
      </c>
      <c r="F263" s="281">
        <f>F200*50%</f>
        <v>132.5</v>
      </c>
      <c r="G263" s="273">
        <f>G200*50%</f>
        <v>144.5</v>
      </c>
      <c r="H263" s="10"/>
    </row>
    <row r="264" spans="1:11" ht="25.5" hidden="1">
      <c r="A264" s="179"/>
      <c r="B264" s="179"/>
      <c r="C264" s="632" t="s">
        <v>1091</v>
      </c>
      <c r="D264" s="179"/>
      <c r="E264" s="179"/>
      <c r="F264" s="281">
        <f>ROUND(((G252+G253+G254+F263)*0.1),2)</f>
        <v>180.77</v>
      </c>
      <c r="G264" s="281">
        <f>ROUND(((G252+G253+G254+G263)*0.2),2)</f>
        <v>363.94</v>
      </c>
      <c r="H264" s="10"/>
    </row>
    <row r="265" spans="1:11" hidden="1">
      <c r="A265" s="179"/>
      <c r="B265" s="179"/>
      <c r="C265" s="632" t="s">
        <v>2213</v>
      </c>
      <c r="D265" s="179"/>
      <c r="E265" s="281">
        <f>ROUND(SUM(E261:E264)*13.615%,2)</f>
        <v>74.569999999999993</v>
      </c>
      <c r="F265" s="281">
        <f>ROUND(SUM(F261:F264)*13.615%,2)</f>
        <v>100.82</v>
      </c>
      <c r="G265" s="281">
        <f>ROUND(SUM(G261:G264)*13.615%,2)</f>
        <v>127.39</v>
      </c>
      <c r="H265" s="10"/>
    </row>
    <row r="266" spans="1:11" hidden="1">
      <c r="A266" s="179"/>
      <c r="B266" s="179"/>
      <c r="C266" s="287" t="s">
        <v>183</v>
      </c>
      <c r="D266" s="179"/>
      <c r="E266" s="285">
        <f>SUM(E261:E265)</f>
        <v>622.29</v>
      </c>
      <c r="F266" s="285">
        <f>SUM(F261:F265)</f>
        <v>841.31</v>
      </c>
      <c r="G266" s="285">
        <f>SUM(G261:G265)</f>
        <v>1063.0500000000002</v>
      </c>
      <c r="H266" s="10"/>
    </row>
    <row r="267" spans="1:11" hidden="1">
      <c r="A267" s="179"/>
      <c r="B267" s="179"/>
      <c r="C267" s="287"/>
      <c r="D267" s="179"/>
      <c r="E267" s="278" t="s">
        <v>163</v>
      </c>
      <c r="F267" s="278" t="s">
        <v>164</v>
      </c>
      <c r="G267" s="285" t="s">
        <v>165</v>
      </c>
      <c r="H267" s="10"/>
    </row>
    <row r="268" spans="1:11" hidden="1">
      <c r="A268" s="179"/>
      <c r="B268" s="179"/>
      <c r="C268" s="287" t="s">
        <v>1097</v>
      </c>
      <c r="D268" s="179"/>
      <c r="E268" s="281">
        <f>G258</f>
        <v>6074.32</v>
      </c>
      <c r="F268" s="281">
        <f>E268</f>
        <v>6074.32</v>
      </c>
      <c r="G268" s="273">
        <f>F268</f>
        <v>6074.32</v>
      </c>
      <c r="H268" s="10"/>
    </row>
    <row r="269" spans="1:11" hidden="1">
      <c r="A269" s="179"/>
      <c r="B269" s="179"/>
      <c r="C269" s="287" t="s">
        <v>1074</v>
      </c>
      <c r="D269" s="188">
        <v>2.5000000000000001E-2</v>
      </c>
      <c r="E269" s="281">
        <f>ROUND(E268*D269,2)</f>
        <v>151.86000000000001</v>
      </c>
      <c r="F269" s="281">
        <f>ROUND(F268*D269,2)</f>
        <v>151.86000000000001</v>
      </c>
      <c r="G269" s="273">
        <f>ROUND(G268*D269,2)</f>
        <v>151.86000000000001</v>
      </c>
      <c r="H269" s="10"/>
    </row>
    <row r="270" spans="1:11" ht="25.5" hidden="1">
      <c r="A270" s="179"/>
      <c r="B270" s="179"/>
      <c r="C270" s="632" t="s">
        <v>986</v>
      </c>
      <c r="D270" s="179"/>
      <c r="E270" s="281">
        <f>E207*50%</f>
        <v>123.5</v>
      </c>
      <c r="F270" s="281">
        <f>E270</f>
        <v>123.5</v>
      </c>
      <c r="G270" s="11">
        <f>E270</f>
        <v>123.5</v>
      </c>
      <c r="H270" s="10"/>
    </row>
    <row r="271" spans="1:11" ht="25.5" hidden="1">
      <c r="A271" s="179"/>
      <c r="B271" s="179"/>
      <c r="C271" s="632" t="s">
        <v>987</v>
      </c>
      <c r="D271" s="179"/>
      <c r="E271" s="281">
        <f>E208*50%</f>
        <v>120.5</v>
      </c>
      <c r="F271" s="281">
        <f>F208*50%</f>
        <v>132.5</v>
      </c>
      <c r="G271" s="273">
        <f>G208*50%</f>
        <v>144.5</v>
      </c>
      <c r="H271" s="10"/>
    </row>
    <row r="272" spans="1:11" ht="25.5" hidden="1">
      <c r="A272" s="179"/>
      <c r="B272" s="179"/>
      <c r="C272" s="632" t="s">
        <v>1091</v>
      </c>
      <c r="D272" s="179"/>
      <c r="E272" s="179"/>
      <c r="F272" s="281">
        <f>ROUND(((G252+G253+G254+F271)*0.1),2)</f>
        <v>180.77</v>
      </c>
      <c r="G272" s="281">
        <f>ROUND(((G252+G253+G254+G271)*0.1),2)</f>
        <v>181.97</v>
      </c>
      <c r="H272" s="10"/>
    </row>
    <row r="273" spans="1:11" hidden="1">
      <c r="A273" s="179"/>
      <c r="B273" s="179"/>
      <c r="C273" s="632" t="s">
        <v>2213</v>
      </c>
      <c r="D273" s="179"/>
      <c r="E273" s="281">
        <f>ROUND(SUM(E269:E272)*13.615%,2)</f>
        <v>53.9</v>
      </c>
      <c r="F273" s="281">
        <f>ROUND(SUM(F269:F272)*13.615%,2)</f>
        <v>80.14</v>
      </c>
      <c r="G273" s="281">
        <f>ROUND(SUM(G269:G272)*13.615%,2)</f>
        <v>81.94</v>
      </c>
      <c r="H273" s="10"/>
    </row>
    <row r="274" spans="1:11" hidden="1">
      <c r="A274" s="179"/>
      <c r="B274" s="179"/>
      <c r="C274" s="287" t="s">
        <v>183</v>
      </c>
      <c r="D274" s="179"/>
      <c r="E274" s="285">
        <f>SUM(E269:E273)</f>
        <v>449.76</v>
      </c>
      <c r="F274" s="285">
        <f>SUM(F269:F273)</f>
        <v>668.77</v>
      </c>
      <c r="G274" s="285">
        <f>SUM(G269:G273)</f>
        <v>683.77</v>
      </c>
      <c r="H274" s="10"/>
    </row>
    <row r="275" spans="1:11" ht="127.5" hidden="1">
      <c r="A275" s="110">
        <v>2</v>
      </c>
      <c r="B275" s="278"/>
      <c r="C275" s="632" t="s">
        <v>2212</v>
      </c>
      <c r="D275" s="179"/>
      <c r="E275" s="179"/>
      <c r="F275" s="179"/>
      <c r="G275" s="278"/>
    </row>
    <row r="276" spans="1:11" hidden="1">
      <c r="A276" s="110"/>
      <c r="B276" s="278"/>
      <c r="C276" s="287" t="s">
        <v>309</v>
      </c>
      <c r="D276" s="179"/>
      <c r="E276" s="179"/>
      <c r="F276" s="179"/>
      <c r="G276" s="273"/>
    </row>
    <row r="277" spans="1:11" hidden="1">
      <c r="A277" s="110"/>
      <c r="B277" s="278"/>
      <c r="C277" s="287" t="s">
        <v>60</v>
      </c>
      <c r="D277" s="278"/>
      <c r="E277" s="278"/>
      <c r="F277" s="278"/>
      <c r="G277" s="273"/>
    </row>
    <row r="278" spans="1:11" hidden="1">
      <c r="A278" s="110"/>
      <c r="B278" s="278"/>
      <c r="C278" s="632" t="s">
        <v>2164</v>
      </c>
      <c r="D278" s="179" t="s">
        <v>35</v>
      </c>
      <c r="E278" s="281">
        <v>0.9</v>
      </c>
      <c r="F278" s="281">
        <f>'lead 25-26'!L18</f>
        <v>2452.5</v>
      </c>
      <c r="G278" s="173">
        <f>ROUND(E278*F278,2)</f>
        <v>2207.25</v>
      </c>
    </row>
    <row r="279" spans="1:11" hidden="1">
      <c r="A279" s="110"/>
      <c r="B279" s="278"/>
      <c r="C279" s="632" t="s">
        <v>111</v>
      </c>
      <c r="D279" s="179" t="s">
        <v>35</v>
      </c>
      <c r="E279" s="281">
        <v>0.45</v>
      </c>
      <c r="F279" s="281">
        <f>F178</f>
        <v>1068.3999999999996</v>
      </c>
      <c r="G279" s="173">
        <f>ROUND(E279*F279,2)</f>
        <v>480.78</v>
      </c>
    </row>
    <row r="280" spans="1:11" hidden="1">
      <c r="A280" s="179"/>
      <c r="B280" s="179"/>
      <c r="C280" s="632" t="s">
        <v>33</v>
      </c>
      <c r="D280" s="179" t="s">
        <v>4</v>
      </c>
      <c r="E280" s="281">
        <f>E250</f>
        <v>330</v>
      </c>
      <c r="F280" s="281">
        <f>F179</f>
        <v>4218.8</v>
      </c>
      <c r="G280" s="173">
        <f>ROUND(E280*F280/1000,2)</f>
        <v>1392.2</v>
      </c>
    </row>
    <row r="281" spans="1:11" hidden="1">
      <c r="A281" s="179"/>
      <c r="B281" s="179"/>
      <c r="C281" s="287" t="s">
        <v>68</v>
      </c>
      <c r="D281" s="179"/>
      <c r="E281" s="281"/>
      <c r="F281" s="281"/>
      <c r="G281" s="173"/>
    </row>
    <row r="282" spans="1:11" hidden="1">
      <c r="A282" s="179"/>
      <c r="B282" s="179"/>
      <c r="C282" s="632" t="s">
        <v>64</v>
      </c>
      <c r="D282" s="179" t="s">
        <v>27</v>
      </c>
      <c r="E282" s="188">
        <v>0.1</v>
      </c>
      <c r="F282" s="281">
        <f>'MINI SSR 2025-26'!$H$3</f>
        <v>735</v>
      </c>
      <c r="G282" s="173">
        <f>ROUND(E282*F282,2)</f>
        <v>73.5</v>
      </c>
      <c r="K282" s="20">
        <f>G282</f>
        <v>73.5</v>
      </c>
    </row>
    <row r="283" spans="1:11" hidden="1">
      <c r="A283" s="179"/>
      <c r="B283" s="179"/>
      <c r="C283" s="632" t="s">
        <v>69</v>
      </c>
      <c r="D283" s="179" t="s">
        <v>27</v>
      </c>
      <c r="E283" s="188">
        <v>1.39</v>
      </c>
      <c r="F283" s="281">
        <f>'MINI SSR 2025-26'!$H$4</f>
        <v>665</v>
      </c>
      <c r="G283" s="173">
        <f>ROUND(E283*F283,2)</f>
        <v>924.35</v>
      </c>
      <c r="K283" s="20">
        <f>G283</f>
        <v>924.35</v>
      </c>
    </row>
    <row r="284" spans="1:11" hidden="1">
      <c r="A284" s="179"/>
      <c r="B284" s="179"/>
      <c r="C284" s="287" t="s">
        <v>61</v>
      </c>
      <c r="D284" s="179"/>
      <c r="E284" s="281"/>
      <c r="F284" s="281"/>
      <c r="G284" s="173"/>
    </row>
    <row r="285" spans="1:11" hidden="1">
      <c r="A285" s="179"/>
      <c r="B285" s="179"/>
      <c r="C285" s="632" t="s">
        <v>62</v>
      </c>
      <c r="D285" s="179" t="s">
        <v>21</v>
      </c>
      <c r="E285" s="188">
        <v>0.308</v>
      </c>
      <c r="F285" s="281">
        <f>'MINI SSR 2025-26'!$C$30</f>
        <v>722.41</v>
      </c>
      <c r="G285" s="173">
        <f>ROUND(E285*F285,2)</f>
        <v>222.5</v>
      </c>
    </row>
    <row r="286" spans="1:11" hidden="1">
      <c r="A286" s="179"/>
      <c r="B286" s="179"/>
      <c r="C286" s="632" t="s">
        <v>161</v>
      </c>
      <c r="D286" s="179" t="s">
        <v>21</v>
      </c>
      <c r="E286" s="188">
        <v>0.308</v>
      </c>
      <c r="F286" s="281">
        <f>'MINI SSR 2025-26'!$C$31</f>
        <v>297.87</v>
      </c>
      <c r="G286" s="173">
        <f>ROUND(E286*F286,2)</f>
        <v>91.74</v>
      </c>
    </row>
    <row r="287" spans="1:11" hidden="1">
      <c r="A287" s="179"/>
      <c r="B287" s="179"/>
      <c r="C287" s="632" t="s">
        <v>57</v>
      </c>
      <c r="D287" s="179" t="s">
        <v>58</v>
      </c>
      <c r="E287" s="281">
        <v>1.2</v>
      </c>
      <c r="F287" s="281">
        <f>'MINI SSR 2025-26'!$C$29</f>
        <v>105</v>
      </c>
      <c r="G287" s="173">
        <f>ROUND(E287*F287,2)</f>
        <v>126</v>
      </c>
    </row>
    <row r="288" spans="1:11" ht="13.5" hidden="1" thickBot="1">
      <c r="A288" s="179"/>
      <c r="B288" s="179"/>
      <c r="C288" s="287" t="s">
        <v>71</v>
      </c>
      <c r="D288" s="179"/>
      <c r="E288" s="179"/>
      <c r="F288" s="179"/>
      <c r="G288" s="282">
        <f>SUM(G278:G287)</f>
        <v>5518.32</v>
      </c>
      <c r="K288" s="276">
        <f>SUM(K282:K287)</f>
        <v>997.85</v>
      </c>
    </row>
    <row r="289" spans="1:11" hidden="1">
      <c r="A289" s="179"/>
      <c r="B289" s="179"/>
      <c r="C289" s="287"/>
      <c r="D289" s="179"/>
      <c r="E289" s="278" t="s">
        <v>163</v>
      </c>
      <c r="F289" s="278" t="s">
        <v>164</v>
      </c>
      <c r="G289" s="278" t="s">
        <v>164</v>
      </c>
      <c r="H289" s="10"/>
    </row>
    <row r="290" spans="1:11" hidden="1">
      <c r="A290" s="179"/>
      <c r="B290" s="179"/>
      <c r="C290" s="287" t="s">
        <v>1098</v>
      </c>
      <c r="D290" s="179"/>
      <c r="E290" s="281">
        <f>G288</f>
        <v>5518.32</v>
      </c>
      <c r="F290" s="281">
        <f>G288</f>
        <v>5518.32</v>
      </c>
      <c r="G290" s="281">
        <f>F290</f>
        <v>5518.32</v>
      </c>
      <c r="H290" s="10"/>
    </row>
    <row r="291" spans="1:11" ht="25.5" hidden="1">
      <c r="A291" s="179"/>
      <c r="B291" s="179"/>
      <c r="C291" s="632" t="s">
        <v>1504</v>
      </c>
      <c r="D291" s="179"/>
      <c r="E291" s="281">
        <f>'MINI SSR 2025-26'!C53</f>
        <v>67</v>
      </c>
      <c r="F291" s="281">
        <f>E291</f>
        <v>67</v>
      </c>
      <c r="G291" s="281">
        <f>F291</f>
        <v>67</v>
      </c>
      <c r="H291" s="10"/>
    </row>
    <row r="292" spans="1:11" hidden="1">
      <c r="A292" s="179"/>
      <c r="B292" s="179"/>
      <c r="C292" s="632" t="s">
        <v>1505</v>
      </c>
      <c r="D292" s="179"/>
      <c r="E292" s="281">
        <f>'MINI SSR 2025-26'!D53</f>
        <v>363</v>
      </c>
      <c r="F292" s="281">
        <f>E292</f>
        <v>363</v>
      </c>
      <c r="G292" s="281">
        <f>F292</f>
        <v>363</v>
      </c>
      <c r="H292" s="10"/>
    </row>
    <row r="293" spans="1:11" ht="25.5" hidden="1">
      <c r="A293" s="179"/>
      <c r="B293" s="179"/>
      <c r="C293" s="632" t="s">
        <v>1087</v>
      </c>
      <c r="D293" s="179"/>
      <c r="E293" s="179"/>
      <c r="F293" s="281">
        <f>ROUND((G282+G283+F292)*0.1,2)</f>
        <v>136.09</v>
      </c>
      <c r="G293" s="281">
        <f>ROUND((G282+G283+G292)*0.1,2)</f>
        <v>136.09</v>
      </c>
      <c r="H293" s="10"/>
    </row>
    <row r="294" spans="1:11" hidden="1">
      <c r="A294" s="179"/>
      <c r="B294" s="179"/>
      <c r="C294" s="632" t="s">
        <v>2213</v>
      </c>
      <c r="D294" s="179"/>
      <c r="E294" s="281">
        <f>ROUND(SUM(E290:E293)*13.615%,2)</f>
        <v>809.86</v>
      </c>
      <c r="F294" s="281">
        <f>ROUND(SUM(F290:F293)*13.615%,2)</f>
        <v>828.39</v>
      </c>
      <c r="G294" s="281">
        <f>ROUND(SUM(G290:G293)*13.615%,2)</f>
        <v>828.39</v>
      </c>
      <c r="H294" s="10"/>
    </row>
    <row r="295" spans="1:11" hidden="1">
      <c r="A295" s="179"/>
      <c r="B295" s="179"/>
      <c r="C295" s="287" t="s">
        <v>184</v>
      </c>
      <c r="D295" s="179"/>
      <c r="E295" s="285">
        <f>SUM(E290:E294)</f>
        <v>6758.1799999999994</v>
      </c>
      <c r="F295" s="285">
        <f>SUM(F290:F294)</f>
        <v>6912.8</v>
      </c>
      <c r="G295" s="285">
        <f>SUM(G290:G294)</f>
        <v>6912.8</v>
      </c>
      <c r="H295" s="10"/>
    </row>
    <row r="296" spans="1:11" s="763" customFormat="1" ht="127.5">
      <c r="A296" s="757">
        <v>10</v>
      </c>
      <c r="B296" s="819" t="s">
        <v>1126</v>
      </c>
      <c r="C296" s="758" t="s">
        <v>1127</v>
      </c>
      <c r="D296" s="820"/>
      <c r="E296" s="820"/>
      <c r="F296" s="820"/>
      <c r="G296" s="819"/>
      <c r="H296" s="821"/>
    </row>
    <row r="297" spans="1:11" s="763" customFormat="1">
      <c r="A297" s="757"/>
      <c r="B297" s="819"/>
      <c r="C297" s="785" t="s">
        <v>36</v>
      </c>
      <c r="D297" s="820"/>
      <c r="E297" s="820"/>
      <c r="F297" s="820"/>
      <c r="G297" s="764"/>
      <c r="H297" s="821"/>
    </row>
    <row r="298" spans="1:11" s="763" customFormat="1">
      <c r="A298" s="757"/>
      <c r="B298" s="820"/>
      <c r="C298" s="785" t="s">
        <v>40</v>
      </c>
      <c r="D298" s="820"/>
      <c r="E298" s="820"/>
      <c r="F298" s="820"/>
      <c r="G298" s="764"/>
      <c r="H298" s="821"/>
    </row>
    <row r="299" spans="1:11" s="763" customFormat="1">
      <c r="A299" s="757"/>
      <c r="B299" s="822" t="s">
        <v>18</v>
      </c>
      <c r="C299" s="785" t="s">
        <v>22</v>
      </c>
      <c r="D299" s="820"/>
      <c r="E299" s="820"/>
      <c r="F299" s="820"/>
      <c r="G299" s="764"/>
      <c r="H299" s="821"/>
    </row>
    <row r="300" spans="1:11" s="763" customFormat="1">
      <c r="A300" s="764"/>
      <c r="B300" s="764"/>
      <c r="C300" s="758" t="s">
        <v>37</v>
      </c>
      <c r="D300" s="768" t="s">
        <v>34</v>
      </c>
      <c r="E300" s="781">
        <v>1.05</v>
      </c>
      <c r="F300" s="768">
        <f>'lead 25-26'!L10</f>
        <v>58000</v>
      </c>
      <c r="G300" s="824">
        <f>ROUND(E300*F300,2)</f>
        <v>60900</v>
      </c>
      <c r="H300" s="821"/>
    </row>
    <row r="301" spans="1:11" s="763" customFormat="1">
      <c r="A301" s="764"/>
      <c r="B301" s="764"/>
      <c r="C301" s="758" t="s">
        <v>38</v>
      </c>
      <c r="D301" s="757" t="s">
        <v>4</v>
      </c>
      <c r="E301" s="768">
        <v>6</v>
      </c>
      <c r="F301" s="768">
        <f>'MINI SSR 2025-26'!C32</f>
        <v>70</v>
      </c>
      <c r="G301" s="824">
        <f>ROUND(E301*F301,2)</f>
        <v>420</v>
      </c>
      <c r="H301" s="821"/>
    </row>
    <row r="302" spans="1:11" s="763" customFormat="1" ht="25.5">
      <c r="A302" s="764"/>
      <c r="B302" s="822" t="s">
        <v>20</v>
      </c>
      <c r="C302" s="785" t="s">
        <v>1075</v>
      </c>
      <c r="D302" s="757"/>
      <c r="E302" s="757"/>
      <c r="F302" s="757"/>
      <c r="G302" s="764"/>
      <c r="H302" s="821"/>
    </row>
    <row r="303" spans="1:11" s="763" customFormat="1">
      <c r="A303" s="764"/>
      <c r="B303" s="764"/>
      <c r="C303" s="758" t="s">
        <v>118</v>
      </c>
      <c r="D303" s="757" t="s">
        <v>27</v>
      </c>
      <c r="E303" s="768">
        <v>10</v>
      </c>
      <c r="F303" s="768">
        <f>'MINI SSR 2025-26'!H6</f>
        <v>870</v>
      </c>
      <c r="G303" s="824">
        <f>ROUND(E303*F303,2)</f>
        <v>8700</v>
      </c>
      <c r="H303" s="821"/>
      <c r="K303" s="827">
        <f>G303</f>
        <v>8700</v>
      </c>
    </row>
    <row r="304" spans="1:11" s="763" customFormat="1">
      <c r="A304" s="764"/>
      <c r="B304" s="764"/>
      <c r="C304" s="758" t="s">
        <v>19</v>
      </c>
      <c r="D304" s="757" t="s">
        <v>27</v>
      </c>
      <c r="E304" s="768">
        <v>10</v>
      </c>
      <c r="F304" s="823">
        <f>'MINI SSR 2025-26'!$H$5</f>
        <v>615</v>
      </c>
      <c r="G304" s="824">
        <f>ROUND(E304*F304,2)</f>
        <v>6150</v>
      </c>
      <c r="H304" s="821"/>
      <c r="K304" s="827">
        <f>G304</f>
        <v>6150</v>
      </c>
    </row>
    <row r="305" spans="1:11" s="763" customFormat="1" ht="13.5" thickBot="1">
      <c r="A305" s="764"/>
      <c r="B305" s="764"/>
      <c r="C305" s="785" t="s">
        <v>39</v>
      </c>
      <c r="D305" s="757"/>
      <c r="E305" s="768"/>
      <c r="F305" s="768"/>
      <c r="G305" s="826">
        <f>SUM(G300:G304)</f>
        <v>76170</v>
      </c>
      <c r="H305" s="821"/>
      <c r="K305" s="829">
        <f>SUM(K303:K304)</f>
        <v>14850</v>
      </c>
    </row>
    <row r="306" spans="1:11" s="763" customFormat="1" ht="13.5" thickTop="1">
      <c r="A306" s="820"/>
      <c r="B306" s="820"/>
      <c r="C306" s="785"/>
      <c r="D306" s="820"/>
      <c r="E306" s="819" t="s">
        <v>163</v>
      </c>
      <c r="F306" s="831" t="s">
        <v>164</v>
      </c>
      <c r="G306" s="831" t="s">
        <v>165</v>
      </c>
    </row>
    <row r="307" spans="1:11" s="763" customFormat="1">
      <c r="A307" s="820"/>
      <c r="B307" s="820"/>
      <c r="C307" s="785" t="s">
        <v>820</v>
      </c>
      <c r="D307" s="820"/>
      <c r="E307" s="823">
        <f>G305</f>
        <v>76170</v>
      </c>
      <c r="F307" s="825">
        <f>E307</f>
        <v>76170</v>
      </c>
      <c r="G307" s="825">
        <f>F307</f>
        <v>76170</v>
      </c>
    </row>
    <row r="308" spans="1:11" s="763" customFormat="1" ht="25.5">
      <c r="A308" s="820"/>
      <c r="B308" s="820"/>
      <c r="C308" s="758" t="s">
        <v>1087</v>
      </c>
      <c r="D308" s="820"/>
      <c r="E308" s="820"/>
      <c r="F308" s="825">
        <f>ROUND((G303+G304)*10%,2)</f>
        <v>1485</v>
      </c>
      <c r="G308" s="825">
        <f>ROUND((G303+G304)*20%,2)</f>
        <v>2970</v>
      </c>
    </row>
    <row r="309" spans="1:11" s="763" customFormat="1">
      <c r="A309" s="820"/>
      <c r="B309" s="820"/>
      <c r="C309" s="758" t="s">
        <v>2213</v>
      </c>
      <c r="D309" s="820"/>
      <c r="E309" s="823">
        <f>ROUND(SUM(E307:E308)*$H$3,2)</f>
        <v>10370.549999999999</v>
      </c>
      <c r="F309" s="823">
        <f>ROUND(SUM(F307:F308)*$H$3,2)</f>
        <v>10572.73</v>
      </c>
      <c r="G309" s="823">
        <f>ROUND(SUM(G307:G308)*$H$3,2)</f>
        <v>10774.91</v>
      </c>
    </row>
    <row r="310" spans="1:11" s="763" customFormat="1">
      <c r="A310" s="820"/>
      <c r="B310" s="820"/>
      <c r="C310" s="785" t="s">
        <v>848</v>
      </c>
      <c r="D310" s="820"/>
      <c r="E310" s="831">
        <f>SUM(E307:E309)</f>
        <v>86540.55</v>
      </c>
      <c r="F310" s="831">
        <f>SUM(F307:F309)</f>
        <v>88227.73</v>
      </c>
      <c r="G310" s="831">
        <f>SUM(G307:G309)</f>
        <v>89914.91</v>
      </c>
    </row>
    <row r="311" spans="1:11" s="302" customFormat="1" ht="204" hidden="1">
      <c r="A311" s="298">
        <v>20</v>
      </c>
      <c r="B311" s="299" t="s">
        <v>1128</v>
      </c>
      <c r="C311" s="299" t="s">
        <v>1129</v>
      </c>
      <c r="D311" s="140"/>
      <c r="E311" s="140"/>
      <c r="F311" s="140"/>
      <c r="G311" s="300"/>
      <c r="H311" s="301"/>
    </row>
    <row r="312" spans="1:11" s="302" customFormat="1" hidden="1">
      <c r="A312" s="298"/>
      <c r="B312" s="303"/>
      <c r="C312" s="299" t="s">
        <v>1130</v>
      </c>
      <c r="D312" s="298"/>
      <c r="E312" s="144"/>
      <c r="F312" s="145"/>
      <c r="G312" s="300"/>
      <c r="H312" s="301"/>
    </row>
    <row r="313" spans="1:11" s="302" customFormat="1" hidden="1">
      <c r="A313" s="298"/>
      <c r="B313" s="299"/>
      <c r="C313" s="299" t="s">
        <v>1131</v>
      </c>
      <c r="D313" s="298"/>
      <c r="E313" s="144"/>
      <c r="F313" s="145"/>
      <c r="G313" s="300"/>
      <c r="H313" s="301"/>
    </row>
    <row r="314" spans="1:11" s="302" customFormat="1" ht="25.5" hidden="1">
      <c r="A314" s="298"/>
      <c r="B314" s="299"/>
      <c r="C314" s="299" t="s">
        <v>1132</v>
      </c>
      <c r="D314" s="298" t="s">
        <v>34</v>
      </c>
      <c r="E314" s="144">
        <v>1.0249999999999999</v>
      </c>
      <c r="F314" s="145">
        <f>'lead 25-26'!L11</f>
        <v>61000</v>
      </c>
      <c r="G314" s="300">
        <f t="shared" ref="G314:G316" si="3">ROUND(F314*E314,2)</f>
        <v>62525</v>
      </c>
      <c r="H314" s="301"/>
    </row>
    <row r="315" spans="1:11" s="302" customFormat="1" ht="25.5" hidden="1">
      <c r="A315" s="298"/>
      <c r="B315" s="299"/>
      <c r="C315" s="299" t="s">
        <v>1133</v>
      </c>
      <c r="D315" s="298" t="s">
        <v>1134</v>
      </c>
      <c r="E315" s="144">
        <v>70</v>
      </c>
      <c r="F315" s="145">
        <f>'MINI SSR 2025-26'!C33</f>
        <v>17</v>
      </c>
      <c r="G315" s="300">
        <f t="shared" si="3"/>
        <v>1190</v>
      </c>
      <c r="H315" s="301"/>
    </row>
    <row r="316" spans="1:11" s="302" customFormat="1" ht="25.5" hidden="1">
      <c r="A316" s="298"/>
      <c r="B316" s="299"/>
      <c r="C316" s="299" t="s">
        <v>1135</v>
      </c>
      <c r="D316" s="298" t="s">
        <v>90</v>
      </c>
      <c r="E316" s="144">
        <v>3</v>
      </c>
      <c r="F316" s="145">
        <f>'MINI SSR 2025-26'!C32</f>
        <v>70</v>
      </c>
      <c r="G316" s="300">
        <f t="shared" si="3"/>
        <v>210</v>
      </c>
      <c r="H316" s="301"/>
    </row>
    <row r="317" spans="1:11" s="302" customFormat="1" ht="25.5" hidden="1">
      <c r="A317" s="298"/>
      <c r="B317" s="299"/>
      <c r="C317" s="299" t="s">
        <v>1136</v>
      </c>
      <c r="D317" s="298"/>
      <c r="E317" s="144"/>
      <c r="F317" s="145"/>
      <c r="G317" s="300"/>
      <c r="H317" s="301"/>
    </row>
    <row r="318" spans="1:11" s="302" customFormat="1" hidden="1">
      <c r="A318" s="298"/>
      <c r="B318" s="299"/>
      <c r="C318" s="299" t="s">
        <v>1137</v>
      </c>
      <c r="D318" s="298" t="s">
        <v>27</v>
      </c>
      <c r="E318" s="144">
        <v>2.5</v>
      </c>
      <c r="F318" s="304">
        <f>'MINI SSR 2025-26'!H10</f>
        <v>720</v>
      </c>
      <c r="G318" s="300">
        <f t="shared" ref="G318:G321" si="4">ROUND(F318*E318,2)</f>
        <v>1800</v>
      </c>
      <c r="H318" s="301"/>
    </row>
    <row r="319" spans="1:11" s="302" customFormat="1" hidden="1">
      <c r="A319" s="298"/>
      <c r="B319" s="299"/>
      <c r="C319" s="299" t="s">
        <v>1138</v>
      </c>
      <c r="D319" s="298" t="s">
        <v>27</v>
      </c>
      <c r="E319" s="144">
        <v>10</v>
      </c>
      <c r="F319" s="304">
        <f>'MINI SSR 2025-26'!H11</f>
        <v>695</v>
      </c>
      <c r="G319" s="300">
        <f t="shared" si="4"/>
        <v>6950</v>
      </c>
      <c r="H319" s="301"/>
    </row>
    <row r="320" spans="1:11" s="302" customFormat="1" hidden="1">
      <c r="A320" s="298"/>
      <c r="B320" s="299"/>
      <c r="C320" s="299" t="s">
        <v>1139</v>
      </c>
      <c r="D320" s="298" t="s">
        <v>27</v>
      </c>
      <c r="E320" s="144">
        <v>10</v>
      </c>
      <c r="F320" s="281">
        <f>'MINI SSR 2025-26'!$H$5</f>
        <v>615</v>
      </c>
      <c r="G320" s="300">
        <f t="shared" si="4"/>
        <v>6150</v>
      </c>
      <c r="H320" s="301"/>
    </row>
    <row r="321" spans="1:8" s="302" customFormat="1" ht="25.5" hidden="1">
      <c r="A321" s="298"/>
      <c r="B321" s="299"/>
      <c r="C321" s="299" t="s">
        <v>1140</v>
      </c>
      <c r="D321" s="298" t="s">
        <v>1141</v>
      </c>
      <c r="E321" s="144">
        <v>10</v>
      </c>
      <c r="F321" s="304">
        <f>'MINI SSR 2025-26'!C34</f>
        <v>119.09</v>
      </c>
      <c r="G321" s="300">
        <f t="shared" si="4"/>
        <v>1190.9000000000001</v>
      </c>
      <c r="H321" s="301"/>
    </row>
    <row r="322" spans="1:8" s="302" customFormat="1" hidden="1">
      <c r="A322" s="298"/>
      <c r="B322" s="299"/>
      <c r="C322" s="632" t="s">
        <v>2213</v>
      </c>
      <c r="D322" s="179"/>
      <c r="E322" s="281"/>
      <c r="F322" s="304"/>
      <c r="G322" s="273">
        <f>ROUND(SUM(G314:G321)*13.615%,2)</f>
        <v>10894.16</v>
      </c>
      <c r="H322" s="301"/>
    </row>
    <row r="323" spans="1:8" s="302" customFormat="1" hidden="1">
      <c r="A323" s="298"/>
      <c r="B323" s="299"/>
      <c r="C323" s="299" t="s">
        <v>1142</v>
      </c>
      <c r="D323" s="298"/>
      <c r="E323" s="144"/>
      <c r="F323" s="145"/>
      <c r="G323" s="305">
        <f>SUM(G314:G322)</f>
        <v>90910.06</v>
      </c>
      <c r="H323" s="306"/>
    </row>
    <row r="324" spans="1:8" s="302" customFormat="1" hidden="1">
      <c r="A324" s="298"/>
      <c r="B324" s="299"/>
      <c r="C324" s="299" t="s">
        <v>1143</v>
      </c>
      <c r="D324" s="298"/>
      <c r="E324" s="144"/>
      <c r="F324" s="145"/>
      <c r="G324" s="305">
        <f>ROUND(G323/1000,2)</f>
        <v>90.91</v>
      </c>
      <c r="H324" s="306">
        <f>G324</f>
        <v>90.91</v>
      </c>
    </row>
    <row r="325" spans="1:8" s="763" customFormat="1" ht="63.75">
      <c r="A325" s="757">
        <v>11</v>
      </c>
      <c r="B325" s="819"/>
      <c r="C325" s="758" t="s">
        <v>188</v>
      </c>
      <c r="D325" s="820"/>
      <c r="E325" s="820"/>
      <c r="F325" s="820"/>
      <c r="G325" s="764"/>
    </row>
    <row r="326" spans="1:8" s="763" customFormat="1">
      <c r="A326" s="757"/>
      <c r="B326" s="819"/>
      <c r="C326" s="785" t="s">
        <v>189</v>
      </c>
      <c r="D326" s="820"/>
      <c r="E326" s="820"/>
      <c r="F326" s="820"/>
      <c r="G326" s="764"/>
    </row>
    <row r="327" spans="1:8" s="763" customFormat="1">
      <c r="A327" s="757"/>
      <c r="B327" s="822" t="s">
        <v>18</v>
      </c>
      <c r="C327" s="785" t="s">
        <v>22</v>
      </c>
      <c r="D327" s="820"/>
      <c r="E327" s="820"/>
      <c r="F327" s="820"/>
      <c r="G327" s="764"/>
    </row>
    <row r="328" spans="1:8" s="763" customFormat="1" ht="25.5">
      <c r="A328" s="764"/>
      <c r="B328" s="764"/>
      <c r="C328" s="758" t="s">
        <v>190</v>
      </c>
      <c r="D328" s="757" t="s">
        <v>4</v>
      </c>
      <c r="E328" s="781">
        <v>1.0249999999999999</v>
      </c>
      <c r="F328" s="768">
        <f>'lead 25-26'!L11/1000</f>
        <v>61</v>
      </c>
      <c r="G328" s="824">
        <f>ROUND(E328*F328,2)</f>
        <v>62.53</v>
      </c>
    </row>
    <row r="329" spans="1:8" s="763" customFormat="1">
      <c r="A329" s="764"/>
      <c r="B329" s="822" t="s">
        <v>20</v>
      </c>
      <c r="C329" s="758" t="s">
        <v>191</v>
      </c>
      <c r="D329" s="757" t="s">
        <v>4</v>
      </c>
      <c r="E329" s="768">
        <v>1</v>
      </c>
      <c r="F329" s="768">
        <f>'MINI SSR 2025-26'!C35</f>
        <v>37</v>
      </c>
      <c r="G329" s="824">
        <f>ROUND(E329*F329,2)</f>
        <v>37</v>
      </c>
    </row>
    <row r="330" spans="1:8" s="763" customFormat="1">
      <c r="A330" s="764"/>
      <c r="B330" s="764"/>
      <c r="C330" s="758" t="s">
        <v>192</v>
      </c>
      <c r="D330" s="757" t="s">
        <v>27</v>
      </c>
      <c r="E330" s="768">
        <v>1</v>
      </c>
      <c r="F330" s="768">
        <f>'MINI SSR 2025-26'!C36</f>
        <v>7</v>
      </c>
      <c r="G330" s="824">
        <f>ROUND(E330*F330,2)</f>
        <v>7</v>
      </c>
    </row>
    <row r="331" spans="1:8" s="763" customFormat="1">
      <c r="A331" s="764"/>
      <c r="B331" s="764"/>
      <c r="C331" s="758"/>
      <c r="D331" s="757"/>
      <c r="E331" s="768"/>
      <c r="F331" s="768"/>
      <c r="G331" s="824">
        <f>SUM(G328:G330)</f>
        <v>106.53</v>
      </c>
    </row>
    <row r="332" spans="1:8" s="763" customFormat="1">
      <c r="A332" s="764"/>
      <c r="B332" s="764"/>
      <c r="C332" s="758" t="s">
        <v>2213</v>
      </c>
      <c r="D332" s="820"/>
      <c r="E332" s="823"/>
      <c r="F332" s="926"/>
      <c r="G332" s="825">
        <f>ROUND(G331*$H$3,2)</f>
        <v>14.5</v>
      </c>
    </row>
    <row r="333" spans="1:8" s="763" customFormat="1">
      <c r="A333" s="764"/>
      <c r="B333" s="764"/>
      <c r="C333" s="785" t="s">
        <v>193</v>
      </c>
      <c r="D333" s="757"/>
      <c r="E333" s="768"/>
      <c r="F333" s="768"/>
      <c r="G333" s="826">
        <f>SUM(G331:G332)</f>
        <v>121.03</v>
      </c>
      <c r="H333" s="835"/>
    </row>
    <row r="334" spans="1:8" ht="114.75" hidden="1">
      <c r="A334" s="110">
        <v>17</v>
      </c>
      <c r="B334" s="278"/>
      <c r="C334" s="632" t="s">
        <v>921</v>
      </c>
      <c r="D334" s="179"/>
      <c r="E334" s="179"/>
      <c r="F334" s="179"/>
      <c r="G334" s="147"/>
      <c r="H334" s="10"/>
    </row>
    <row r="335" spans="1:8" hidden="1">
      <c r="A335" s="110"/>
      <c r="B335" s="275"/>
      <c r="C335" s="287" t="s">
        <v>922</v>
      </c>
      <c r="D335" s="179">
        <v>2</v>
      </c>
      <c r="E335" s="179">
        <v>1.5</v>
      </c>
      <c r="F335" s="281">
        <f>ROUND(D335*E335,2)</f>
        <v>3</v>
      </c>
      <c r="G335" s="147"/>
      <c r="H335" s="10"/>
    </row>
    <row r="336" spans="1:8" hidden="1">
      <c r="A336" s="110"/>
      <c r="B336" s="275"/>
      <c r="C336" s="287" t="s">
        <v>923</v>
      </c>
      <c r="D336" s="179">
        <v>2</v>
      </c>
      <c r="E336" s="179">
        <v>1.5</v>
      </c>
      <c r="F336" s="281">
        <f>ROUND(D336*E336,2)</f>
        <v>3</v>
      </c>
      <c r="G336" s="147"/>
      <c r="H336" s="10"/>
    </row>
    <row r="337" spans="1:8" hidden="1">
      <c r="A337" s="110"/>
      <c r="B337" s="275"/>
      <c r="C337" s="287" t="s">
        <v>924</v>
      </c>
      <c r="D337" s="179">
        <v>2</v>
      </c>
      <c r="E337" s="179">
        <v>1.35</v>
      </c>
      <c r="F337" s="281">
        <f>ROUND(D337*E337,2)</f>
        <v>2.7</v>
      </c>
      <c r="G337" s="147"/>
      <c r="H337" s="10"/>
    </row>
    <row r="338" spans="1:8" hidden="1">
      <c r="A338" s="110"/>
      <c r="B338" s="275"/>
      <c r="C338" s="287" t="s">
        <v>1144</v>
      </c>
      <c r="D338" s="179"/>
      <c r="E338" s="179"/>
      <c r="F338" s="281">
        <f>SUM(F336:F337)</f>
        <v>5.7</v>
      </c>
      <c r="G338" s="147">
        <f>ROUND(F338*1.96,2)</f>
        <v>11.17</v>
      </c>
      <c r="H338" s="10"/>
    </row>
    <row r="339" spans="1:8" hidden="1">
      <c r="A339" s="110"/>
      <c r="B339" s="275"/>
      <c r="C339" s="287" t="s">
        <v>925</v>
      </c>
      <c r="D339" s="179">
        <v>14</v>
      </c>
      <c r="E339" s="179">
        <v>1.35</v>
      </c>
      <c r="F339" s="281">
        <f>ROUND(D339*E339,2)</f>
        <v>18.899999999999999</v>
      </c>
      <c r="G339" s="147"/>
      <c r="H339" s="10"/>
    </row>
    <row r="340" spans="1:8" hidden="1">
      <c r="A340" s="110"/>
      <c r="B340" s="275"/>
      <c r="C340" s="287" t="s">
        <v>926</v>
      </c>
      <c r="D340" s="179">
        <v>6</v>
      </c>
      <c r="E340" s="179">
        <v>1.5</v>
      </c>
      <c r="F340" s="281">
        <f>ROUND(D340*E340,2)</f>
        <v>9</v>
      </c>
      <c r="G340" s="147"/>
      <c r="H340" s="10"/>
    </row>
    <row r="341" spans="1:8" hidden="1">
      <c r="A341" s="110"/>
      <c r="B341" s="275"/>
      <c r="C341" s="287" t="s">
        <v>1145</v>
      </c>
      <c r="D341" s="179"/>
      <c r="E341" s="179"/>
      <c r="F341" s="281">
        <f>SUM(F339:F340)</f>
        <v>27.9</v>
      </c>
      <c r="G341" s="147">
        <f>ROUND(F341*0.78,2)</f>
        <v>21.76</v>
      </c>
      <c r="H341" s="10"/>
    </row>
    <row r="342" spans="1:8" hidden="1">
      <c r="A342" s="110"/>
      <c r="B342" s="275" t="s">
        <v>18</v>
      </c>
      <c r="C342" s="287" t="s">
        <v>22</v>
      </c>
      <c r="D342" s="179"/>
      <c r="E342" s="179"/>
      <c r="F342" s="179"/>
      <c r="G342" s="147"/>
      <c r="H342" s="10"/>
    </row>
    <row r="343" spans="1:8" hidden="1">
      <c r="A343" s="147"/>
      <c r="B343" s="147"/>
      <c r="C343" s="632" t="s">
        <v>882</v>
      </c>
      <c r="D343" s="110" t="s">
        <v>4</v>
      </c>
      <c r="E343" s="157">
        <f>G338</f>
        <v>11.17</v>
      </c>
      <c r="F343" s="12">
        <f>'lead 25-26'!L11/1000</f>
        <v>61</v>
      </c>
      <c r="G343" s="173">
        <f>ROUND(E343*F343,2)</f>
        <v>681.37</v>
      </c>
      <c r="H343" s="10"/>
    </row>
    <row r="344" spans="1:8" hidden="1">
      <c r="A344" s="147"/>
      <c r="B344" s="147"/>
      <c r="C344" s="632" t="s">
        <v>883</v>
      </c>
      <c r="D344" s="110" t="s">
        <v>4</v>
      </c>
      <c r="E344" s="157">
        <f>G341</f>
        <v>21.76</v>
      </c>
      <c r="F344" s="12">
        <f>'lead 25-26'!L9/1000</f>
        <v>60</v>
      </c>
      <c r="G344" s="173">
        <f>ROUND(E344*F344,2)</f>
        <v>1305.5999999999999</v>
      </c>
      <c r="H344" s="10"/>
    </row>
    <row r="345" spans="1:8" hidden="1">
      <c r="A345" s="147"/>
      <c r="B345" s="275" t="s">
        <v>20</v>
      </c>
      <c r="C345" s="632" t="s">
        <v>191</v>
      </c>
      <c r="D345" s="110" t="s">
        <v>4</v>
      </c>
      <c r="E345" s="12">
        <f>SUM(E343:E344)</f>
        <v>32.93</v>
      </c>
      <c r="F345" s="12">
        <f>'MINI SSR 2025-26'!C35</f>
        <v>37</v>
      </c>
      <c r="G345" s="173">
        <f>ROUND(E345*F345,2)</f>
        <v>1218.4100000000001</v>
      </c>
      <c r="H345" s="10"/>
    </row>
    <row r="346" spans="1:8" hidden="1">
      <c r="A346" s="147"/>
      <c r="B346" s="147"/>
      <c r="C346" s="632" t="s">
        <v>192</v>
      </c>
      <c r="D346" s="110" t="s">
        <v>27</v>
      </c>
      <c r="E346" s="12">
        <f>E345</f>
        <v>32.93</v>
      </c>
      <c r="F346" s="12">
        <f>'MINI SSR 2025-26'!C36</f>
        <v>7</v>
      </c>
      <c r="G346" s="173">
        <f>ROUND(E346*F346,2)</f>
        <v>230.51</v>
      </c>
      <c r="H346" s="10"/>
    </row>
    <row r="347" spans="1:8" hidden="1">
      <c r="A347" s="147"/>
      <c r="B347" s="147"/>
      <c r="C347" s="632" t="s">
        <v>2213</v>
      </c>
      <c r="D347" s="179"/>
      <c r="E347" s="281"/>
      <c r="F347" s="304"/>
      <c r="G347" s="273">
        <f>ROUND(SUM(G343:G346)*13.615%,2)</f>
        <v>467.8</v>
      </c>
      <c r="H347" s="10"/>
    </row>
    <row r="348" spans="1:8" hidden="1">
      <c r="A348" s="147"/>
      <c r="B348" s="147"/>
      <c r="C348" s="287" t="s">
        <v>884</v>
      </c>
      <c r="D348" s="110"/>
      <c r="E348" s="12"/>
      <c r="F348" s="12"/>
      <c r="G348" s="182">
        <f>SUM(G343:G347)</f>
        <v>3903.6900000000005</v>
      </c>
      <c r="H348" s="10"/>
    </row>
    <row r="349" spans="1:8" hidden="1">
      <c r="A349" s="147"/>
      <c r="B349" s="147"/>
      <c r="C349" s="287" t="s">
        <v>119</v>
      </c>
      <c r="D349" s="110"/>
      <c r="E349" s="12"/>
      <c r="F349" s="12"/>
      <c r="G349" s="182">
        <f>ROUND(G348/2.025,2)</f>
        <v>1927.75</v>
      </c>
      <c r="H349" s="228"/>
    </row>
    <row r="350" spans="1:8" ht="51" hidden="1">
      <c r="A350" s="110">
        <v>23</v>
      </c>
      <c r="B350" s="278"/>
      <c r="C350" s="632" t="s">
        <v>616</v>
      </c>
      <c r="D350" s="179"/>
      <c r="E350" s="179"/>
      <c r="F350" s="179"/>
      <c r="G350" s="147"/>
      <c r="H350" s="10"/>
    </row>
    <row r="351" spans="1:8" hidden="1">
      <c r="A351" s="110"/>
      <c r="B351" s="278"/>
      <c r="C351" s="287" t="s">
        <v>189</v>
      </c>
      <c r="D351" s="179"/>
      <c r="E351" s="179"/>
      <c r="F351" s="179"/>
      <c r="G351" s="147"/>
      <c r="H351" s="10"/>
    </row>
    <row r="352" spans="1:8" hidden="1">
      <c r="A352" s="110"/>
      <c r="B352" s="275" t="s">
        <v>18</v>
      </c>
      <c r="C352" s="287" t="s">
        <v>22</v>
      </c>
      <c r="D352" s="179"/>
      <c r="E352" s="179"/>
      <c r="F352" s="179"/>
      <c r="G352" s="147"/>
      <c r="H352" s="10"/>
    </row>
    <row r="353" spans="1:8" hidden="1">
      <c r="A353" s="147"/>
      <c r="B353" s="147"/>
      <c r="C353" s="632" t="s">
        <v>617</v>
      </c>
      <c r="D353" s="110" t="s">
        <v>4</v>
      </c>
      <c r="E353" s="157">
        <v>1.0249999999999999</v>
      </c>
      <c r="F353" s="12">
        <f>'MINI SSR 2025-26'!C37</f>
        <v>88</v>
      </c>
      <c r="G353" s="173">
        <f>ROUND(E353*F353,2)</f>
        <v>90.2</v>
      </c>
      <c r="H353" s="10"/>
    </row>
    <row r="354" spans="1:8" hidden="1">
      <c r="A354" s="147"/>
      <c r="B354" s="275" t="s">
        <v>20</v>
      </c>
      <c r="C354" s="632" t="s">
        <v>618</v>
      </c>
      <c r="D354" s="110" t="s">
        <v>4</v>
      </c>
      <c r="E354" s="12">
        <v>1</v>
      </c>
      <c r="F354" s="12">
        <f>'MINI SSR 2025-26'!C38</f>
        <v>33</v>
      </c>
      <c r="G354" s="173">
        <f>ROUND(E354*F354,2)</f>
        <v>33</v>
      </c>
      <c r="H354" s="10"/>
    </row>
    <row r="355" spans="1:8" hidden="1">
      <c r="A355" s="147"/>
      <c r="B355" s="147"/>
      <c r="C355" s="632" t="s">
        <v>619</v>
      </c>
      <c r="D355" s="110" t="s">
        <v>27</v>
      </c>
      <c r="E355" s="12">
        <v>1</v>
      </c>
      <c r="F355" s="12">
        <f>'MINI SSR 2025-26'!C39</f>
        <v>28</v>
      </c>
      <c r="G355" s="173">
        <f>ROUND(E355*F355,2)</f>
        <v>28</v>
      </c>
      <c r="H355" s="10"/>
    </row>
    <row r="356" spans="1:8" hidden="1">
      <c r="A356" s="147"/>
      <c r="B356" s="147"/>
      <c r="C356" s="632" t="s">
        <v>2213</v>
      </c>
      <c r="D356" s="179"/>
      <c r="E356" s="281"/>
      <c r="F356" s="304"/>
      <c r="G356" s="273">
        <f>ROUND(SUM(G353:G355)*13.615%,2)</f>
        <v>20.59</v>
      </c>
      <c r="H356" s="10"/>
    </row>
    <row r="357" spans="1:8" hidden="1">
      <c r="A357" s="147"/>
      <c r="B357" s="147"/>
      <c r="C357" s="287" t="s">
        <v>193</v>
      </c>
      <c r="D357" s="110"/>
      <c r="E357" s="12"/>
      <c r="F357" s="12"/>
      <c r="G357" s="182">
        <f>SUM(G353:G356)</f>
        <v>171.79</v>
      </c>
      <c r="H357" s="228"/>
    </row>
    <row r="358" spans="1:8" ht="204" hidden="1">
      <c r="A358" s="110">
        <v>3</v>
      </c>
      <c r="B358" s="278"/>
      <c r="C358" s="632" t="s">
        <v>1099</v>
      </c>
      <c r="D358" s="179"/>
      <c r="E358" s="179"/>
      <c r="F358" s="179"/>
      <c r="G358" s="147"/>
      <c r="H358" s="10"/>
    </row>
    <row r="359" spans="1:8" hidden="1">
      <c r="A359" s="110"/>
      <c r="B359" s="278"/>
      <c r="C359" s="287" t="s">
        <v>867</v>
      </c>
      <c r="D359" s="179"/>
      <c r="E359" s="179"/>
      <c r="F359" s="179"/>
      <c r="G359" s="273"/>
    </row>
    <row r="360" spans="1:8" hidden="1">
      <c r="A360" s="147"/>
      <c r="B360" s="147"/>
      <c r="C360" s="632" t="s">
        <v>862</v>
      </c>
      <c r="D360" s="12">
        <v>4.5999999999999996</v>
      </c>
      <c r="E360" s="157">
        <v>2.39</v>
      </c>
      <c r="F360" s="12">
        <f>ROUND(D360*E360,2)</f>
        <v>10.99</v>
      </c>
      <c r="G360" s="173"/>
      <c r="H360" s="10"/>
    </row>
    <row r="361" spans="1:8" hidden="1">
      <c r="A361" s="147"/>
      <c r="B361" s="147"/>
      <c r="C361" s="632" t="s">
        <v>863</v>
      </c>
      <c r="D361" s="12">
        <v>11.7</v>
      </c>
      <c r="E361" s="157">
        <v>0.89</v>
      </c>
      <c r="F361" s="12">
        <f>ROUND(D361*E361,2)</f>
        <v>10.41</v>
      </c>
      <c r="G361" s="173"/>
      <c r="H361" s="10"/>
    </row>
    <row r="362" spans="1:8" hidden="1">
      <c r="A362" s="147"/>
      <c r="B362" s="147"/>
      <c r="C362" s="632"/>
      <c r="D362" s="110"/>
      <c r="E362" s="157"/>
      <c r="F362" s="288">
        <f>SUM(F360:F361)</f>
        <v>21.4</v>
      </c>
      <c r="G362" s="173"/>
      <c r="H362" s="10"/>
    </row>
    <row r="363" spans="1:8" hidden="1">
      <c r="A363" s="147"/>
      <c r="B363" s="147"/>
      <c r="C363" s="632" t="s">
        <v>687</v>
      </c>
      <c r="D363" s="110" t="s">
        <v>4</v>
      </c>
      <c r="E363" s="157">
        <f>F362</f>
        <v>21.4</v>
      </c>
      <c r="F363" s="12">
        <f>'MINI SSR 2025-26'!C40</f>
        <v>466</v>
      </c>
      <c r="G363" s="173">
        <f t="shared" ref="G363:G368" si="5">ROUND(E363*F363,2)</f>
        <v>9972.4</v>
      </c>
      <c r="H363" s="10"/>
    </row>
    <row r="364" spans="1:8" ht="25.5" hidden="1">
      <c r="A364" s="147"/>
      <c r="B364" s="275"/>
      <c r="C364" s="632" t="s">
        <v>688</v>
      </c>
      <c r="D364" s="110" t="s">
        <v>4</v>
      </c>
      <c r="E364" s="12">
        <f>E363</f>
        <v>21.4</v>
      </c>
      <c r="F364" s="12">
        <f>'MINI SSR 2025-26'!C41</f>
        <v>177</v>
      </c>
      <c r="G364" s="173">
        <f t="shared" si="5"/>
        <v>3787.8</v>
      </c>
      <c r="H364" s="10"/>
    </row>
    <row r="365" spans="1:8" hidden="1">
      <c r="A365" s="147"/>
      <c r="B365" s="275"/>
      <c r="C365" s="632" t="s">
        <v>1528</v>
      </c>
      <c r="D365" s="110" t="s">
        <v>274</v>
      </c>
      <c r="E365" s="12">
        <v>1.3</v>
      </c>
      <c r="F365" s="12">
        <f>'MINI SSR 2025-26'!C42</f>
        <v>240</v>
      </c>
      <c r="G365" s="173">
        <f t="shared" si="5"/>
        <v>312</v>
      </c>
      <c r="H365" s="10"/>
    </row>
    <row r="366" spans="1:8" hidden="1">
      <c r="A366" s="147"/>
      <c r="B366" s="275"/>
      <c r="C366" s="632" t="s">
        <v>864</v>
      </c>
      <c r="D366" s="110" t="s">
        <v>114</v>
      </c>
      <c r="E366" s="12">
        <v>13</v>
      </c>
      <c r="F366" s="678">
        <v>80</v>
      </c>
      <c r="G366" s="173">
        <f t="shared" si="5"/>
        <v>1040</v>
      </c>
      <c r="H366" s="10"/>
    </row>
    <row r="367" spans="1:8" hidden="1">
      <c r="A367" s="147"/>
      <c r="B367" s="275"/>
      <c r="C367" s="632" t="s">
        <v>865</v>
      </c>
      <c r="D367" s="110" t="s">
        <v>114</v>
      </c>
      <c r="E367" s="12">
        <v>13</v>
      </c>
      <c r="F367" s="678">
        <v>30</v>
      </c>
      <c r="G367" s="173">
        <f t="shared" si="5"/>
        <v>390</v>
      </c>
      <c r="H367" s="10"/>
    </row>
    <row r="368" spans="1:8" hidden="1">
      <c r="A368" s="147"/>
      <c r="B368" s="275"/>
      <c r="C368" s="632" t="s">
        <v>866</v>
      </c>
      <c r="D368" s="110" t="s">
        <v>114</v>
      </c>
      <c r="E368" s="12">
        <v>13</v>
      </c>
      <c r="F368" s="678">
        <v>15</v>
      </c>
      <c r="G368" s="173">
        <f t="shared" si="5"/>
        <v>195</v>
      </c>
      <c r="H368" s="10"/>
    </row>
    <row r="369" spans="1:8" hidden="1">
      <c r="A369" s="147"/>
      <c r="B369" s="275"/>
      <c r="C369" s="632" t="s">
        <v>2213</v>
      </c>
      <c r="D369" s="179"/>
      <c r="E369" s="281"/>
      <c r="F369" s="304"/>
      <c r="G369" s="273">
        <f>ROUND(SUM(G363:G368)*13.615%,2)</f>
        <v>2137.17</v>
      </c>
      <c r="H369" s="10"/>
    </row>
    <row r="370" spans="1:8" hidden="1">
      <c r="A370" s="147"/>
      <c r="B370" s="275"/>
      <c r="C370" s="632" t="s">
        <v>868</v>
      </c>
      <c r="D370" s="110"/>
      <c r="E370" s="12"/>
      <c r="F370" s="12"/>
      <c r="G370" s="173">
        <f>SUM(G363:G369)</f>
        <v>17834.370000000003</v>
      </c>
      <c r="H370" s="10"/>
    </row>
    <row r="371" spans="1:8" hidden="1">
      <c r="A371" s="147"/>
      <c r="B371" s="275"/>
      <c r="C371" s="632" t="s">
        <v>373</v>
      </c>
      <c r="D371" s="110"/>
      <c r="E371" s="12"/>
      <c r="F371" s="12"/>
      <c r="G371" s="173">
        <f>ROUND(G370/4.6,2)</f>
        <v>3877.04</v>
      </c>
      <c r="H371" s="10"/>
    </row>
    <row r="372" spans="1:8" hidden="1">
      <c r="A372" s="147"/>
      <c r="B372" s="147"/>
      <c r="C372" s="632" t="s">
        <v>869</v>
      </c>
      <c r="D372" s="110"/>
      <c r="E372" s="12"/>
      <c r="F372" s="12"/>
      <c r="G372" s="182">
        <f>ROUND(G371/0.9,2)</f>
        <v>4307.82</v>
      </c>
      <c r="H372" s="228"/>
    </row>
    <row r="373" spans="1:8" ht="153" hidden="1">
      <c r="A373" s="110">
        <v>25</v>
      </c>
      <c r="B373" s="278"/>
      <c r="C373" s="632" t="s">
        <v>1100</v>
      </c>
      <c r="D373" s="179"/>
      <c r="E373" s="179"/>
      <c r="F373" s="179"/>
      <c r="G373" s="147"/>
      <c r="H373" s="10"/>
    </row>
    <row r="374" spans="1:8" hidden="1">
      <c r="A374" s="110"/>
      <c r="B374" s="278"/>
      <c r="C374" s="287" t="s">
        <v>872</v>
      </c>
      <c r="D374" s="179"/>
      <c r="E374" s="179"/>
      <c r="F374" s="179"/>
      <c r="G374" s="273"/>
    </row>
    <row r="375" spans="1:8" hidden="1">
      <c r="A375" s="147"/>
      <c r="B375" s="147"/>
      <c r="C375" s="632" t="s">
        <v>870</v>
      </c>
      <c r="D375" s="12">
        <v>10</v>
      </c>
      <c r="E375" s="157">
        <v>2.39</v>
      </c>
      <c r="F375" s="12">
        <f>ROUND(D375*E375,2)</f>
        <v>23.9</v>
      </c>
      <c r="G375" s="173"/>
      <c r="H375" s="10"/>
    </row>
    <row r="376" spans="1:8" hidden="1">
      <c r="A376" s="147"/>
      <c r="B376" s="147"/>
      <c r="C376" s="632" t="s">
        <v>871</v>
      </c>
      <c r="D376" s="12">
        <v>2.7</v>
      </c>
      <c r="E376" s="157">
        <v>0.89</v>
      </c>
      <c r="F376" s="12">
        <f>ROUND(D376*E376,2)</f>
        <v>2.4</v>
      </c>
      <c r="G376" s="173"/>
      <c r="H376" s="10"/>
    </row>
    <row r="377" spans="1:8" hidden="1">
      <c r="A377" s="147"/>
      <c r="B377" s="147"/>
      <c r="C377" s="632"/>
      <c r="D377" s="110"/>
      <c r="E377" s="157"/>
      <c r="F377" s="288">
        <f>SUM(F375:F376)</f>
        <v>26.299999999999997</v>
      </c>
      <c r="G377" s="173"/>
      <c r="H377" s="10"/>
    </row>
    <row r="378" spans="1:8" hidden="1">
      <c r="A378" s="147"/>
      <c r="B378" s="147"/>
      <c r="C378" s="632" t="s">
        <v>687</v>
      </c>
      <c r="D378" s="110" t="s">
        <v>4</v>
      </c>
      <c r="E378" s="157">
        <f>F377</f>
        <v>26.299999999999997</v>
      </c>
      <c r="F378" s="12">
        <f>'MINI SSR 2025-26'!C40</f>
        <v>466</v>
      </c>
      <c r="G378" s="173">
        <f>ROUND(E378*F378,2)</f>
        <v>12255.8</v>
      </c>
      <c r="H378" s="10"/>
    </row>
    <row r="379" spans="1:8" ht="25.5" hidden="1">
      <c r="A379" s="147"/>
      <c r="B379" s="275"/>
      <c r="C379" s="632" t="s">
        <v>688</v>
      </c>
      <c r="D379" s="110" t="s">
        <v>4</v>
      </c>
      <c r="E379" s="12">
        <f>E378</f>
        <v>26.299999999999997</v>
      </c>
      <c r="F379" s="12">
        <f>'MINI SSR 2025-26'!C41</f>
        <v>177</v>
      </c>
      <c r="G379" s="173">
        <f>ROUND(E379*F379,2)</f>
        <v>4655.1000000000004</v>
      </c>
      <c r="H379" s="10"/>
    </row>
    <row r="380" spans="1:8" hidden="1">
      <c r="A380" s="147"/>
      <c r="B380" s="275"/>
      <c r="C380" s="632" t="s">
        <v>875</v>
      </c>
      <c r="D380" s="110" t="s">
        <v>274</v>
      </c>
      <c r="E380" s="12">
        <v>0.9</v>
      </c>
      <c r="F380" s="12">
        <f>'MINI SSR 2025-26'!C42</f>
        <v>240</v>
      </c>
      <c r="G380" s="173">
        <f>ROUND(E380*F380,2)</f>
        <v>216</v>
      </c>
      <c r="H380" s="10"/>
    </row>
    <row r="381" spans="1:8" hidden="1">
      <c r="A381" s="147"/>
      <c r="B381" s="275"/>
      <c r="C381" s="632" t="s">
        <v>873</v>
      </c>
      <c r="D381" s="110" t="s">
        <v>114</v>
      </c>
      <c r="E381" s="12">
        <v>9</v>
      </c>
      <c r="F381" s="678">
        <v>30</v>
      </c>
      <c r="G381" s="173">
        <f>ROUND(E381*F381,2)</f>
        <v>270</v>
      </c>
      <c r="H381" s="10"/>
    </row>
    <row r="382" spans="1:8" hidden="1">
      <c r="A382" s="147"/>
      <c r="B382" s="275"/>
      <c r="C382" s="632" t="s">
        <v>874</v>
      </c>
      <c r="D382" s="110"/>
      <c r="E382" s="12"/>
      <c r="F382" s="12"/>
      <c r="G382" s="173">
        <f>SUM(G378:G381)</f>
        <v>17396.900000000001</v>
      </c>
      <c r="H382" s="10"/>
    </row>
    <row r="383" spans="1:8" hidden="1">
      <c r="A383" s="147"/>
      <c r="B383" s="275"/>
      <c r="C383" s="632" t="s">
        <v>373</v>
      </c>
      <c r="D383" s="110"/>
      <c r="E383" s="12"/>
      <c r="F383" s="12"/>
      <c r="G383" s="182">
        <f>ROUND(G382/10,2)</f>
        <v>1739.69</v>
      </c>
      <c r="H383" s="10"/>
    </row>
    <row r="384" spans="1:8" s="763" customFormat="1" ht="51">
      <c r="A384" s="757">
        <v>12</v>
      </c>
      <c r="B384" s="819" t="s">
        <v>1146</v>
      </c>
      <c r="C384" s="758" t="s">
        <v>963</v>
      </c>
      <c r="D384" s="820"/>
      <c r="E384" s="820"/>
      <c r="F384" s="820"/>
      <c r="G384" s="819"/>
      <c r="H384" s="821"/>
    </row>
    <row r="385" spans="1:11" s="763" customFormat="1">
      <c r="A385" s="757"/>
      <c r="B385" s="819"/>
      <c r="C385" s="785" t="s">
        <v>84</v>
      </c>
      <c r="D385" s="820"/>
      <c r="E385" s="820"/>
      <c r="F385" s="820"/>
      <c r="G385" s="825"/>
      <c r="H385" s="821"/>
    </row>
    <row r="386" spans="1:11" s="763" customFormat="1">
      <c r="A386" s="757"/>
      <c r="B386" s="819"/>
      <c r="C386" s="785" t="s">
        <v>60</v>
      </c>
      <c r="D386" s="820"/>
      <c r="E386" s="820"/>
      <c r="F386" s="820"/>
      <c r="G386" s="825"/>
      <c r="H386" s="821"/>
    </row>
    <row r="387" spans="1:11" s="763" customFormat="1">
      <c r="A387" s="757"/>
      <c r="B387" s="819"/>
      <c r="C387" s="758" t="s">
        <v>33</v>
      </c>
      <c r="D387" s="820" t="s">
        <v>4</v>
      </c>
      <c r="E387" s="823">
        <v>59.4</v>
      </c>
      <c r="F387" s="823">
        <f>'lead 25-26'!L8</f>
        <v>4218.8</v>
      </c>
      <c r="G387" s="824">
        <f>ROUND(E387*F387/1000,2)</f>
        <v>250.6</v>
      </c>
      <c r="H387" s="821"/>
    </row>
    <row r="388" spans="1:11" s="763" customFormat="1">
      <c r="A388" s="757"/>
      <c r="B388" s="819"/>
      <c r="C388" s="758" t="s">
        <v>968</v>
      </c>
      <c r="D388" s="820" t="s">
        <v>35</v>
      </c>
      <c r="E388" s="840">
        <v>1.1000000000000001</v>
      </c>
      <c r="F388" s="823">
        <f>'lead 25-26'!L22</f>
        <v>515.69000000000005</v>
      </c>
      <c r="G388" s="824">
        <f>ROUND(E388*F388,2)</f>
        <v>567.26</v>
      </c>
      <c r="H388" s="821"/>
    </row>
    <row r="389" spans="1:11" s="763" customFormat="1">
      <c r="A389" s="757"/>
      <c r="B389" s="819"/>
      <c r="C389" s="758" t="s">
        <v>992</v>
      </c>
      <c r="D389" s="820" t="s">
        <v>35</v>
      </c>
      <c r="E389" s="823">
        <v>0.33</v>
      </c>
      <c r="F389" s="823">
        <f>'lead 25-26'!L13</f>
        <v>1196.3999999999996</v>
      </c>
      <c r="G389" s="824">
        <f>ROUND(E389*F389,2)</f>
        <v>394.81</v>
      </c>
      <c r="H389" s="821"/>
    </row>
    <row r="390" spans="1:11" s="763" customFormat="1">
      <c r="A390" s="820"/>
      <c r="B390" s="820"/>
      <c r="C390" s="785" t="s">
        <v>68</v>
      </c>
      <c r="D390" s="820"/>
      <c r="E390" s="823"/>
      <c r="F390" s="823"/>
      <c r="G390" s="824"/>
      <c r="H390" s="821"/>
    </row>
    <row r="391" spans="1:11" s="763" customFormat="1">
      <c r="A391" s="820"/>
      <c r="B391" s="820"/>
      <c r="C391" s="758" t="s">
        <v>64</v>
      </c>
      <c r="D391" s="820" t="s">
        <v>27</v>
      </c>
      <c r="E391" s="823">
        <v>1.2</v>
      </c>
      <c r="F391" s="823">
        <f>'MINI SSR 2025-26'!$H$3</f>
        <v>735</v>
      </c>
      <c r="G391" s="824">
        <f>ROUND(E391*F391,2)</f>
        <v>882</v>
      </c>
      <c r="H391" s="821"/>
      <c r="K391" s="827"/>
    </row>
    <row r="392" spans="1:11" s="763" customFormat="1">
      <c r="A392" s="820"/>
      <c r="B392" s="820"/>
      <c r="C392" s="758" t="s">
        <v>85</v>
      </c>
      <c r="D392" s="820" t="s">
        <v>27</v>
      </c>
      <c r="E392" s="823">
        <v>2</v>
      </c>
      <c r="F392" s="823">
        <f>'MINI SSR 2025-26'!$H$5</f>
        <v>615</v>
      </c>
      <c r="G392" s="824">
        <f>ROUND(E392*F392,2)</f>
        <v>1230</v>
      </c>
      <c r="H392" s="821"/>
      <c r="K392" s="827"/>
    </row>
    <row r="393" spans="1:11" s="763" customFormat="1">
      <c r="A393" s="820"/>
      <c r="B393" s="820"/>
      <c r="C393" s="758"/>
      <c r="D393" s="820"/>
      <c r="E393" s="823"/>
      <c r="F393" s="823"/>
      <c r="G393" s="824">
        <f>SUM(G387:G392)</f>
        <v>3324.67</v>
      </c>
      <c r="H393" s="821"/>
      <c r="K393" s="827"/>
    </row>
    <row r="394" spans="1:11" s="763" customFormat="1">
      <c r="A394" s="820"/>
      <c r="B394" s="820"/>
      <c r="C394" s="758" t="s">
        <v>2213</v>
      </c>
      <c r="D394" s="820"/>
      <c r="E394" s="823"/>
      <c r="F394" s="823"/>
      <c r="G394" s="825">
        <f>ROUND(G393*$H$3,2)</f>
        <v>452.65</v>
      </c>
      <c r="H394" s="821"/>
      <c r="K394" s="827"/>
    </row>
    <row r="395" spans="1:11" s="763" customFormat="1" ht="13.5" thickBot="1">
      <c r="A395" s="820"/>
      <c r="B395" s="820"/>
      <c r="C395" s="785" t="s">
        <v>86</v>
      </c>
      <c r="D395" s="820"/>
      <c r="E395" s="820"/>
      <c r="F395" s="820"/>
      <c r="G395" s="828">
        <f>SUM(G393:G394)</f>
        <v>3777.32</v>
      </c>
      <c r="H395" s="821"/>
      <c r="K395" s="829"/>
    </row>
    <row r="396" spans="1:11" ht="143.25" hidden="1" thickTop="1">
      <c r="A396" s="110">
        <v>4</v>
      </c>
      <c r="B396" s="278" t="s">
        <v>83</v>
      </c>
      <c r="C396" s="632" t="s">
        <v>1101</v>
      </c>
      <c r="D396" s="179"/>
      <c r="E396" s="179"/>
      <c r="F396" s="179"/>
      <c r="G396" s="278"/>
    </row>
    <row r="397" spans="1:11" ht="13.5" hidden="1" thickTop="1">
      <c r="A397" s="110"/>
      <c r="B397" s="278"/>
      <c r="C397" s="287" t="s">
        <v>84</v>
      </c>
      <c r="D397" s="179"/>
      <c r="E397" s="179"/>
      <c r="F397" s="179"/>
      <c r="G397" s="273"/>
    </row>
    <row r="398" spans="1:11" ht="13.5" hidden="1" thickTop="1">
      <c r="A398" s="110"/>
      <c r="B398" s="278"/>
      <c r="C398" s="287" t="s">
        <v>60</v>
      </c>
      <c r="D398" s="179"/>
      <c r="E398" s="179"/>
      <c r="F398" s="179"/>
      <c r="G398" s="273"/>
    </row>
    <row r="399" spans="1:11" ht="13.5" hidden="1" thickTop="1">
      <c r="A399" s="110"/>
      <c r="B399" s="278"/>
      <c r="C399" s="632" t="s">
        <v>33</v>
      </c>
      <c r="D399" s="179" t="s">
        <v>4</v>
      </c>
      <c r="E399" s="281">
        <v>48</v>
      </c>
      <c r="F399" s="281">
        <f>'lead 25-26'!L8</f>
        <v>4218.8</v>
      </c>
      <c r="G399" s="173">
        <f>ROUND(E399*F399/1000,2)</f>
        <v>202.5</v>
      </c>
    </row>
    <row r="400" spans="1:11" ht="13.5" hidden="1" thickTop="1">
      <c r="A400" s="110"/>
      <c r="B400" s="278"/>
      <c r="C400" s="632" t="s">
        <v>1102</v>
      </c>
      <c r="D400" s="179" t="s">
        <v>11</v>
      </c>
      <c r="E400" s="189">
        <v>512</v>
      </c>
      <c r="F400" s="281">
        <f>'lead 25-26'!L16</f>
        <v>9697.1700000000019</v>
      </c>
      <c r="G400" s="173">
        <f>ROUND(E400*F400/1000,2)</f>
        <v>4964.95</v>
      </c>
    </row>
    <row r="401" spans="1:11" ht="13.5" hidden="1" thickTop="1">
      <c r="A401" s="110"/>
      <c r="B401" s="278"/>
      <c r="C401" s="632" t="s">
        <v>112</v>
      </c>
      <c r="D401" s="179" t="s">
        <v>35</v>
      </c>
      <c r="E401" s="281">
        <v>0.2</v>
      </c>
      <c r="F401" s="281">
        <f>'lead 25-26'!L13</f>
        <v>1196.3999999999996</v>
      </c>
      <c r="G401" s="173">
        <f>ROUND(E401*F401,2)</f>
        <v>239.28</v>
      </c>
    </row>
    <row r="402" spans="1:11" ht="13.5" hidden="1" thickTop="1">
      <c r="A402" s="179"/>
      <c r="B402" s="179"/>
      <c r="C402" s="287" t="s">
        <v>68</v>
      </c>
      <c r="D402" s="179"/>
      <c r="E402" s="281"/>
      <c r="F402" s="281"/>
      <c r="G402" s="173"/>
    </row>
    <row r="403" spans="1:11" ht="13.5" hidden="1" thickTop="1">
      <c r="A403" s="179"/>
      <c r="B403" s="179"/>
      <c r="C403" s="632" t="s">
        <v>64</v>
      </c>
      <c r="D403" s="179" t="s">
        <v>27</v>
      </c>
      <c r="E403" s="281">
        <v>0.24</v>
      </c>
      <c r="F403" s="281">
        <f>'MINI SSR 2025-26'!$H$3</f>
        <v>735</v>
      </c>
      <c r="G403" s="173">
        <f>ROUND(E403*F403,2)</f>
        <v>176.4</v>
      </c>
      <c r="K403" s="20"/>
    </row>
    <row r="404" spans="1:11" ht="13.5" hidden="1" thickTop="1">
      <c r="A404" s="179"/>
      <c r="B404" s="179"/>
      <c r="C404" s="632" t="s">
        <v>69</v>
      </c>
      <c r="D404" s="179" t="s">
        <v>27</v>
      </c>
      <c r="E404" s="281">
        <v>0.56000000000000005</v>
      </c>
      <c r="F404" s="281">
        <f>'MINI SSR 2025-26'!$H$4</f>
        <v>665</v>
      </c>
      <c r="G404" s="173">
        <f>ROUND(E404*F404,2)</f>
        <v>372.4</v>
      </c>
      <c r="K404" s="20"/>
    </row>
    <row r="405" spans="1:11" ht="13.5" hidden="1" thickTop="1">
      <c r="A405" s="179"/>
      <c r="B405" s="179"/>
      <c r="C405" s="632" t="s">
        <v>85</v>
      </c>
      <c r="D405" s="179" t="s">
        <v>27</v>
      </c>
      <c r="E405" s="281">
        <v>1.89</v>
      </c>
      <c r="F405" s="281">
        <f>'MINI SSR 2025-26'!$H$5</f>
        <v>615</v>
      </c>
      <c r="G405" s="173">
        <f>ROUND(E405*F405,2)</f>
        <v>1162.3499999999999</v>
      </c>
      <c r="K405" s="20"/>
    </row>
    <row r="406" spans="1:11" ht="14.25" hidden="1" thickTop="1" thickBot="1">
      <c r="A406" s="179"/>
      <c r="B406" s="179"/>
      <c r="C406" s="287" t="s">
        <v>86</v>
      </c>
      <c r="D406" s="179"/>
      <c r="E406" s="179"/>
      <c r="F406" s="179"/>
      <c r="G406" s="282">
        <f>SUM(G399:G405)</f>
        <v>7117.8799999999992</v>
      </c>
      <c r="K406" s="276"/>
    </row>
    <row r="407" spans="1:11" ht="13.5" hidden="1" thickTop="1">
      <c r="A407" s="179"/>
      <c r="B407" s="179"/>
      <c r="C407" s="287"/>
      <c r="D407" s="179"/>
      <c r="E407" s="278" t="s">
        <v>163</v>
      </c>
      <c r="F407" s="278" t="s">
        <v>164</v>
      </c>
      <c r="G407" s="285" t="s">
        <v>165</v>
      </c>
      <c r="H407" s="10"/>
    </row>
    <row r="408" spans="1:11" ht="13.5" hidden="1" thickTop="1">
      <c r="A408" s="179"/>
      <c r="B408" s="179"/>
      <c r="C408" s="287" t="s">
        <v>194</v>
      </c>
      <c r="D408" s="179"/>
      <c r="E408" s="281">
        <f>G406</f>
        <v>7117.8799999999992</v>
      </c>
      <c r="F408" s="281">
        <f>E408</f>
        <v>7117.8799999999992</v>
      </c>
      <c r="G408" s="273">
        <f>F408</f>
        <v>7117.8799999999992</v>
      </c>
      <c r="H408" s="10"/>
    </row>
    <row r="409" spans="1:11" ht="13.5" hidden="1" thickTop="1">
      <c r="A409" s="179"/>
      <c r="B409" s="179"/>
      <c r="C409" s="632" t="s">
        <v>1535</v>
      </c>
      <c r="D409" s="188">
        <v>4.3499999999999996</v>
      </c>
      <c r="E409" s="179">
        <f>ROUND($D$409*'MINI SSR 2025-26'!E30,2)</f>
        <v>46.89</v>
      </c>
      <c r="F409" s="179">
        <f>E409</f>
        <v>46.89</v>
      </c>
      <c r="G409" s="179">
        <f>F409</f>
        <v>46.89</v>
      </c>
      <c r="H409" s="10"/>
    </row>
    <row r="410" spans="1:11" ht="13.5" hidden="1" thickTop="1">
      <c r="A410" s="179"/>
      <c r="B410" s="179"/>
      <c r="C410" s="632" t="s">
        <v>1536</v>
      </c>
      <c r="D410" s="188">
        <v>4.3499999999999996</v>
      </c>
      <c r="E410" s="179">
        <f>ROUND($D$410*'MINI SSR 2025-26'!F30,2)</f>
        <v>368.1</v>
      </c>
      <c r="F410" s="179">
        <f>ROUND($D$410*'MINI SSR 2025-26'!G30,2)</f>
        <v>527.13</v>
      </c>
      <c r="G410" s="179">
        <f>ROUND($D$410*'MINI SSR 2025-26'!H30,2)</f>
        <v>686.08</v>
      </c>
      <c r="H410" s="10"/>
    </row>
    <row r="411" spans="1:11" ht="26.25" hidden="1" thickTop="1">
      <c r="A411" s="179"/>
      <c r="B411" s="179"/>
      <c r="C411" s="632" t="s">
        <v>1087</v>
      </c>
      <c r="D411" s="179"/>
      <c r="E411" s="179"/>
      <c r="F411" s="281">
        <f>ROUND((G403+G404+G405+F410)*0.1,2)</f>
        <v>223.83</v>
      </c>
      <c r="G411" s="281">
        <f>ROUND((G403+G404+G405+G410)*0.1,2)</f>
        <v>239.72</v>
      </c>
      <c r="H411" s="10"/>
    </row>
    <row r="412" spans="1:11" ht="13.5" hidden="1" thickTop="1">
      <c r="A412" s="179"/>
      <c r="B412" s="179"/>
      <c r="C412" s="287" t="s">
        <v>86</v>
      </c>
      <c r="D412" s="179"/>
      <c r="E412" s="285">
        <f>SUM(E408:E411)</f>
        <v>7532.87</v>
      </c>
      <c r="F412" s="285">
        <f>SUM(F408:F411)</f>
        <v>7915.73</v>
      </c>
      <c r="G412" s="282">
        <f>SUM(G408:G411)</f>
        <v>8090.57</v>
      </c>
      <c r="H412" s="10"/>
    </row>
    <row r="413" spans="1:11" s="763" customFormat="1" ht="143.25" thickTop="1">
      <c r="A413" s="757">
        <v>13</v>
      </c>
      <c r="B413" s="819" t="s">
        <v>1147</v>
      </c>
      <c r="C413" s="758" t="s">
        <v>1103</v>
      </c>
      <c r="D413" s="820"/>
      <c r="E413" s="820"/>
      <c r="F413" s="820"/>
      <c r="G413" s="819"/>
      <c r="H413" s="821"/>
    </row>
    <row r="414" spans="1:11" s="763" customFormat="1">
      <c r="A414" s="757"/>
      <c r="B414" s="819"/>
      <c r="C414" s="785" t="s">
        <v>84</v>
      </c>
      <c r="D414" s="820"/>
      <c r="E414" s="820"/>
      <c r="F414" s="820"/>
      <c r="G414" s="825"/>
      <c r="H414" s="821"/>
    </row>
    <row r="415" spans="1:11" s="763" customFormat="1">
      <c r="A415" s="757"/>
      <c r="B415" s="819"/>
      <c r="C415" s="785" t="s">
        <v>60</v>
      </c>
      <c r="D415" s="820"/>
      <c r="E415" s="820"/>
      <c r="F415" s="820"/>
      <c r="G415" s="825"/>
      <c r="H415" s="821"/>
    </row>
    <row r="416" spans="1:11" s="763" customFormat="1">
      <c r="A416" s="757"/>
      <c r="B416" s="819"/>
      <c r="C416" s="758" t="s">
        <v>33</v>
      </c>
      <c r="D416" s="820" t="s">
        <v>4</v>
      </c>
      <c r="E416" s="823">
        <v>36</v>
      </c>
      <c r="F416" s="823">
        <f>'lead 25-26'!L8</f>
        <v>4218.8</v>
      </c>
      <c r="G416" s="824">
        <f>ROUND(E416*F416/1000,2)</f>
        <v>151.88</v>
      </c>
      <c r="H416" s="821"/>
    </row>
    <row r="417" spans="1:11" s="763" customFormat="1">
      <c r="A417" s="757"/>
      <c r="B417" s="819"/>
      <c r="C417" s="758" t="s">
        <v>1102</v>
      </c>
      <c r="D417" s="820" t="s">
        <v>11</v>
      </c>
      <c r="E417" s="841">
        <v>512</v>
      </c>
      <c r="F417" s="823">
        <f>'lead 25-26'!L16</f>
        <v>9697.1700000000019</v>
      </c>
      <c r="G417" s="824">
        <f>ROUND(E417*F417/1000,2)</f>
        <v>4964.95</v>
      </c>
      <c r="H417" s="821"/>
    </row>
    <row r="418" spans="1:11" s="763" customFormat="1">
      <c r="A418" s="757"/>
      <c r="B418" s="819"/>
      <c r="C418" s="758" t="s">
        <v>112</v>
      </c>
      <c r="D418" s="820" t="s">
        <v>35</v>
      </c>
      <c r="E418" s="823">
        <v>0.2</v>
      </c>
      <c r="F418" s="823">
        <f>'lead 25-26'!L13</f>
        <v>1196.3999999999996</v>
      </c>
      <c r="G418" s="824">
        <f>ROUND(E418*F418,2)</f>
        <v>239.28</v>
      </c>
      <c r="H418" s="821"/>
    </row>
    <row r="419" spans="1:11" s="763" customFormat="1">
      <c r="A419" s="820"/>
      <c r="B419" s="820"/>
      <c r="C419" s="785" t="s">
        <v>68</v>
      </c>
      <c r="D419" s="820"/>
      <c r="E419" s="823"/>
      <c r="F419" s="823"/>
      <c r="G419" s="824"/>
      <c r="H419" s="821"/>
    </row>
    <row r="420" spans="1:11" s="763" customFormat="1">
      <c r="A420" s="820"/>
      <c r="B420" s="820"/>
      <c r="C420" s="758" t="s">
        <v>64</v>
      </c>
      <c r="D420" s="820" t="s">
        <v>27</v>
      </c>
      <c r="E420" s="823">
        <v>0.24</v>
      </c>
      <c r="F420" s="823">
        <f>'MINI SSR 2025-26'!$H$3</f>
        <v>735</v>
      </c>
      <c r="G420" s="824">
        <f>ROUND(E420*F420,2)</f>
        <v>176.4</v>
      </c>
      <c r="H420" s="821"/>
      <c r="K420" s="827">
        <f>G420</f>
        <v>176.4</v>
      </c>
    </row>
    <row r="421" spans="1:11" s="763" customFormat="1">
      <c r="A421" s="820"/>
      <c r="B421" s="820"/>
      <c r="C421" s="758" t="s">
        <v>69</v>
      </c>
      <c r="D421" s="820" t="s">
        <v>27</v>
      </c>
      <c r="E421" s="823">
        <v>0.56000000000000005</v>
      </c>
      <c r="F421" s="823">
        <f>'MINI SSR 2025-26'!$H$4</f>
        <v>665</v>
      </c>
      <c r="G421" s="824">
        <f>ROUND(E421*F421,2)</f>
        <v>372.4</v>
      </c>
      <c r="H421" s="821"/>
      <c r="K421" s="827">
        <f>G421</f>
        <v>372.4</v>
      </c>
    </row>
    <row r="422" spans="1:11" s="763" customFormat="1">
      <c r="A422" s="820"/>
      <c r="B422" s="820"/>
      <c r="C422" s="758" t="s">
        <v>85</v>
      </c>
      <c r="D422" s="820" t="s">
        <v>27</v>
      </c>
      <c r="E422" s="823">
        <v>1.89</v>
      </c>
      <c r="F422" s="823">
        <f>'MINI SSR 2025-26'!$H$5</f>
        <v>615</v>
      </c>
      <c r="G422" s="824">
        <f>ROUND(E422*F422,2)</f>
        <v>1162.3499999999999</v>
      </c>
      <c r="H422" s="821"/>
      <c r="K422" s="827">
        <f>G422</f>
        <v>1162.3499999999999</v>
      </c>
    </row>
    <row r="423" spans="1:11" s="763" customFormat="1" ht="13.5" thickBot="1">
      <c r="A423" s="820"/>
      <c r="B423" s="820"/>
      <c r="C423" s="785" t="s">
        <v>86</v>
      </c>
      <c r="D423" s="820"/>
      <c r="E423" s="820"/>
      <c r="F423" s="820"/>
      <c r="G423" s="828">
        <f>SUM(G416:G422)</f>
        <v>7067.2599999999984</v>
      </c>
      <c r="H423" s="821"/>
      <c r="K423" s="829">
        <f>SUM(K420:K422)</f>
        <v>1711.1499999999999</v>
      </c>
    </row>
    <row r="424" spans="1:11" s="763" customFormat="1" ht="13.5" thickTop="1">
      <c r="A424" s="820"/>
      <c r="B424" s="820"/>
      <c r="C424" s="785"/>
      <c r="D424" s="820"/>
      <c r="E424" s="819" t="s">
        <v>163</v>
      </c>
      <c r="F424" s="819" t="s">
        <v>164</v>
      </c>
      <c r="G424" s="831" t="s">
        <v>165</v>
      </c>
    </row>
    <row r="425" spans="1:11" s="763" customFormat="1">
      <c r="A425" s="820"/>
      <c r="B425" s="820"/>
      <c r="C425" s="785" t="s">
        <v>194</v>
      </c>
      <c r="D425" s="820"/>
      <c r="E425" s="823">
        <f>G423</f>
        <v>7067.2599999999984</v>
      </c>
      <c r="F425" s="823">
        <f>E425</f>
        <v>7067.2599999999984</v>
      </c>
      <c r="G425" s="825">
        <f>F425</f>
        <v>7067.2599999999984</v>
      </c>
    </row>
    <row r="426" spans="1:11" s="763" customFormat="1">
      <c r="A426" s="820"/>
      <c r="B426" s="820"/>
      <c r="C426" s="758" t="s">
        <v>1537</v>
      </c>
      <c r="D426" s="830">
        <v>4.3499999999999996</v>
      </c>
      <c r="E426" s="820">
        <f>ROUND($D$426*'MINI SSR 2025-26'!E30,2)</f>
        <v>46.89</v>
      </c>
      <c r="F426" s="820">
        <f>E426</f>
        <v>46.89</v>
      </c>
      <c r="G426" s="820">
        <f>F426</f>
        <v>46.89</v>
      </c>
    </row>
    <row r="427" spans="1:11" s="763" customFormat="1">
      <c r="A427" s="820"/>
      <c r="B427" s="820"/>
      <c r="C427" s="758" t="s">
        <v>1536</v>
      </c>
      <c r="D427" s="830">
        <v>4.3499999999999996</v>
      </c>
      <c r="E427" s="820">
        <f>ROUND($D$427*'MINI SSR 2025-26'!F30,2)</f>
        <v>368.1</v>
      </c>
      <c r="F427" s="820">
        <f>ROUND($D$427*'MINI SSR 2025-26'!G30,2)</f>
        <v>527.13</v>
      </c>
      <c r="G427" s="820">
        <f>ROUND($D$427*'MINI SSR 2025-26'!H30,2)</f>
        <v>686.08</v>
      </c>
    </row>
    <row r="428" spans="1:11" s="763" customFormat="1" ht="25.5">
      <c r="A428" s="820"/>
      <c r="B428" s="820"/>
      <c r="C428" s="758" t="s">
        <v>1087</v>
      </c>
      <c r="D428" s="820"/>
      <c r="E428" s="820"/>
      <c r="F428" s="823">
        <f>ROUND((G420+G421+G422+F427)*0.1,2)</f>
        <v>223.83</v>
      </c>
      <c r="G428" s="823">
        <f>ROUND((G420+G421+G422+G427)*0.1,2)</f>
        <v>239.72</v>
      </c>
    </row>
    <row r="429" spans="1:11" s="763" customFormat="1">
      <c r="A429" s="820"/>
      <c r="B429" s="820"/>
      <c r="C429" s="758" t="s">
        <v>2213</v>
      </c>
      <c r="D429" s="820"/>
      <c r="E429" s="823">
        <f>ROUND(SUM(E425:E428)*$H$3,2)</f>
        <v>1018.71</v>
      </c>
      <c r="F429" s="823">
        <f>ROUND(SUM(F425:F428)*$H$3,2)</f>
        <v>1070.83</v>
      </c>
      <c r="G429" s="823">
        <f>ROUND(SUM(G425:G428)*$H$3,2)</f>
        <v>1094.6400000000001</v>
      </c>
    </row>
    <row r="430" spans="1:11" s="763" customFormat="1">
      <c r="A430" s="820"/>
      <c r="B430" s="820"/>
      <c r="C430" s="785" t="s">
        <v>86</v>
      </c>
      <c r="D430" s="820"/>
      <c r="E430" s="831">
        <f>SUM(E425:E429)</f>
        <v>8500.9599999999991</v>
      </c>
      <c r="F430" s="831">
        <f>SUM(F425:F429)</f>
        <v>8935.9399999999987</v>
      </c>
      <c r="G430" s="831">
        <f>SUM(G425:G429)</f>
        <v>9134.5899999999983</v>
      </c>
    </row>
    <row r="431" spans="1:11" ht="89.25" hidden="1">
      <c r="A431" s="110">
        <v>19</v>
      </c>
      <c r="B431" s="278" t="s">
        <v>226</v>
      </c>
      <c r="C431" s="632" t="s">
        <v>1830</v>
      </c>
      <c r="D431" s="179"/>
      <c r="E431" s="179"/>
      <c r="F431" s="179"/>
      <c r="G431" s="278"/>
      <c r="H431" s="10"/>
    </row>
    <row r="432" spans="1:11" hidden="1">
      <c r="A432" s="110"/>
      <c r="B432" s="278"/>
      <c r="C432" s="287" t="s">
        <v>227</v>
      </c>
      <c r="D432" s="179"/>
      <c r="E432" s="179"/>
      <c r="F432" s="179"/>
      <c r="G432" s="273"/>
      <c r="H432" s="10"/>
    </row>
    <row r="433" spans="1:8" hidden="1">
      <c r="A433" s="110"/>
      <c r="B433" s="278"/>
      <c r="C433" s="287" t="s">
        <v>60</v>
      </c>
      <c r="D433" s="179"/>
      <c r="E433" s="179"/>
      <c r="F433" s="179"/>
      <c r="G433" s="273"/>
      <c r="H433" s="10"/>
    </row>
    <row r="434" spans="1:8" hidden="1">
      <c r="A434" s="110"/>
      <c r="B434" s="278"/>
      <c r="C434" s="632" t="s">
        <v>33</v>
      </c>
      <c r="D434" s="179" t="s">
        <v>4</v>
      </c>
      <c r="E434" s="281">
        <v>106</v>
      </c>
      <c r="F434" s="281">
        <f>'lead 25-26'!L8</f>
        <v>4218.8</v>
      </c>
      <c r="G434" s="173">
        <f>ROUND(E434*F434/1000,2)</f>
        <v>447.19</v>
      </c>
      <c r="H434" s="10"/>
    </row>
    <row r="435" spans="1:8" hidden="1">
      <c r="A435" s="110"/>
      <c r="B435" s="278"/>
      <c r="C435" s="632" t="s">
        <v>1104</v>
      </c>
      <c r="D435" s="179" t="s">
        <v>11</v>
      </c>
      <c r="E435" s="189">
        <v>565</v>
      </c>
      <c r="F435" s="281">
        <f>'lead 25-26'!L16</f>
        <v>9697.1700000000019</v>
      </c>
      <c r="G435" s="173">
        <f>ROUND(E435*F435/1000,2)</f>
        <v>5478.9</v>
      </c>
      <c r="H435" s="10"/>
    </row>
    <row r="436" spans="1:8" hidden="1">
      <c r="A436" s="110"/>
      <c r="B436" s="278"/>
      <c r="C436" s="632" t="s">
        <v>112</v>
      </c>
      <c r="D436" s="179" t="s">
        <v>35</v>
      </c>
      <c r="E436" s="281">
        <v>0.22</v>
      </c>
      <c r="F436" s="281">
        <f>'lead 25-26'!L13</f>
        <v>1196.3999999999996</v>
      </c>
      <c r="G436" s="173">
        <f>ROUND(E436*F436,2)</f>
        <v>263.20999999999998</v>
      </c>
      <c r="H436" s="10"/>
    </row>
    <row r="437" spans="1:8" hidden="1">
      <c r="A437" s="179"/>
      <c r="B437" s="179"/>
      <c r="C437" s="287" t="s">
        <v>68</v>
      </c>
      <c r="D437" s="179"/>
      <c r="E437" s="281"/>
      <c r="F437" s="281"/>
      <c r="G437" s="173"/>
      <c r="H437" s="10"/>
    </row>
    <row r="438" spans="1:8" hidden="1">
      <c r="A438" s="179"/>
      <c r="B438" s="179"/>
      <c r="C438" s="632" t="s">
        <v>64</v>
      </c>
      <c r="D438" s="179" t="s">
        <v>27</v>
      </c>
      <c r="E438" s="281">
        <v>0.6</v>
      </c>
      <c r="F438" s="281">
        <f>'MINI SSR 2025-26'!$H$3</f>
        <v>735</v>
      </c>
      <c r="G438" s="173">
        <f>ROUND(E438*F438,2)</f>
        <v>441</v>
      </c>
      <c r="H438" s="10"/>
    </row>
    <row r="439" spans="1:8" hidden="1">
      <c r="A439" s="179"/>
      <c r="B439" s="179"/>
      <c r="C439" s="632" t="s">
        <v>69</v>
      </c>
      <c r="D439" s="179" t="s">
        <v>27</v>
      </c>
      <c r="E439" s="281">
        <v>0.6</v>
      </c>
      <c r="F439" s="281">
        <f>'MINI SSR 2025-26'!$H$4</f>
        <v>665</v>
      </c>
      <c r="G439" s="173">
        <f>ROUND(E439*F439,2)</f>
        <v>399</v>
      </c>
      <c r="H439" s="10"/>
    </row>
    <row r="440" spans="1:8" hidden="1">
      <c r="A440" s="179"/>
      <c r="B440" s="179"/>
      <c r="C440" s="632" t="s">
        <v>85</v>
      </c>
      <c r="D440" s="179" t="s">
        <v>27</v>
      </c>
      <c r="E440" s="281">
        <v>2.75</v>
      </c>
      <c r="F440" s="281">
        <f>'MINI SSR 2025-26'!$H$5</f>
        <v>615</v>
      </c>
      <c r="G440" s="173">
        <f>ROUND(E440*F440,2)</f>
        <v>1691.25</v>
      </c>
      <c r="H440" s="10"/>
    </row>
    <row r="441" spans="1:8" hidden="1">
      <c r="A441" s="179"/>
      <c r="B441" s="179"/>
      <c r="C441" s="287" t="s">
        <v>88</v>
      </c>
      <c r="D441" s="179"/>
      <c r="E441" s="281"/>
      <c r="F441" s="281"/>
      <c r="G441" s="173">
        <f>SUM(G434:G440)</f>
        <v>8720.5499999999993</v>
      </c>
      <c r="H441" s="10"/>
    </row>
    <row r="442" spans="1:8" hidden="1">
      <c r="A442" s="179"/>
      <c r="B442" s="179"/>
      <c r="C442" s="287"/>
      <c r="D442" s="179"/>
      <c r="E442" s="278" t="s">
        <v>163</v>
      </c>
      <c r="F442" s="285" t="s">
        <v>164</v>
      </c>
      <c r="G442" s="285" t="s">
        <v>165</v>
      </c>
      <c r="H442" s="10"/>
    </row>
    <row r="443" spans="1:8" hidden="1">
      <c r="A443" s="179"/>
      <c r="B443" s="179"/>
      <c r="C443" s="287" t="s">
        <v>194</v>
      </c>
      <c r="D443" s="179"/>
      <c r="E443" s="281">
        <f>G441</f>
        <v>8720.5499999999993</v>
      </c>
      <c r="F443" s="273">
        <f>G441</f>
        <v>8720.5499999999993</v>
      </c>
      <c r="G443" s="273">
        <f>G441</f>
        <v>8720.5499999999993</v>
      </c>
      <c r="H443" s="10"/>
    </row>
    <row r="444" spans="1:8" hidden="1">
      <c r="A444" s="179"/>
      <c r="B444" s="179"/>
      <c r="C444" s="632" t="s">
        <v>1538</v>
      </c>
      <c r="D444" s="188">
        <v>8.6999999999999993</v>
      </c>
      <c r="E444" s="179">
        <f>ROUND($D$444*'MINI SSR 2025-26'!E30,2)</f>
        <v>93.79</v>
      </c>
      <c r="F444" s="272">
        <f>E444</f>
        <v>93.79</v>
      </c>
      <c r="G444" s="272">
        <f>F444</f>
        <v>93.79</v>
      </c>
      <c r="H444" s="10"/>
    </row>
    <row r="445" spans="1:8" hidden="1">
      <c r="A445" s="179"/>
      <c r="B445" s="179"/>
      <c r="C445" s="632" t="s">
        <v>1536</v>
      </c>
      <c r="D445" s="188">
        <v>8.6999999999999993</v>
      </c>
      <c r="E445" s="179">
        <f>ROUND($D$445*'MINI SSR 2025-26'!F30,2)</f>
        <v>736.19</v>
      </c>
      <c r="F445" s="179">
        <f>ROUND($D$445*'MINI SSR 2025-26'!G30,2)</f>
        <v>1054.27</v>
      </c>
      <c r="G445" s="179">
        <f>ROUND($D$445*'MINI SSR 2025-26'!H30,2)</f>
        <v>1372.16</v>
      </c>
      <c r="H445" s="10"/>
    </row>
    <row r="446" spans="1:8" ht="25.5" hidden="1">
      <c r="A446" s="179"/>
      <c r="B446" s="179"/>
      <c r="C446" s="632" t="s">
        <v>1087</v>
      </c>
      <c r="D446" s="179"/>
      <c r="E446" s="179"/>
      <c r="F446" s="397">
        <f>(SUM(G438:G440)+F445)*10%</f>
        <v>358.55200000000002</v>
      </c>
      <c r="G446" s="397">
        <f>(SUM(G438:G440)+G445)*20%</f>
        <v>780.68200000000002</v>
      </c>
      <c r="H446" s="10"/>
    </row>
    <row r="447" spans="1:8" hidden="1">
      <c r="A447" s="179"/>
      <c r="B447" s="179"/>
      <c r="C447" s="287" t="s">
        <v>852</v>
      </c>
      <c r="D447" s="179"/>
      <c r="E447" s="285">
        <f>SUM(E443:E446)</f>
        <v>9550.5300000000007</v>
      </c>
      <c r="F447" s="282">
        <f>SUM(F443:F446)</f>
        <v>10227.162</v>
      </c>
      <c r="G447" s="282">
        <f>SUM(G443:G446)</f>
        <v>10967.182000000001</v>
      </c>
      <c r="H447" s="10"/>
    </row>
    <row r="448" spans="1:8" hidden="1">
      <c r="A448" s="179"/>
      <c r="B448" s="179"/>
      <c r="C448" s="287" t="s">
        <v>119</v>
      </c>
      <c r="D448" s="179"/>
      <c r="E448" s="285">
        <f>ROUND(E447/10,2)</f>
        <v>955.05</v>
      </c>
      <c r="F448" s="282">
        <f>ROUND(F447/10,2)</f>
        <v>1022.72</v>
      </c>
      <c r="G448" s="282">
        <f>ROUND(G447/10,2)</f>
        <v>1096.72</v>
      </c>
      <c r="H448" s="10"/>
    </row>
    <row r="449" spans="1:11" ht="127.5" hidden="1">
      <c r="A449" s="110">
        <v>30</v>
      </c>
      <c r="B449" s="278" t="s">
        <v>1117</v>
      </c>
      <c r="C449" s="632" t="s">
        <v>969</v>
      </c>
      <c r="D449" s="179"/>
      <c r="E449" s="179"/>
      <c r="F449" s="179"/>
      <c r="G449" s="278"/>
    </row>
    <row r="450" spans="1:11" hidden="1">
      <c r="A450" s="110"/>
      <c r="B450" s="278"/>
      <c r="C450" s="287" t="s">
        <v>84</v>
      </c>
      <c r="D450" s="179"/>
      <c r="E450" s="179"/>
      <c r="F450" s="179"/>
      <c r="G450" s="273"/>
    </row>
    <row r="451" spans="1:11" hidden="1">
      <c r="A451" s="110"/>
      <c r="B451" s="278"/>
      <c r="C451" s="287" t="s">
        <v>60</v>
      </c>
      <c r="D451" s="179"/>
      <c r="E451" s="179"/>
      <c r="F451" s="179"/>
      <c r="G451" s="273"/>
    </row>
    <row r="452" spans="1:11" ht="25.5" hidden="1">
      <c r="A452" s="110"/>
      <c r="B452" s="278"/>
      <c r="C452" s="632" t="s">
        <v>972</v>
      </c>
      <c r="D452" s="179" t="s">
        <v>11</v>
      </c>
      <c r="E452" s="189">
        <v>110</v>
      </c>
      <c r="F452" s="281">
        <f>'MINI SSR 2025-26'!C27</f>
        <v>31</v>
      </c>
      <c r="G452" s="173">
        <f>ROUND(E452*F452,2)</f>
        <v>3410</v>
      </c>
    </row>
    <row r="453" spans="1:11" hidden="1">
      <c r="A453" s="110"/>
      <c r="B453" s="278"/>
      <c r="C453" s="632" t="s">
        <v>970</v>
      </c>
      <c r="D453" s="179" t="s">
        <v>35</v>
      </c>
      <c r="E453" s="281">
        <v>0.1</v>
      </c>
      <c r="F453" s="281">
        <f>G25</f>
        <v>2391.73</v>
      </c>
      <c r="G453" s="173">
        <f>ROUND(E453*F453,2)</f>
        <v>239.17</v>
      </c>
    </row>
    <row r="454" spans="1:11" hidden="1">
      <c r="A454" s="179"/>
      <c r="B454" s="179"/>
      <c r="C454" s="287" t="s">
        <v>68</v>
      </c>
      <c r="D454" s="179"/>
      <c r="E454" s="281"/>
      <c r="F454" s="281"/>
      <c r="G454" s="173"/>
    </row>
    <row r="455" spans="1:11" hidden="1">
      <c r="A455" s="179"/>
      <c r="B455" s="179"/>
      <c r="C455" s="632" t="s">
        <v>64</v>
      </c>
      <c r="D455" s="179" t="s">
        <v>27</v>
      </c>
      <c r="E455" s="281">
        <v>0.42</v>
      </c>
      <c r="F455" s="281">
        <f>'MINI SSR 2025-26'!$H$3</f>
        <v>735</v>
      </c>
      <c r="G455" s="173">
        <f>ROUND(E455*F455,2)</f>
        <v>308.7</v>
      </c>
      <c r="K455" s="20"/>
    </row>
    <row r="456" spans="1:11" hidden="1">
      <c r="A456" s="179"/>
      <c r="B456" s="179"/>
      <c r="C456" s="632" t="s">
        <v>69</v>
      </c>
      <c r="D456" s="179" t="s">
        <v>27</v>
      </c>
      <c r="E456" s="281">
        <v>0.92</v>
      </c>
      <c r="F456" s="281">
        <f>'MINI SSR 2025-26'!$H$4</f>
        <v>665</v>
      </c>
      <c r="G456" s="173">
        <f>ROUND(E456*F456,2)</f>
        <v>611.79999999999995</v>
      </c>
      <c r="K456" s="20"/>
    </row>
    <row r="457" spans="1:11" hidden="1">
      <c r="A457" s="179"/>
      <c r="B457" s="179"/>
      <c r="C457" s="632" t="s">
        <v>371</v>
      </c>
      <c r="D457" s="179" t="s">
        <v>27</v>
      </c>
      <c r="E457" s="281">
        <v>0.7</v>
      </c>
      <c r="F457" s="281">
        <f>'MINI SSR 2025-26'!$H$5</f>
        <v>615</v>
      </c>
      <c r="G457" s="173">
        <f>ROUND(E457*F457,2)</f>
        <v>430.5</v>
      </c>
      <c r="K457" s="20"/>
    </row>
    <row r="458" spans="1:11" hidden="1">
      <c r="A458" s="179"/>
      <c r="B458" s="179"/>
      <c r="C458" s="632" t="s">
        <v>971</v>
      </c>
      <c r="D458" s="179" t="s">
        <v>27</v>
      </c>
      <c r="E458" s="281">
        <v>2.1</v>
      </c>
      <c r="F458" s="281">
        <f>'MINI SSR 2025-26'!$H$5</f>
        <v>615</v>
      </c>
      <c r="G458" s="173">
        <f>ROUND(E458*F458,2)</f>
        <v>1291.5</v>
      </c>
      <c r="K458" s="20"/>
    </row>
    <row r="459" spans="1:11" ht="13.5" hidden="1" thickBot="1">
      <c r="A459" s="179"/>
      <c r="B459" s="179"/>
      <c r="C459" s="287" t="s">
        <v>86</v>
      </c>
      <c r="D459" s="179"/>
      <c r="E459" s="179"/>
      <c r="F459" s="179"/>
      <c r="G459" s="282">
        <f>SUM(G452:G458)</f>
        <v>6291.67</v>
      </c>
      <c r="K459" s="276"/>
    </row>
    <row r="460" spans="1:11" hidden="1">
      <c r="A460" s="179"/>
      <c r="B460" s="179"/>
      <c r="C460" s="287"/>
      <c r="D460" s="179"/>
      <c r="E460" s="278" t="s">
        <v>163</v>
      </c>
      <c r="F460" s="285" t="s">
        <v>164</v>
      </c>
      <c r="G460" s="285" t="s">
        <v>165</v>
      </c>
      <c r="H460" s="10"/>
    </row>
    <row r="461" spans="1:11" hidden="1">
      <c r="A461" s="179"/>
      <c r="B461" s="179"/>
      <c r="C461" s="287" t="s">
        <v>194</v>
      </c>
      <c r="D461" s="179"/>
      <c r="E461" s="281">
        <f>G459</f>
        <v>6291.67</v>
      </c>
      <c r="F461" s="273">
        <f>G459</f>
        <v>6291.67</v>
      </c>
      <c r="G461" s="273">
        <f>G459*1</f>
        <v>6291.67</v>
      </c>
      <c r="H461" s="10"/>
    </row>
    <row r="462" spans="1:11" hidden="1">
      <c r="A462" s="179"/>
      <c r="B462" s="179"/>
      <c r="C462" s="632" t="s">
        <v>1535</v>
      </c>
      <c r="D462" s="188">
        <v>4.3499999999999996</v>
      </c>
      <c r="E462" s="179">
        <f>ROUND('MINI SSR 2025-26'!E30*$D$462,2)</f>
        <v>46.89</v>
      </c>
      <c r="F462" s="272">
        <f>E462</f>
        <v>46.89</v>
      </c>
      <c r="G462" s="272">
        <f>F462</f>
        <v>46.89</v>
      </c>
      <c r="H462" s="10"/>
    </row>
    <row r="463" spans="1:11" hidden="1">
      <c r="A463" s="179"/>
      <c r="B463" s="179"/>
      <c r="C463" s="632" t="s">
        <v>1536</v>
      </c>
      <c r="D463" s="188">
        <v>4.3499999999999996</v>
      </c>
      <c r="E463" s="179">
        <f>ROUND('MINI SSR 2025-26'!F30*$D$463,2)</f>
        <v>368.1</v>
      </c>
      <c r="F463" s="179">
        <f>ROUND('MINI SSR 2025-26'!G30*$D$463,2)</f>
        <v>527.13</v>
      </c>
      <c r="G463" s="179">
        <f>ROUND('MINI SSR 2025-26'!H30*$D$463,2)</f>
        <v>686.08</v>
      </c>
      <c r="H463" s="10"/>
    </row>
    <row r="464" spans="1:11" ht="25.5" hidden="1">
      <c r="A464" s="179"/>
      <c r="B464" s="179"/>
      <c r="C464" s="632" t="s">
        <v>1087</v>
      </c>
      <c r="D464" s="179"/>
      <c r="E464" s="179"/>
      <c r="F464" s="272">
        <f>ROUND((G455+G456+G458+G457+F463)*0.2,2)</f>
        <v>633.92999999999995</v>
      </c>
      <c r="G464" s="272">
        <f>ROUND((G455+G456+G458+G457+G463)*0.2,2)</f>
        <v>665.72</v>
      </c>
      <c r="H464" s="10"/>
    </row>
    <row r="465" spans="1:11" hidden="1">
      <c r="A465" s="179"/>
      <c r="B465" s="179"/>
      <c r="C465" s="287" t="s">
        <v>86</v>
      </c>
      <c r="D465" s="179"/>
      <c r="E465" s="285">
        <f>SUM(E461:E464)</f>
        <v>6706.6600000000008</v>
      </c>
      <c r="F465" s="282">
        <f>SUM(F461:F464)</f>
        <v>7499.6200000000008</v>
      </c>
      <c r="G465" s="282">
        <f>SUM(G461:G464)</f>
        <v>7690.3600000000006</v>
      </c>
      <c r="H465" s="10"/>
    </row>
    <row r="466" spans="1:11" s="763" customFormat="1" ht="89.25">
      <c r="A466" s="757">
        <v>14</v>
      </c>
      <c r="B466" s="819" t="s">
        <v>87</v>
      </c>
      <c r="C466" s="758" t="s">
        <v>1105</v>
      </c>
      <c r="D466" s="820"/>
      <c r="E466" s="820"/>
      <c r="F466" s="820"/>
      <c r="G466" s="819"/>
      <c r="H466" s="821"/>
    </row>
    <row r="467" spans="1:11" s="763" customFormat="1">
      <c r="A467" s="757"/>
      <c r="B467" s="819"/>
      <c r="C467" s="785" t="s">
        <v>42</v>
      </c>
      <c r="D467" s="820"/>
      <c r="E467" s="820"/>
      <c r="F467" s="820"/>
      <c r="G467" s="825"/>
      <c r="H467" s="821"/>
    </row>
    <row r="468" spans="1:11" s="763" customFormat="1">
      <c r="A468" s="757"/>
      <c r="B468" s="819"/>
      <c r="C468" s="785" t="s">
        <v>60</v>
      </c>
      <c r="D468" s="819"/>
      <c r="E468" s="819"/>
      <c r="F468" s="819"/>
      <c r="G468" s="825"/>
      <c r="H468" s="821"/>
    </row>
    <row r="469" spans="1:11" s="763" customFormat="1">
      <c r="A469" s="757"/>
      <c r="B469" s="819"/>
      <c r="C469" s="758" t="s">
        <v>43</v>
      </c>
      <c r="D469" s="820" t="s">
        <v>35</v>
      </c>
      <c r="E469" s="823">
        <v>0.15</v>
      </c>
      <c r="F469" s="823">
        <f>G10</f>
        <v>3404.24</v>
      </c>
      <c r="G469" s="824">
        <f>ROUND(E469*F469,2)</f>
        <v>510.64</v>
      </c>
      <c r="H469" s="821"/>
    </row>
    <row r="470" spans="1:11" s="763" customFormat="1">
      <c r="A470" s="820"/>
      <c r="B470" s="820"/>
      <c r="C470" s="785" t="s">
        <v>68</v>
      </c>
      <c r="D470" s="820"/>
      <c r="E470" s="823"/>
      <c r="F470" s="823"/>
      <c r="G470" s="824"/>
      <c r="H470" s="821"/>
    </row>
    <row r="471" spans="1:11" s="763" customFormat="1">
      <c r="A471" s="820"/>
      <c r="B471" s="820"/>
      <c r="C471" s="758" t="s">
        <v>64</v>
      </c>
      <c r="D471" s="820" t="s">
        <v>27</v>
      </c>
      <c r="E471" s="823">
        <v>0.45</v>
      </c>
      <c r="F471" s="823">
        <f>'MINI SSR 2025-26'!$H$3</f>
        <v>735</v>
      </c>
      <c r="G471" s="824">
        <f>ROUND(E471*F471,2)</f>
        <v>330.75</v>
      </c>
      <c r="H471" s="821"/>
      <c r="K471" s="827">
        <f>G471</f>
        <v>330.75</v>
      </c>
    </row>
    <row r="472" spans="1:11" s="763" customFormat="1">
      <c r="A472" s="820"/>
      <c r="B472" s="820"/>
      <c r="C472" s="758" t="s">
        <v>69</v>
      </c>
      <c r="D472" s="820" t="s">
        <v>27</v>
      </c>
      <c r="E472" s="823">
        <v>1.05</v>
      </c>
      <c r="F472" s="823">
        <f>'MINI SSR 2025-26'!$H$4</f>
        <v>665</v>
      </c>
      <c r="G472" s="824">
        <f>ROUND(E472*F472,2)</f>
        <v>698.25</v>
      </c>
      <c r="K472" s="827">
        <f>G472</f>
        <v>698.25</v>
      </c>
    </row>
    <row r="473" spans="1:11" s="763" customFormat="1">
      <c r="A473" s="820"/>
      <c r="B473" s="820"/>
      <c r="C473" s="758" t="s">
        <v>85</v>
      </c>
      <c r="D473" s="820" t="s">
        <v>27</v>
      </c>
      <c r="E473" s="823">
        <v>2.8</v>
      </c>
      <c r="F473" s="823">
        <f>'MINI SSR 2025-26'!$H$5</f>
        <v>615</v>
      </c>
      <c r="G473" s="824">
        <f>ROUND(E473*F473,2)</f>
        <v>1722</v>
      </c>
      <c r="H473" s="821"/>
      <c r="K473" s="827">
        <f>G473</f>
        <v>1722</v>
      </c>
    </row>
    <row r="474" spans="1:11" s="763" customFormat="1">
      <c r="A474" s="820"/>
      <c r="B474" s="820"/>
      <c r="C474" s="785" t="s">
        <v>88</v>
      </c>
      <c r="D474" s="820"/>
      <c r="E474" s="820"/>
      <c r="F474" s="820"/>
      <c r="G474" s="826">
        <f>SUM(G469:G473)</f>
        <v>3261.64</v>
      </c>
      <c r="H474" s="821"/>
      <c r="K474" s="834">
        <f>SUM(K471:K473)</f>
        <v>2751</v>
      </c>
    </row>
    <row r="475" spans="1:11" s="763" customFormat="1">
      <c r="A475" s="820"/>
      <c r="B475" s="820"/>
      <c r="C475" s="785"/>
      <c r="D475" s="820"/>
      <c r="E475" s="819" t="s">
        <v>163</v>
      </c>
      <c r="F475" s="819" t="s">
        <v>164</v>
      </c>
      <c r="G475" s="831" t="s">
        <v>165</v>
      </c>
    </row>
    <row r="476" spans="1:11" s="763" customFormat="1">
      <c r="A476" s="820"/>
      <c r="B476" s="820"/>
      <c r="C476" s="785" t="s">
        <v>1076</v>
      </c>
      <c r="D476" s="820"/>
      <c r="E476" s="823">
        <f>G474</f>
        <v>3261.64</v>
      </c>
      <c r="F476" s="823">
        <f>G474</f>
        <v>3261.64</v>
      </c>
      <c r="G476" s="825">
        <f>G474</f>
        <v>3261.64</v>
      </c>
    </row>
    <row r="477" spans="1:11" s="763" customFormat="1">
      <c r="A477" s="820"/>
      <c r="B477" s="820"/>
      <c r="C477" s="758" t="s">
        <v>1541</v>
      </c>
      <c r="D477" s="823">
        <v>10</v>
      </c>
      <c r="E477" s="823">
        <f>ROUND($D$477*'MINI SSR 2025-26'!E33,2)</f>
        <v>25.7</v>
      </c>
      <c r="F477" s="823">
        <f>E477</f>
        <v>25.7</v>
      </c>
      <c r="G477" s="825">
        <f>E477</f>
        <v>25.7</v>
      </c>
    </row>
    <row r="478" spans="1:11" s="763" customFormat="1">
      <c r="A478" s="820"/>
      <c r="B478" s="820"/>
      <c r="C478" s="758" t="s">
        <v>1536</v>
      </c>
      <c r="D478" s="823">
        <v>10</v>
      </c>
      <c r="E478" s="823">
        <f>ROUND($D$478*'MINI SSR 2025-26'!F33,2)</f>
        <v>169.4</v>
      </c>
      <c r="F478" s="823">
        <f>ROUND($D$478*'MINI SSR 2025-26'!G33,2)</f>
        <v>240.4</v>
      </c>
      <c r="G478" s="825">
        <f>ROUND($D$478*'MINI SSR 2025-26'!H33,2)</f>
        <v>311.3</v>
      </c>
    </row>
    <row r="479" spans="1:11" s="763" customFormat="1" ht="25.5">
      <c r="A479" s="820"/>
      <c r="B479" s="820"/>
      <c r="C479" s="758" t="s">
        <v>1087</v>
      </c>
      <c r="D479" s="820"/>
      <c r="E479" s="820"/>
      <c r="F479" s="823">
        <f>ROUND((G471+G472+G473+F478)*0.1,2)</f>
        <v>299.14</v>
      </c>
      <c r="G479" s="825">
        <f>ROUND((G471+G472+G473+G478)*0.2,2)</f>
        <v>612.46</v>
      </c>
    </row>
    <row r="480" spans="1:11" s="763" customFormat="1">
      <c r="A480" s="820"/>
      <c r="B480" s="820"/>
      <c r="C480" s="758" t="s">
        <v>2213</v>
      </c>
      <c r="D480" s="820"/>
      <c r="E480" s="823">
        <f>ROUND(SUM(E476:E479)*$H$3,2)</f>
        <v>470.64</v>
      </c>
      <c r="F480" s="823">
        <f>ROUND(SUM(F476:F479)*$H$3,2)</f>
        <v>521.03</v>
      </c>
      <c r="G480" s="823">
        <f>ROUND(SUM(G476:G479)*$H$3,2)</f>
        <v>573.34</v>
      </c>
    </row>
    <row r="481" spans="1:11" s="763" customFormat="1">
      <c r="A481" s="820"/>
      <c r="B481" s="820"/>
      <c r="C481" s="785" t="s">
        <v>88</v>
      </c>
      <c r="D481" s="820"/>
      <c r="E481" s="823">
        <f>SUM(E476:E480)</f>
        <v>3927.3799999999997</v>
      </c>
      <c r="F481" s="823">
        <f>SUM(F476:F480)</f>
        <v>4347.91</v>
      </c>
      <c r="G481" s="823">
        <f>SUM(G476:G480)</f>
        <v>4784.4400000000005</v>
      </c>
    </row>
    <row r="482" spans="1:11" s="763" customFormat="1">
      <c r="A482" s="820"/>
      <c r="B482" s="820"/>
      <c r="C482" s="785" t="s">
        <v>119</v>
      </c>
      <c r="D482" s="820"/>
      <c r="E482" s="831">
        <f>ROUND(E481/10,2)</f>
        <v>392.74</v>
      </c>
      <c r="F482" s="831">
        <f>ROUND(F481/10,2)</f>
        <v>434.79</v>
      </c>
      <c r="G482" s="828">
        <f>ROUND(G481/10,2)</f>
        <v>478.44</v>
      </c>
      <c r="H482" s="835"/>
    </row>
    <row r="483" spans="1:11" ht="89.25" hidden="1">
      <c r="A483" s="110">
        <v>7</v>
      </c>
      <c r="B483" s="278" t="s">
        <v>89</v>
      </c>
      <c r="C483" s="632" t="s">
        <v>1106</v>
      </c>
      <c r="D483" s="179"/>
      <c r="E483" s="179"/>
      <c r="F483" s="179"/>
      <c r="G483" s="278"/>
    </row>
    <row r="484" spans="1:11" hidden="1">
      <c r="A484" s="110"/>
      <c r="B484" s="278"/>
      <c r="C484" s="287" t="s">
        <v>42</v>
      </c>
      <c r="D484" s="179"/>
      <c r="E484" s="179"/>
      <c r="F484" s="179"/>
      <c r="G484" s="273"/>
    </row>
    <row r="485" spans="1:11" hidden="1">
      <c r="A485" s="110"/>
      <c r="B485" s="278"/>
      <c r="C485" s="287" t="s">
        <v>60</v>
      </c>
      <c r="D485" s="278"/>
      <c r="E485" s="278"/>
      <c r="F485" s="278"/>
      <c r="G485" s="273"/>
    </row>
    <row r="486" spans="1:11" hidden="1">
      <c r="A486" s="110"/>
      <c r="B486" s="278"/>
      <c r="C486" s="632" t="s">
        <v>48</v>
      </c>
      <c r="D486" s="179" t="s">
        <v>35</v>
      </c>
      <c r="E486" s="281">
        <v>0.15</v>
      </c>
      <c r="F486" s="281">
        <f>G20</f>
        <v>2594.23</v>
      </c>
      <c r="G486" s="173">
        <f>ROUND(E486*F486,2)</f>
        <v>389.13</v>
      </c>
    </row>
    <row r="487" spans="1:11" hidden="1">
      <c r="A487" s="179"/>
      <c r="B487" s="179"/>
      <c r="C487" s="287" t="s">
        <v>68</v>
      </c>
      <c r="D487" s="179"/>
      <c r="E487" s="281"/>
      <c r="F487" s="281"/>
      <c r="G487" s="173"/>
    </row>
    <row r="488" spans="1:11" hidden="1">
      <c r="A488" s="179"/>
      <c r="B488" s="179"/>
      <c r="C488" s="632" t="s">
        <v>64</v>
      </c>
      <c r="D488" s="179" t="s">
        <v>27</v>
      </c>
      <c r="E488" s="281">
        <v>0.45</v>
      </c>
      <c r="F488" s="281">
        <f>'MINI SSR 2025-26'!$H$3</f>
        <v>735</v>
      </c>
      <c r="G488" s="173">
        <f>ROUND(E488*F488,2)</f>
        <v>330.75</v>
      </c>
      <c r="K488" s="20"/>
    </row>
    <row r="489" spans="1:11" hidden="1">
      <c r="A489" s="179"/>
      <c r="B489" s="179"/>
      <c r="C489" s="632" t="s">
        <v>69</v>
      </c>
      <c r="D489" s="179" t="s">
        <v>27</v>
      </c>
      <c r="E489" s="281">
        <v>1.05</v>
      </c>
      <c r="F489" s="281">
        <f>'MINI SSR 2025-26'!$H$4</f>
        <v>665</v>
      </c>
      <c r="G489" s="173">
        <f>ROUND(E489*F489,2)</f>
        <v>698.25</v>
      </c>
      <c r="H489" s="10"/>
      <c r="K489" s="20"/>
    </row>
    <row r="490" spans="1:11" hidden="1">
      <c r="A490" s="179"/>
      <c r="B490" s="179"/>
      <c r="C490" s="632" t="s">
        <v>85</v>
      </c>
      <c r="D490" s="179" t="s">
        <v>27</v>
      </c>
      <c r="E490" s="281">
        <v>2.8</v>
      </c>
      <c r="F490" s="281">
        <f>'MINI SSR 2025-26'!$H$5</f>
        <v>615</v>
      </c>
      <c r="G490" s="173">
        <f>ROUND(E490*F490,2)</f>
        <v>1722</v>
      </c>
      <c r="K490" s="20"/>
    </row>
    <row r="491" spans="1:11" hidden="1">
      <c r="A491" s="179"/>
      <c r="B491" s="179"/>
      <c r="C491" s="287" t="s">
        <v>88</v>
      </c>
      <c r="D491" s="179"/>
      <c r="E491" s="179"/>
      <c r="F491" s="179"/>
      <c r="G491" s="282">
        <f>SUM(G486:G490)</f>
        <v>3140.13</v>
      </c>
      <c r="K491" s="280"/>
    </row>
    <row r="492" spans="1:11" hidden="1">
      <c r="A492" s="179"/>
      <c r="B492" s="179"/>
      <c r="C492" s="287"/>
      <c r="D492" s="179"/>
      <c r="E492" s="278" t="s">
        <v>163</v>
      </c>
      <c r="F492" s="278" t="s">
        <v>164</v>
      </c>
      <c r="G492" s="285" t="s">
        <v>165</v>
      </c>
      <c r="H492" s="10"/>
    </row>
    <row r="493" spans="1:11" hidden="1">
      <c r="A493" s="179"/>
      <c r="B493" s="179"/>
      <c r="C493" s="287" t="s">
        <v>1076</v>
      </c>
      <c r="D493" s="179"/>
      <c r="E493" s="281">
        <f>G491</f>
        <v>3140.13</v>
      </c>
      <c r="F493" s="281">
        <f>G491</f>
        <v>3140.13</v>
      </c>
      <c r="G493" s="273">
        <f>G491</f>
        <v>3140.13</v>
      </c>
      <c r="H493" s="10"/>
    </row>
    <row r="494" spans="1:11" hidden="1">
      <c r="A494" s="179"/>
      <c r="B494" s="179"/>
      <c r="C494" s="632" t="s">
        <v>1537</v>
      </c>
      <c r="D494" s="281">
        <v>10</v>
      </c>
      <c r="E494" s="281">
        <f>ROUND($D$494*'MINI SSR 2025-26'!E36,2)</f>
        <v>10.8</v>
      </c>
      <c r="F494" s="281">
        <f>E494</f>
        <v>10.8</v>
      </c>
      <c r="G494" s="273">
        <f>E494</f>
        <v>10.8</v>
      </c>
      <c r="H494" s="10"/>
    </row>
    <row r="495" spans="1:11" hidden="1">
      <c r="A495" s="179"/>
      <c r="B495" s="179"/>
      <c r="C495" s="632" t="s">
        <v>1536</v>
      </c>
      <c r="D495" s="281">
        <v>10</v>
      </c>
      <c r="E495" s="281">
        <f>ROUND($D$495*'MINI SSR 2025-26'!F36,2)</f>
        <v>84.7</v>
      </c>
      <c r="F495" s="281">
        <f>ROUND($D$495*'MINI SSR 2025-26'!G36,2)</f>
        <v>121.2</v>
      </c>
      <c r="G495" s="273">
        <f>ROUND($D$495*'MINI SSR 2025-26'!H36,2)</f>
        <v>157.69999999999999</v>
      </c>
      <c r="H495" s="10"/>
    </row>
    <row r="496" spans="1:11" ht="25.5" hidden="1">
      <c r="A496" s="179"/>
      <c r="B496" s="179"/>
      <c r="C496" s="632" t="s">
        <v>1087</v>
      </c>
      <c r="D496" s="179"/>
      <c r="E496" s="179"/>
      <c r="F496" s="281">
        <f>ROUND((G488+G489+G490+F495)*0.1,2)</f>
        <v>287.22000000000003</v>
      </c>
      <c r="G496" s="273">
        <f>ROUND((G488+G489+G490+G495)*0.2,2)</f>
        <v>581.74</v>
      </c>
      <c r="H496" s="10"/>
    </row>
    <row r="497" spans="1:11" hidden="1">
      <c r="A497" s="179"/>
      <c r="B497" s="179"/>
      <c r="C497" s="632" t="s">
        <v>2213</v>
      </c>
      <c r="D497" s="179"/>
      <c r="E497" s="273">
        <v>0</v>
      </c>
      <c r="F497" s="273">
        <v>0</v>
      </c>
      <c r="G497" s="273">
        <v>0</v>
      </c>
      <c r="H497" s="10"/>
    </row>
    <row r="498" spans="1:11" hidden="1">
      <c r="A498" s="179"/>
      <c r="B498" s="179"/>
      <c r="C498" s="287" t="s">
        <v>88</v>
      </c>
      <c r="D498" s="179"/>
      <c r="E498" s="281">
        <f>SUM(E493:E497)</f>
        <v>3235.63</v>
      </c>
      <c r="F498" s="281">
        <f>SUM(F493:F497)</f>
        <v>3559.3500000000004</v>
      </c>
      <c r="G498" s="281">
        <f>SUM(G493:G497)</f>
        <v>3890.37</v>
      </c>
      <c r="H498" s="10"/>
    </row>
    <row r="499" spans="1:11" hidden="1">
      <c r="A499" s="179"/>
      <c r="B499" s="179"/>
      <c r="C499" s="287" t="s">
        <v>119</v>
      </c>
      <c r="D499" s="179"/>
      <c r="E499" s="285">
        <f>ROUND(E498/10,2)</f>
        <v>323.56</v>
      </c>
      <c r="F499" s="285">
        <f>ROUND(F498/10,2)</f>
        <v>355.94</v>
      </c>
      <c r="G499" s="282">
        <f>ROUND(G498/10,2)</f>
        <v>389.04</v>
      </c>
      <c r="H499" s="228"/>
    </row>
    <row r="500" spans="1:11" ht="89.25" hidden="1">
      <c r="A500" s="110">
        <v>8</v>
      </c>
      <c r="B500" s="278" t="s">
        <v>89</v>
      </c>
      <c r="C500" s="632" t="s">
        <v>1107</v>
      </c>
      <c r="D500" s="179"/>
      <c r="E500" s="179"/>
      <c r="F500" s="179"/>
      <c r="G500" s="278"/>
    </row>
    <row r="501" spans="1:11" hidden="1">
      <c r="A501" s="110"/>
      <c r="B501" s="278"/>
      <c r="C501" s="287" t="s">
        <v>42</v>
      </c>
      <c r="D501" s="179"/>
      <c r="E501" s="179"/>
      <c r="F501" s="179"/>
      <c r="G501" s="273"/>
    </row>
    <row r="502" spans="1:11" hidden="1">
      <c r="A502" s="110"/>
      <c r="B502" s="278"/>
      <c r="C502" s="287" t="s">
        <v>60</v>
      </c>
      <c r="D502" s="179"/>
      <c r="E502" s="179"/>
      <c r="F502" s="179"/>
      <c r="G502" s="273"/>
    </row>
    <row r="503" spans="1:11" hidden="1">
      <c r="A503" s="110"/>
      <c r="B503" s="278"/>
      <c r="C503" s="632" t="s">
        <v>48</v>
      </c>
      <c r="D503" s="179" t="s">
        <v>35</v>
      </c>
      <c r="E503" s="281">
        <v>0.21</v>
      </c>
      <c r="F503" s="281">
        <f>G20</f>
        <v>2594.23</v>
      </c>
      <c r="G503" s="173">
        <f>ROUND(E503*F503,2)</f>
        <v>544.79</v>
      </c>
    </row>
    <row r="504" spans="1:11" hidden="1">
      <c r="A504" s="179"/>
      <c r="B504" s="179"/>
      <c r="C504" s="287" t="s">
        <v>68</v>
      </c>
      <c r="D504" s="179"/>
      <c r="E504" s="281"/>
      <c r="F504" s="281"/>
      <c r="G504" s="173"/>
    </row>
    <row r="505" spans="1:11" hidden="1">
      <c r="A505" s="179"/>
      <c r="B505" s="179"/>
      <c r="C505" s="632" t="s">
        <v>64</v>
      </c>
      <c r="D505" s="179" t="s">
        <v>27</v>
      </c>
      <c r="E505" s="281">
        <v>0.45</v>
      </c>
      <c r="F505" s="281">
        <f>'MINI SSR 2025-26'!$H$3</f>
        <v>735</v>
      </c>
      <c r="G505" s="173">
        <f>ROUND(E505*F505,2)</f>
        <v>330.75</v>
      </c>
      <c r="K505" s="20">
        <f>G505</f>
        <v>330.75</v>
      </c>
    </row>
    <row r="506" spans="1:11" hidden="1">
      <c r="A506" s="179"/>
      <c r="B506" s="179"/>
      <c r="C506" s="632" t="s">
        <v>69</v>
      </c>
      <c r="D506" s="179" t="s">
        <v>27</v>
      </c>
      <c r="E506" s="281">
        <v>1.05</v>
      </c>
      <c r="F506" s="281">
        <f>'MINI SSR 2025-26'!$H$4</f>
        <v>665</v>
      </c>
      <c r="G506" s="173">
        <f>ROUND(E506*F506,2)</f>
        <v>698.25</v>
      </c>
      <c r="H506" s="10"/>
      <c r="K506" s="20">
        <f>G506</f>
        <v>698.25</v>
      </c>
    </row>
    <row r="507" spans="1:11" hidden="1">
      <c r="A507" s="179"/>
      <c r="B507" s="179"/>
      <c r="C507" s="632" t="s">
        <v>85</v>
      </c>
      <c r="D507" s="179" t="s">
        <v>27</v>
      </c>
      <c r="E507" s="281">
        <v>2.8</v>
      </c>
      <c r="F507" s="281">
        <f>'MINI SSR 2025-26'!$H$5</f>
        <v>615</v>
      </c>
      <c r="G507" s="173">
        <f>ROUND(E507*F507,2)</f>
        <v>1722</v>
      </c>
      <c r="K507" s="20">
        <f>G507</f>
        <v>1722</v>
      </c>
    </row>
    <row r="508" spans="1:11" hidden="1">
      <c r="A508" s="179"/>
      <c r="B508" s="179"/>
      <c r="C508" s="287" t="s">
        <v>88</v>
      </c>
      <c r="D508" s="179"/>
      <c r="E508" s="179"/>
      <c r="F508" s="179"/>
      <c r="G508" s="282">
        <f>SUM(G503:G507)</f>
        <v>3295.79</v>
      </c>
      <c r="K508" s="280">
        <f>SUM(K505:K507)</f>
        <v>2751</v>
      </c>
    </row>
    <row r="509" spans="1:11" hidden="1">
      <c r="A509" s="179"/>
      <c r="B509" s="179"/>
      <c r="C509" s="287"/>
      <c r="D509" s="179"/>
      <c r="E509" s="278" t="s">
        <v>163</v>
      </c>
      <c r="F509" s="278" t="s">
        <v>164</v>
      </c>
      <c r="G509" s="285" t="s">
        <v>165</v>
      </c>
      <c r="H509" s="10"/>
    </row>
    <row r="510" spans="1:11" hidden="1">
      <c r="A510" s="179"/>
      <c r="B510" s="179"/>
      <c r="C510" s="287" t="s">
        <v>1076</v>
      </c>
      <c r="D510" s="179"/>
      <c r="E510" s="281">
        <f>G508</f>
        <v>3295.79</v>
      </c>
      <c r="F510" s="281">
        <f>G508</f>
        <v>3295.79</v>
      </c>
      <c r="G510" s="273">
        <f>G508</f>
        <v>3295.79</v>
      </c>
      <c r="H510" s="10"/>
    </row>
    <row r="511" spans="1:11" hidden="1">
      <c r="A511" s="179"/>
      <c r="B511" s="179"/>
      <c r="C511" s="632" t="s">
        <v>1537</v>
      </c>
      <c r="D511" s="281">
        <v>10</v>
      </c>
      <c r="E511" s="281">
        <f>ROUND($D$494*'MINI SSR 2025-26'!$E$36,2)</f>
        <v>10.8</v>
      </c>
      <c r="F511" s="281">
        <f>E511</f>
        <v>10.8</v>
      </c>
      <c r="G511" s="273">
        <f>E511</f>
        <v>10.8</v>
      </c>
      <c r="H511" s="10"/>
    </row>
    <row r="512" spans="1:11" hidden="1">
      <c r="A512" s="179"/>
      <c r="B512" s="179"/>
      <c r="C512" s="632" t="s">
        <v>1536</v>
      </c>
      <c r="D512" s="281">
        <v>10</v>
      </c>
      <c r="E512" s="281">
        <f>ROUND($D$495*'MINI SSR 2025-26'!$F$36,2)</f>
        <v>84.7</v>
      </c>
      <c r="F512" s="281">
        <f>ROUND($D$495*'MINI SSR 2025-26'!$G$36,2)</f>
        <v>121.2</v>
      </c>
      <c r="G512" s="273">
        <f>ROUND($D$495*'MINI SSR 2025-26'!$H$36,2)</f>
        <v>157.69999999999999</v>
      </c>
      <c r="H512" s="10"/>
    </row>
    <row r="513" spans="1:11" ht="25.5" hidden="1">
      <c r="A513" s="179"/>
      <c r="B513" s="179"/>
      <c r="C513" s="632" t="s">
        <v>1087</v>
      </c>
      <c r="D513" s="179"/>
      <c r="E513" s="179"/>
      <c r="F513" s="281">
        <f>ROUND((G505+G506+G507+F512)*0.1,2)</f>
        <v>287.22000000000003</v>
      </c>
      <c r="G513" s="273">
        <f>ROUND((G505+G506+G507+G512)*0.2,2)</f>
        <v>581.74</v>
      </c>
      <c r="H513" s="10"/>
    </row>
    <row r="514" spans="1:11" hidden="1">
      <c r="A514" s="179"/>
      <c r="B514" s="179"/>
      <c r="C514" s="632" t="s">
        <v>2213</v>
      </c>
      <c r="D514" s="179"/>
      <c r="E514" s="273">
        <v>0</v>
      </c>
      <c r="F514" s="273">
        <v>0</v>
      </c>
      <c r="G514" s="273">
        <v>0</v>
      </c>
      <c r="H514" s="10"/>
    </row>
    <row r="515" spans="1:11" hidden="1">
      <c r="A515" s="179"/>
      <c r="B515" s="179"/>
      <c r="C515" s="287" t="s">
        <v>88</v>
      </c>
      <c r="D515" s="179"/>
      <c r="E515" s="281">
        <f>SUM(E510:E514)</f>
        <v>3391.29</v>
      </c>
      <c r="F515" s="281">
        <f>SUM(F510:F514)</f>
        <v>3715.01</v>
      </c>
      <c r="G515" s="281">
        <f>SUM(G510:G514)</f>
        <v>4046.0299999999997</v>
      </c>
      <c r="H515" s="10"/>
    </row>
    <row r="516" spans="1:11" hidden="1">
      <c r="A516" s="179"/>
      <c r="B516" s="179"/>
      <c r="C516" s="287" t="s">
        <v>119</v>
      </c>
      <c r="D516" s="179"/>
      <c r="E516" s="285">
        <f>ROUND(E515/10,2)</f>
        <v>339.13</v>
      </c>
      <c r="F516" s="285">
        <f>ROUND(F515/10,2)</f>
        <v>371.5</v>
      </c>
      <c r="G516" s="282">
        <f>ROUND(G515/10,2)</f>
        <v>404.6</v>
      </c>
      <c r="H516" s="228"/>
    </row>
    <row r="517" spans="1:11" ht="89.25" hidden="1">
      <c r="A517" s="110">
        <v>34</v>
      </c>
      <c r="B517" s="278" t="s">
        <v>89</v>
      </c>
      <c r="C517" s="632" t="s">
        <v>1108</v>
      </c>
      <c r="D517" s="179"/>
      <c r="E517" s="179"/>
      <c r="F517" s="179"/>
      <c r="G517" s="278" t="s">
        <v>89</v>
      </c>
    </row>
    <row r="518" spans="1:11" hidden="1">
      <c r="A518" s="110"/>
      <c r="B518" s="278"/>
      <c r="C518" s="287" t="s">
        <v>42</v>
      </c>
      <c r="D518" s="179"/>
      <c r="E518" s="179"/>
      <c r="F518" s="179"/>
      <c r="G518" s="273"/>
    </row>
    <row r="519" spans="1:11" hidden="1">
      <c r="A519" s="110"/>
      <c r="B519" s="278"/>
      <c r="C519" s="287" t="s">
        <v>60</v>
      </c>
      <c r="D519" s="179"/>
      <c r="E519" s="179"/>
      <c r="F519" s="179"/>
      <c r="G519" s="273"/>
    </row>
    <row r="520" spans="1:11" hidden="1">
      <c r="A520" s="110"/>
      <c r="B520" s="278"/>
      <c r="C520" s="632" t="s">
        <v>43</v>
      </c>
      <c r="D520" s="179" t="s">
        <v>35</v>
      </c>
      <c r="E520" s="281">
        <v>0.21</v>
      </c>
      <c r="F520" s="281">
        <f>G10</f>
        <v>3404.24</v>
      </c>
      <c r="G520" s="173">
        <f>ROUND(E520*F520,2)</f>
        <v>714.89</v>
      </c>
    </row>
    <row r="521" spans="1:11" hidden="1">
      <c r="A521" s="179"/>
      <c r="B521" s="179"/>
      <c r="C521" s="287" t="s">
        <v>68</v>
      </c>
      <c r="D521" s="179"/>
      <c r="E521" s="281"/>
      <c r="F521" s="281"/>
      <c r="G521" s="173"/>
    </row>
    <row r="522" spans="1:11" hidden="1">
      <c r="A522" s="179"/>
      <c r="B522" s="179"/>
      <c r="C522" s="632" t="s">
        <v>64</v>
      </c>
      <c r="D522" s="179" t="s">
        <v>27</v>
      </c>
      <c r="E522" s="281">
        <v>0.45</v>
      </c>
      <c r="F522" s="281">
        <f>'MINI SSR 2025-26'!$H$3</f>
        <v>735</v>
      </c>
      <c r="G522" s="173">
        <f>ROUND(E522*F522,2)</f>
        <v>330.75</v>
      </c>
      <c r="K522" s="20">
        <f>G522</f>
        <v>330.75</v>
      </c>
    </row>
    <row r="523" spans="1:11" hidden="1">
      <c r="A523" s="179"/>
      <c r="B523" s="179"/>
      <c r="C523" s="632" t="s">
        <v>69</v>
      </c>
      <c r="D523" s="179" t="s">
        <v>27</v>
      </c>
      <c r="E523" s="281">
        <v>1.05</v>
      </c>
      <c r="F523" s="281">
        <f>'MINI SSR 2025-26'!$H$4</f>
        <v>665</v>
      </c>
      <c r="G523" s="173">
        <f>ROUND(E523*F523,2)</f>
        <v>698.25</v>
      </c>
      <c r="H523" s="10"/>
      <c r="K523" s="20">
        <f>G523</f>
        <v>698.25</v>
      </c>
    </row>
    <row r="524" spans="1:11" hidden="1">
      <c r="A524" s="179"/>
      <c r="B524" s="179"/>
      <c r="C524" s="632" t="s">
        <v>85</v>
      </c>
      <c r="D524" s="179" t="s">
        <v>27</v>
      </c>
      <c r="E524" s="281">
        <v>2.8</v>
      </c>
      <c r="F524" s="281">
        <f>'MINI SSR 2025-26'!$H$5</f>
        <v>615</v>
      </c>
      <c r="G524" s="173">
        <f>ROUND(E524*F524,2)</f>
        <v>1722</v>
      </c>
      <c r="K524" s="20">
        <f>G524</f>
        <v>1722</v>
      </c>
    </row>
    <row r="525" spans="1:11" hidden="1">
      <c r="A525" s="179"/>
      <c r="B525" s="179"/>
      <c r="C525" s="287" t="s">
        <v>88</v>
      </c>
      <c r="D525" s="179"/>
      <c r="E525" s="179"/>
      <c r="F525" s="179"/>
      <c r="G525" s="282">
        <f>SUM(G520:G524)</f>
        <v>3465.89</v>
      </c>
      <c r="K525" s="280">
        <f>SUM(K522:K524)</f>
        <v>2751</v>
      </c>
    </row>
    <row r="526" spans="1:11" hidden="1">
      <c r="A526" s="179"/>
      <c r="B526" s="179"/>
      <c r="C526" s="287"/>
      <c r="D526" s="179"/>
      <c r="E526" s="278" t="s">
        <v>163</v>
      </c>
      <c r="F526" s="278" t="s">
        <v>164</v>
      </c>
      <c r="G526" s="285" t="s">
        <v>165</v>
      </c>
      <c r="H526" s="10"/>
    </row>
    <row r="527" spans="1:11" hidden="1">
      <c r="A527" s="179"/>
      <c r="B527" s="179"/>
      <c r="C527" s="287" t="s">
        <v>1076</v>
      </c>
      <c r="D527" s="179"/>
      <c r="E527" s="281">
        <f>G525</f>
        <v>3465.89</v>
      </c>
      <c r="F527" s="281">
        <f>G525</f>
        <v>3465.89</v>
      </c>
      <c r="G527" s="273">
        <f>G525</f>
        <v>3465.89</v>
      </c>
      <c r="H527" s="10"/>
    </row>
    <row r="528" spans="1:11" hidden="1">
      <c r="A528" s="179"/>
      <c r="B528" s="179"/>
      <c r="C528" s="632" t="s">
        <v>1537</v>
      </c>
      <c r="D528" s="281">
        <v>10</v>
      </c>
      <c r="E528" s="281">
        <f>ROUND($D$494*'MINI SSR 2025-26'!$E$36,2)</f>
        <v>10.8</v>
      </c>
      <c r="F528" s="281">
        <f>E528</f>
        <v>10.8</v>
      </c>
      <c r="G528" s="273">
        <f>E528</f>
        <v>10.8</v>
      </c>
      <c r="H528" s="10"/>
    </row>
    <row r="529" spans="1:11" hidden="1">
      <c r="A529" s="179"/>
      <c r="B529" s="179"/>
      <c r="C529" s="632" t="s">
        <v>1536</v>
      </c>
      <c r="D529" s="281">
        <v>10</v>
      </c>
      <c r="E529" s="281">
        <f>ROUND($D$495*'MINI SSR 2025-26'!$F$36,2)</f>
        <v>84.7</v>
      </c>
      <c r="F529" s="281">
        <f>ROUND($D$495*'MINI SSR 2025-26'!$G$36,2)</f>
        <v>121.2</v>
      </c>
      <c r="G529" s="273">
        <f>ROUND($D$495*'MINI SSR 2025-26'!$H$36,2)</f>
        <v>157.69999999999999</v>
      </c>
      <c r="H529" s="10"/>
    </row>
    <row r="530" spans="1:11" ht="25.5" hidden="1">
      <c r="A530" s="179"/>
      <c r="B530" s="179"/>
      <c r="C530" s="632" t="s">
        <v>1087</v>
      </c>
      <c r="D530" s="179"/>
      <c r="E530" s="179"/>
      <c r="F530" s="281">
        <f>ROUND((G522+G523+G524+F529)*0.1,2)</f>
        <v>287.22000000000003</v>
      </c>
      <c r="G530" s="273">
        <f>ROUND((G522+G523+G524+G529)*0.2,2)</f>
        <v>581.74</v>
      </c>
      <c r="H530" s="10"/>
    </row>
    <row r="531" spans="1:11" hidden="1">
      <c r="A531" s="179"/>
      <c r="B531" s="179"/>
      <c r="C531" s="287" t="s">
        <v>88</v>
      </c>
      <c r="D531" s="179"/>
      <c r="E531" s="281">
        <f>SUM(E527:E530)</f>
        <v>3561.39</v>
      </c>
      <c r="F531" s="281">
        <f>SUM(F527:F530)</f>
        <v>3885.1099999999997</v>
      </c>
      <c r="G531" s="273">
        <f>SUM(G527:G530)</f>
        <v>4216.13</v>
      </c>
      <c r="H531" s="10"/>
    </row>
    <row r="532" spans="1:11" hidden="1">
      <c r="A532" s="179"/>
      <c r="B532" s="179"/>
      <c r="C532" s="287" t="s">
        <v>119</v>
      </c>
      <c r="D532" s="179"/>
      <c r="E532" s="285">
        <f>ROUND(E531/10,2)</f>
        <v>356.14</v>
      </c>
      <c r="F532" s="285">
        <f>ROUND(F531/10,2)</f>
        <v>388.51</v>
      </c>
      <c r="G532" s="282">
        <f>ROUND(G531/10,2)</f>
        <v>421.61</v>
      </c>
      <c r="H532" s="228"/>
    </row>
    <row r="533" spans="1:11" s="763" customFormat="1" ht="102">
      <c r="A533" s="757">
        <v>15</v>
      </c>
      <c r="B533" s="819" t="s">
        <v>1148</v>
      </c>
      <c r="C533" s="758" t="s">
        <v>751</v>
      </c>
      <c r="D533" s="820"/>
      <c r="E533" s="820"/>
      <c r="F533" s="820"/>
      <c r="G533" s="819"/>
      <c r="H533" s="821"/>
    </row>
    <row r="534" spans="1:11" s="763" customFormat="1">
      <c r="A534" s="757"/>
      <c r="B534" s="819"/>
      <c r="C534" s="785" t="s">
        <v>42</v>
      </c>
      <c r="D534" s="820"/>
      <c r="E534" s="820"/>
      <c r="F534" s="820"/>
      <c r="G534" s="825"/>
      <c r="H534" s="821"/>
    </row>
    <row r="535" spans="1:11" s="763" customFormat="1">
      <c r="A535" s="757"/>
      <c r="B535" s="819"/>
      <c r="C535" s="785" t="s">
        <v>311</v>
      </c>
      <c r="D535" s="820"/>
      <c r="E535" s="820"/>
      <c r="F535" s="820"/>
      <c r="G535" s="825"/>
      <c r="H535" s="821"/>
    </row>
    <row r="536" spans="1:11" s="763" customFormat="1">
      <c r="A536" s="757"/>
      <c r="B536" s="819"/>
      <c r="C536" s="758" t="s">
        <v>107</v>
      </c>
      <c r="D536" s="820" t="s">
        <v>4</v>
      </c>
      <c r="E536" s="823">
        <v>31.7</v>
      </c>
      <c r="F536" s="823">
        <f>'lead 25-26'!L8</f>
        <v>4218.8</v>
      </c>
      <c r="G536" s="824">
        <f>ROUND(E536*F536/1000,2)</f>
        <v>133.74</v>
      </c>
      <c r="H536" s="821"/>
    </row>
    <row r="537" spans="1:11" s="763" customFormat="1">
      <c r="A537" s="757"/>
      <c r="B537" s="819"/>
      <c r="C537" s="758" t="s">
        <v>312</v>
      </c>
      <c r="D537" s="820" t="s">
        <v>35</v>
      </c>
      <c r="E537" s="823">
        <v>0.11</v>
      </c>
      <c r="F537" s="823">
        <f>'lead 25-26'!L13</f>
        <v>1196.3999999999996</v>
      </c>
      <c r="G537" s="824">
        <f>ROUND(E537*F537,2)</f>
        <v>131.6</v>
      </c>
      <c r="H537" s="821"/>
    </row>
    <row r="538" spans="1:11" s="763" customFormat="1">
      <c r="A538" s="757"/>
      <c r="B538" s="819"/>
      <c r="C538" s="785" t="s">
        <v>313</v>
      </c>
      <c r="D538" s="820"/>
      <c r="E538" s="820"/>
      <c r="F538" s="820"/>
      <c r="G538" s="825"/>
      <c r="H538" s="821"/>
    </row>
    <row r="539" spans="1:11" s="763" customFormat="1">
      <c r="A539" s="757"/>
      <c r="B539" s="819"/>
      <c r="C539" s="758" t="s">
        <v>107</v>
      </c>
      <c r="D539" s="820" t="s">
        <v>4</v>
      </c>
      <c r="E539" s="823">
        <v>19.2</v>
      </c>
      <c r="F539" s="823">
        <f>F536</f>
        <v>4218.8</v>
      </c>
      <c r="G539" s="824">
        <f>ROUND(E539*F539/1000,2)</f>
        <v>81</v>
      </c>
      <c r="H539" s="821"/>
    </row>
    <row r="540" spans="1:11" s="763" customFormat="1">
      <c r="A540" s="757"/>
      <c r="B540" s="819"/>
      <c r="C540" s="758" t="s">
        <v>312</v>
      </c>
      <c r="D540" s="820" t="s">
        <v>35</v>
      </c>
      <c r="E540" s="823">
        <v>0.04</v>
      </c>
      <c r="F540" s="823">
        <f>F537</f>
        <v>1196.3999999999996</v>
      </c>
      <c r="G540" s="824">
        <f>ROUND(E540*F540,2)</f>
        <v>47.86</v>
      </c>
      <c r="H540" s="821"/>
    </row>
    <row r="541" spans="1:11" s="763" customFormat="1">
      <c r="A541" s="820"/>
      <c r="B541" s="820"/>
      <c r="C541" s="785" t="s">
        <v>68</v>
      </c>
      <c r="D541" s="820"/>
      <c r="E541" s="823"/>
      <c r="F541" s="823"/>
      <c r="G541" s="824"/>
      <c r="H541" s="821"/>
    </row>
    <row r="542" spans="1:11" s="763" customFormat="1">
      <c r="A542" s="820"/>
      <c r="B542" s="820"/>
      <c r="C542" s="758" t="s">
        <v>64</v>
      </c>
      <c r="D542" s="820" t="s">
        <v>27</v>
      </c>
      <c r="E542" s="823">
        <v>0.63</v>
      </c>
      <c r="F542" s="823">
        <f>'MINI SSR 2025-26'!$H$3</f>
        <v>735</v>
      </c>
      <c r="G542" s="824">
        <f>ROUND(E542*F542,2)</f>
        <v>463.05</v>
      </c>
      <c r="H542" s="821"/>
      <c r="K542" s="827">
        <f>G542</f>
        <v>463.05</v>
      </c>
    </row>
    <row r="543" spans="1:11" s="763" customFormat="1">
      <c r="A543" s="820"/>
      <c r="B543" s="820"/>
      <c r="C543" s="758" t="s">
        <v>69</v>
      </c>
      <c r="D543" s="820" t="s">
        <v>27</v>
      </c>
      <c r="E543" s="823">
        <v>1.47</v>
      </c>
      <c r="F543" s="823">
        <f>'MINI SSR 2025-26'!$H$4</f>
        <v>665</v>
      </c>
      <c r="G543" s="824">
        <f>ROUND(E543*F543,2)</f>
        <v>977.55</v>
      </c>
      <c r="K543" s="827">
        <f>G543</f>
        <v>977.55</v>
      </c>
    </row>
    <row r="544" spans="1:11" s="763" customFormat="1">
      <c r="A544" s="820"/>
      <c r="B544" s="820"/>
      <c r="C544" s="758" t="s">
        <v>85</v>
      </c>
      <c r="D544" s="820" t="s">
        <v>27</v>
      </c>
      <c r="E544" s="823">
        <v>3.9</v>
      </c>
      <c r="F544" s="823">
        <f>'MINI SSR 2025-26'!$H$5</f>
        <v>615</v>
      </c>
      <c r="G544" s="824">
        <f>ROUND(E544*F544,2)</f>
        <v>2398.5</v>
      </c>
      <c r="H544" s="821"/>
      <c r="K544" s="827">
        <f>G544</f>
        <v>2398.5</v>
      </c>
    </row>
    <row r="545" spans="1:11" s="763" customFormat="1">
      <c r="A545" s="820"/>
      <c r="B545" s="820"/>
      <c r="C545" s="785" t="s">
        <v>88</v>
      </c>
      <c r="D545" s="820"/>
      <c r="E545" s="820"/>
      <c r="F545" s="820"/>
      <c r="G545" s="828">
        <f>SUM(G536:G544)</f>
        <v>4233.3</v>
      </c>
      <c r="H545" s="821"/>
      <c r="K545" s="834">
        <f>SUM(K542:K544)</f>
        <v>3839.1</v>
      </c>
    </row>
    <row r="546" spans="1:11" s="763" customFormat="1">
      <c r="A546" s="820"/>
      <c r="B546" s="820"/>
      <c r="C546" s="785"/>
      <c r="D546" s="820"/>
      <c r="E546" s="819" t="s">
        <v>163</v>
      </c>
      <c r="F546" s="819" t="s">
        <v>164</v>
      </c>
      <c r="G546" s="831" t="s">
        <v>165</v>
      </c>
    </row>
    <row r="547" spans="1:11" s="763" customFormat="1">
      <c r="A547" s="820"/>
      <c r="B547" s="820"/>
      <c r="C547" s="785" t="s">
        <v>1076</v>
      </c>
      <c r="D547" s="820"/>
      <c r="E547" s="823">
        <f>G545</f>
        <v>4233.3</v>
      </c>
      <c r="F547" s="823">
        <f>G545</f>
        <v>4233.3</v>
      </c>
      <c r="G547" s="825">
        <f>F547</f>
        <v>4233.3</v>
      </c>
    </row>
    <row r="548" spans="1:11" s="763" customFormat="1">
      <c r="A548" s="820"/>
      <c r="B548" s="820"/>
      <c r="C548" s="758" t="s">
        <v>1537</v>
      </c>
      <c r="D548" s="823">
        <v>10</v>
      </c>
      <c r="E548" s="823">
        <f>ROUND($D$494*'MINI SSR 2025-26'!$E$36,2)</f>
        <v>10.8</v>
      </c>
      <c r="F548" s="823">
        <f>E548</f>
        <v>10.8</v>
      </c>
      <c r="G548" s="825">
        <f>E548</f>
        <v>10.8</v>
      </c>
    </row>
    <row r="549" spans="1:11" s="763" customFormat="1">
      <c r="A549" s="820"/>
      <c r="B549" s="820"/>
      <c r="C549" s="758" t="s">
        <v>1536</v>
      </c>
      <c r="D549" s="823">
        <v>10</v>
      </c>
      <c r="E549" s="823">
        <f>ROUND($D$495*'MINI SSR 2025-26'!$F$36,2)</f>
        <v>84.7</v>
      </c>
      <c r="F549" s="823">
        <f>ROUND($D$495*'MINI SSR 2025-26'!$G$36,2)</f>
        <v>121.2</v>
      </c>
      <c r="G549" s="825">
        <f>ROUND($D$495*'MINI SSR 2025-26'!$H$36,2)</f>
        <v>157.69999999999999</v>
      </c>
    </row>
    <row r="550" spans="1:11" s="763" customFormat="1" ht="25.5">
      <c r="A550" s="820"/>
      <c r="B550" s="820"/>
      <c r="C550" s="758" t="s">
        <v>1087</v>
      </c>
      <c r="D550" s="820"/>
      <c r="E550" s="820"/>
      <c r="F550" s="823">
        <f>ROUND((G542+G543+G544+F549)*0.1,2)</f>
        <v>396.03</v>
      </c>
      <c r="G550" s="825">
        <f>ROUND((G542+G543+G544+G549)*0.1,2)</f>
        <v>399.68</v>
      </c>
    </row>
    <row r="551" spans="1:11" s="763" customFormat="1">
      <c r="A551" s="820"/>
      <c r="B551" s="820"/>
      <c r="C551" s="758" t="s">
        <v>2213</v>
      </c>
      <c r="D551" s="820"/>
      <c r="E551" s="823">
        <f>ROUND(SUM(E547:E550)*$H$3,2)</f>
        <v>589.37</v>
      </c>
      <c r="F551" s="823">
        <f>ROUND(SUM(F547:F550)*$H$3,2)</f>
        <v>648.26</v>
      </c>
      <c r="G551" s="823">
        <f>ROUND(SUM(G547:G550)*$H$3,2)</f>
        <v>653.72</v>
      </c>
    </row>
    <row r="552" spans="1:11" s="763" customFormat="1">
      <c r="A552" s="820"/>
      <c r="B552" s="820"/>
      <c r="C552" s="785" t="s">
        <v>88</v>
      </c>
      <c r="D552" s="820"/>
      <c r="E552" s="823">
        <f>SUM(E547:E551)</f>
        <v>4918.17</v>
      </c>
      <c r="F552" s="823">
        <f>SUM(F547:F551)</f>
        <v>5409.59</v>
      </c>
      <c r="G552" s="823">
        <f>SUM(G547:G551)</f>
        <v>5455.2000000000007</v>
      </c>
    </row>
    <row r="553" spans="1:11" s="763" customFormat="1">
      <c r="A553" s="820"/>
      <c r="B553" s="820"/>
      <c r="C553" s="785" t="s">
        <v>119</v>
      </c>
      <c r="D553" s="820"/>
      <c r="E553" s="831">
        <f>ROUND(E552/10,2)</f>
        <v>491.82</v>
      </c>
      <c r="F553" s="831">
        <f>ROUND(F552/10,2)</f>
        <v>540.96</v>
      </c>
      <c r="G553" s="828">
        <f>ROUND(G552/10,2)</f>
        <v>545.52</v>
      </c>
      <c r="H553" s="835"/>
    </row>
    <row r="554" spans="1:11" s="763" customFormat="1" ht="102">
      <c r="A554" s="757">
        <v>16</v>
      </c>
      <c r="B554" s="819" t="s">
        <v>1149</v>
      </c>
      <c r="C554" s="758" t="s">
        <v>310</v>
      </c>
      <c r="D554" s="820"/>
      <c r="E554" s="820"/>
      <c r="F554" s="820"/>
      <c r="G554" s="819"/>
      <c r="H554" s="821"/>
    </row>
    <row r="555" spans="1:11" s="763" customFormat="1">
      <c r="A555" s="757"/>
      <c r="B555" s="819"/>
      <c r="C555" s="785" t="s">
        <v>42</v>
      </c>
      <c r="D555" s="820"/>
      <c r="E555" s="820"/>
      <c r="F555" s="820"/>
      <c r="G555" s="825"/>
      <c r="H555" s="821"/>
    </row>
    <row r="556" spans="1:11" s="763" customFormat="1">
      <c r="A556" s="757"/>
      <c r="B556" s="819"/>
      <c r="C556" s="785" t="s">
        <v>311</v>
      </c>
      <c r="D556" s="820"/>
      <c r="E556" s="820"/>
      <c r="F556" s="820"/>
      <c r="G556" s="825"/>
      <c r="H556" s="821"/>
    </row>
    <row r="557" spans="1:11" s="763" customFormat="1">
      <c r="A557" s="757"/>
      <c r="B557" s="819"/>
      <c r="C557" s="758" t="s">
        <v>107</v>
      </c>
      <c r="D557" s="820" t="s">
        <v>4</v>
      </c>
      <c r="E557" s="823">
        <v>43</v>
      </c>
      <c r="F557" s="823">
        <f>F536</f>
        <v>4218.8</v>
      </c>
      <c r="G557" s="824">
        <f>ROUND(E557*F557/1000,2)</f>
        <v>181.41</v>
      </c>
      <c r="H557" s="821"/>
    </row>
    <row r="558" spans="1:11" s="763" customFormat="1">
      <c r="A558" s="757"/>
      <c r="B558" s="819"/>
      <c r="C558" s="758" t="s">
        <v>312</v>
      </c>
      <c r="D558" s="820" t="s">
        <v>35</v>
      </c>
      <c r="E558" s="823">
        <v>0.18</v>
      </c>
      <c r="F558" s="823">
        <f>F537</f>
        <v>1196.3999999999996</v>
      </c>
      <c r="G558" s="824">
        <f>ROUND(E558*F558,2)</f>
        <v>215.35</v>
      </c>
      <c r="H558" s="821"/>
    </row>
    <row r="559" spans="1:11" s="763" customFormat="1">
      <c r="A559" s="757"/>
      <c r="B559" s="819"/>
      <c r="C559" s="785" t="s">
        <v>313</v>
      </c>
      <c r="D559" s="820"/>
      <c r="E559" s="820"/>
      <c r="F559" s="820"/>
      <c r="G559" s="825"/>
      <c r="H559" s="821"/>
    </row>
    <row r="560" spans="1:11" s="763" customFormat="1">
      <c r="A560" s="757"/>
      <c r="B560" s="819"/>
      <c r="C560" s="758" t="s">
        <v>107</v>
      </c>
      <c r="D560" s="820" t="s">
        <v>4</v>
      </c>
      <c r="E560" s="823">
        <v>14.5</v>
      </c>
      <c r="F560" s="823">
        <f>F557</f>
        <v>4218.8</v>
      </c>
      <c r="G560" s="824">
        <f>ROUND(E560*F560/1000,2)</f>
        <v>61.17</v>
      </c>
      <c r="H560" s="821"/>
    </row>
    <row r="561" spans="1:11" s="763" customFormat="1">
      <c r="A561" s="757"/>
      <c r="B561" s="819"/>
      <c r="C561" s="758" t="s">
        <v>312</v>
      </c>
      <c r="D561" s="820" t="s">
        <v>35</v>
      </c>
      <c r="E561" s="823">
        <v>0.04</v>
      </c>
      <c r="F561" s="823">
        <f>F558</f>
        <v>1196.3999999999996</v>
      </c>
      <c r="G561" s="824">
        <f>ROUND(E561*F561,2)</f>
        <v>47.86</v>
      </c>
      <c r="H561" s="821"/>
    </row>
    <row r="562" spans="1:11" s="763" customFormat="1">
      <c r="A562" s="820"/>
      <c r="B562" s="820"/>
      <c r="C562" s="785" t="s">
        <v>68</v>
      </c>
      <c r="D562" s="820"/>
      <c r="E562" s="823"/>
      <c r="F562" s="823"/>
      <c r="G562" s="824"/>
      <c r="H562" s="821"/>
    </row>
    <row r="563" spans="1:11" s="763" customFormat="1">
      <c r="A563" s="820"/>
      <c r="B563" s="820"/>
      <c r="C563" s="758" t="s">
        <v>64</v>
      </c>
      <c r="D563" s="820" t="s">
        <v>27</v>
      </c>
      <c r="E563" s="823">
        <v>0.63</v>
      </c>
      <c r="F563" s="823">
        <f>'MINI SSR 2025-26'!$H$3</f>
        <v>735</v>
      </c>
      <c r="G563" s="824">
        <f>ROUND(E563*F563,2)</f>
        <v>463.05</v>
      </c>
      <c r="H563" s="821"/>
      <c r="K563" s="827">
        <f>G563</f>
        <v>463.05</v>
      </c>
    </row>
    <row r="564" spans="1:11" s="763" customFormat="1">
      <c r="A564" s="820"/>
      <c r="B564" s="820"/>
      <c r="C564" s="758" t="s">
        <v>69</v>
      </c>
      <c r="D564" s="820" t="s">
        <v>27</v>
      </c>
      <c r="E564" s="823">
        <v>1.47</v>
      </c>
      <c r="F564" s="823">
        <f>'MINI SSR 2025-26'!$H$4</f>
        <v>665</v>
      </c>
      <c r="G564" s="824">
        <f>ROUND(E564*F564,2)</f>
        <v>977.55</v>
      </c>
      <c r="K564" s="827">
        <f>G564</f>
        <v>977.55</v>
      </c>
    </row>
    <row r="565" spans="1:11" s="763" customFormat="1">
      <c r="A565" s="820"/>
      <c r="B565" s="820"/>
      <c r="C565" s="758" t="s">
        <v>85</v>
      </c>
      <c r="D565" s="820" t="s">
        <v>27</v>
      </c>
      <c r="E565" s="823">
        <v>3.9</v>
      </c>
      <c r="F565" s="823">
        <f>'MINI SSR 2025-26'!$H$5</f>
        <v>615</v>
      </c>
      <c r="G565" s="824">
        <f>ROUND(E565*F565,2)</f>
        <v>2398.5</v>
      </c>
      <c r="H565" s="821"/>
      <c r="K565" s="827">
        <f>G565</f>
        <v>2398.5</v>
      </c>
    </row>
    <row r="566" spans="1:11" s="763" customFormat="1">
      <c r="A566" s="820"/>
      <c r="B566" s="820"/>
      <c r="C566" s="785" t="s">
        <v>88</v>
      </c>
      <c r="D566" s="820"/>
      <c r="E566" s="820"/>
      <c r="F566" s="820"/>
      <c r="G566" s="828">
        <f>SUM(G557:G565)</f>
        <v>4344.8899999999994</v>
      </c>
      <c r="H566" s="821"/>
      <c r="K566" s="834">
        <f>SUM(K563:K565)</f>
        <v>3839.1</v>
      </c>
    </row>
    <row r="567" spans="1:11" s="763" customFormat="1">
      <c r="A567" s="820"/>
      <c r="B567" s="820"/>
      <c r="C567" s="785"/>
      <c r="D567" s="820"/>
      <c r="E567" s="819" t="s">
        <v>163</v>
      </c>
      <c r="F567" s="819" t="s">
        <v>164</v>
      </c>
      <c r="G567" s="831" t="s">
        <v>165</v>
      </c>
    </row>
    <row r="568" spans="1:11" s="763" customFormat="1">
      <c r="A568" s="820"/>
      <c r="B568" s="820"/>
      <c r="C568" s="785" t="s">
        <v>1076</v>
      </c>
      <c r="D568" s="820"/>
      <c r="E568" s="823">
        <f>G566</f>
        <v>4344.8899999999994</v>
      </c>
      <c r="F568" s="823">
        <f>G566</f>
        <v>4344.8899999999994</v>
      </c>
      <c r="G568" s="825">
        <f>F568</f>
        <v>4344.8899999999994</v>
      </c>
    </row>
    <row r="569" spans="1:11" s="763" customFormat="1">
      <c r="A569" s="820"/>
      <c r="B569" s="820"/>
      <c r="C569" s="758" t="s">
        <v>1537</v>
      </c>
      <c r="D569" s="823">
        <v>10</v>
      </c>
      <c r="E569" s="823">
        <f>ROUND($D$494*'MINI SSR 2025-26'!$E$36,2)</f>
        <v>10.8</v>
      </c>
      <c r="F569" s="823">
        <f>E569</f>
        <v>10.8</v>
      </c>
      <c r="G569" s="825">
        <f>E569</f>
        <v>10.8</v>
      </c>
    </row>
    <row r="570" spans="1:11" s="763" customFormat="1">
      <c r="A570" s="820"/>
      <c r="B570" s="820"/>
      <c r="C570" s="758" t="s">
        <v>1536</v>
      </c>
      <c r="D570" s="823">
        <v>10</v>
      </c>
      <c r="E570" s="823">
        <f>ROUND($D$495*'MINI SSR 2025-26'!$F$36,2)</f>
        <v>84.7</v>
      </c>
      <c r="F570" s="823">
        <f>ROUND($D$495*'MINI SSR 2025-26'!$G$36,2)</f>
        <v>121.2</v>
      </c>
      <c r="G570" s="825">
        <f>ROUND($D$495*'MINI SSR 2025-26'!$H$36,2)</f>
        <v>157.69999999999999</v>
      </c>
    </row>
    <row r="571" spans="1:11" s="763" customFormat="1" ht="25.5">
      <c r="A571" s="820"/>
      <c r="B571" s="820"/>
      <c r="C571" s="758" t="s">
        <v>1087</v>
      </c>
      <c r="D571" s="820"/>
      <c r="E571" s="820"/>
      <c r="F571" s="823">
        <f>ROUND((G563+G564+G565+F570)*0.1,2)</f>
        <v>396.03</v>
      </c>
      <c r="G571" s="825">
        <f>ROUND((G563+G564+G565+G570)*0.1,2)</f>
        <v>399.68</v>
      </c>
    </row>
    <row r="572" spans="1:11" s="763" customFormat="1">
      <c r="A572" s="820"/>
      <c r="B572" s="820"/>
      <c r="C572" s="758" t="s">
        <v>2213</v>
      </c>
      <c r="D572" s="820"/>
      <c r="E572" s="823">
        <f>ROUND(SUM(E568:E571)*$H$3,2)</f>
        <v>604.55999999999995</v>
      </c>
      <c r="F572" s="823">
        <f>ROUND(SUM(F568:F571)*$H$3,2)</f>
        <v>663.45</v>
      </c>
      <c r="G572" s="823">
        <f>ROUND(SUM(G568:G571)*$H$3,2)</f>
        <v>668.91</v>
      </c>
    </row>
    <row r="573" spans="1:11" s="763" customFormat="1">
      <c r="A573" s="820"/>
      <c r="B573" s="820"/>
      <c r="C573" s="785" t="s">
        <v>88</v>
      </c>
      <c r="D573" s="820"/>
      <c r="E573" s="823">
        <f>SUM(E568:E572)</f>
        <v>5044.9499999999989</v>
      </c>
      <c r="F573" s="823">
        <f>SUM(F568:F572)</f>
        <v>5536.369999999999</v>
      </c>
      <c r="G573" s="823">
        <f>SUM(G568:G572)</f>
        <v>5581.98</v>
      </c>
    </row>
    <row r="574" spans="1:11" s="763" customFormat="1">
      <c r="A574" s="820"/>
      <c r="B574" s="820"/>
      <c r="C574" s="785" t="s">
        <v>119</v>
      </c>
      <c r="D574" s="820"/>
      <c r="E574" s="831">
        <f>ROUND(E573/10,2)</f>
        <v>504.5</v>
      </c>
      <c r="F574" s="831">
        <f>ROUND(F573/10,2)</f>
        <v>553.64</v>
      </c>
      <c r="G574" s="828">
        <f>ROUND(G573/10,2)</f>
        <v>558.20000000000005</v>
      </c>
      <c r="H574" s="835"/>
    </row>
    <row r="575" spans="1:11" s="763" customFormat="1" ht="165.75">
      <c r="A575" s="757">
        <v>17</v>
      </c>
      <c r="B575" s="819"/>
      <c r="C575" s="758" t="s">
        <v>951</v>
      </c>
      <c r="D575" s="820"/>
      <c r="E575" s="820"/>
      <c r="F575" s="820"/>
      <c r="G575" s="825"/>
    </row>
    <row r="576" spans="1:11" s="763" customFormat="1">
      <c r="A576" s="820"/>
      <c r="B576" s="820"/>
      <c r="C576" s="758" t="s">
        <v>821</v>
      </c>
      <c r="D576" s="820"/>
      <c r="E576" s="823"/>
      <c r="F576" s="823"/>
      <c r="G576" s="824"/>
    </row>
    <row r="577" spans="1:11" s="763" customFormat="1">
      <c r="A577" s="820"/>
      <c r="B577" s="820"/>
      <c r="C577" s="758" t="s">
        <v>816</v>
      </c>
      <c r="D577" s="820"/>
      <c r="E577" s="823"/>
      <c r="F577" s="823"/>
      <c r="G577" s="824"/>
    </row>
    <row r="578" spans="1:11" s="763" customFormat="1">
      <c r="A578" s="820"/>
      <c r="B578" s="820"/>
      <c r="C578" s="758" t="s">
        <v>1546</v>
      </c>
      <c r="D578" s="823" t="s">
        <v>77</v>
      </c>
      <c r="E578" s="823">
        <v>13.3</v>
      </c>
      <c r="F578" s="842">
        <f>'MINI SSR 2025-26'!C43</f>
        <v>24</v>
      </c>
      <c r="G578" s="824">
        <f>ROUND(E578*F578,2)</f>
        <v>319.2</v>
      </c>
      <c r="H578" s="821"/>
      <c r="K578" s="827"/>
    </row>
    <row r="579" spans="1:11" s="763" customFormat="1">
      <c r="A579" s="757"/>
      <c r="B579" s="819"/>
      <c r="C579" s="758" t="s">
        <v>952</v>
      </c>
      <c r="D579" s="823" t="s">
        <v>35</v>
      </c>
      <c r="E579" s="823">
        <v>0.25</v>
      </c>
      <c r="F579" s="842">
        <f>G10</f>
        <v>3404.24</v>
      </c>
      <c r="G579" s="824">
        <f t="shared" ref="G579:G581" si="6">ROUND(E579*F579,2)</f>
        <v>851.06</v>
      </c>
    </row>
    <row r="580" spans="1:11" s="763" customFormat="1">
      <c r="A580" s="757"/>
      <c r="B580" s="819"/>
      <c r="C580" s="758" t="s">
        <v>953</v>
      </c>
      <c r="D580" s="823" t="s">
        <v>90</v>
      </c>
      <c r="E580" s="823">
        <v>50</v>
      </c>
      <c r="F580" s="842">
        <f>'lead 25-26'!L8</f>
        <v>4218.8</v>
      </c>
      <c r="G580" s="824">
        <f>ROUND(E580*F580/1000,2)</f>
        <v>210.94</v>
      </c>
    </row>
    <row r="581" spans="1:11" s="763" customFormat="1" ht="25.5">
      <c r="A581" s="757"/>
      <c r="B581" s="819"/>
      <c r="C581" s="758" t="s">
        <v>954</v>
      </c>
      <c r="D581" s="823" t="s">
        <v>77</v>
      </c>
      <c r="E581" s="823">
        <v>21.8</v>
      </c>
      <c r="F581" s="842">
        <f>(E553-(E551/10))</f>
        <v>432.88299999999998</v>
      </c>
      <c r="G581" s="824">
        <f t="shared" si="6"/>
        <v>9436.85</v>
      </c>
    </row>
    <row r="582" spans="1:11" s="763" customFormat="1">
      <c r="A582" s="757"/>
      <c r="B582" s="819"/>
      <c r="C582" s="785" t="s">
        <v>955</v>
      </c>
      <c r="D582" s="820"/>
      <c r="E582" s="820"/>
      <c r="F582" s="842"/>
      <c r="G582" s="824"/>
    </row>
    <row r="583" spans="1:11" s="763" customFormat="1">
      <c r="A583" s="757"/>
      <c r="B583" s="819"/>
      <c r="C583" s="758" t="s">
        <v>818</v>
      </c>
      <c r="D583" s="823" t="s">
        <v>27</v>
      </c>
      <c r="E583" s="823">
        <v>8</v>
      </c>
      <c r="F583" s="823">
        <f>'MINI SSR 2025-26'!$H$3</f>
        <v>735</v>
      </c>
      <c r="G583" s="824">
        <f t="shared" ref="G583:G584" si="7">ROUND(E583*F583,2)</f>
        <v>5880</v>
      </c>
    </row>
    <row r="584" spans="1:11" s="763" customFormat="1">
      <c r="A584" s="757"/>
      <c r="B584" s="819"/>
      <c r="C584" s="758" t="s">
        <v>817</v>
      </c>
      <c r="D584" s="823" t="s">
        <v>27</v>
      </c>
      <c r="E584" s="823">
        <v>10</v>
      </c>
      <c r="F584" s="823">
        <f>'MINI SSR 2025-26'!$H$5</f>
        <v>615</v>
      </c>
      <c r="G584" s="824">
        <f t="shared" si="7"/>
        <v>6150</v>
      </c>
    </row>
    <row r="585" spans="1:11" s="763" customFormat="1">
      <c r="A585" s="757"/>
      <c r="B585" s="819"/>
      <c r="C585" s="785" t="s">
        <v>956</v>
      </c>
      <c r="D585" s="823"/>
      <c r="E585" s="823"/>
      <c r="F585" s="842"/>
      <c r="G585" s="824"/>
    </row>
    <row r="586" spans="1:11" s="763" customFormat="1">
      <c r="A586" s="757"/>
      <c r="B586" s="819"/>
      <c r="C586" s="758" t="s">
        <v>62</v>
      </c>
      <c r="D586" s="823" t="s">
        <v>957</v>
      </c>
      <c r="E586" s="823">
        <v>2</v>
      </c>
      <c r="F586" s="842">
        <f>'MINI SSR 2025-26'!C30</f>
        <v>722.41</v>
      </c>
      <c r="G586" s="824">
        <f t="shared" ref="G586" si="8">ROUND(E586*F586,2)</f>
        <v>1444.82</v>
      </c>
    </row>
    <row r="587" spans="1:11" s="763" customFormat="1">
      <c r="A587" s="757"/>
      <c r="B587" s="819"/>
      <c r="C587" s="785" t="s">
        <v>822</v>
      </c>
      <c r="D587" s="843"/>
      <c r="E587" s="843"/>
      <c r="F587" s="843" t="s">
        <v>104</v>
      </c>
      <c r="G587" s="824">
        <f>SUM(G578:G586)</f>
        <v>24292.870000000003</v>
      </c>
    </row>
    <row r="588" spans="1:11" s="763" customFormat="1">
      <c r="A588" s="757"/>
      <c r="B588" s="819"/>
      <c r="C588" s="758"/>
      <c r="D588" s="842"/>
      <c r="E588" s="843" t="s">
        <v>163</v>
      </c>
      <c r="F588" s="843" t="s">
        <v>164</v>
      </c>
      <c r="G588" s="824"/>
    </row>
    <row r="589" spans="1:11" s="763" customFormat="1">
      <c r="A589" s="757"/>
      <c r="B589" s="819"/>
      <c r="C589" s="758" t="s">
        <v>820</v>
      </c>
      <c r="D589" s="842"/>
      <c r="E589" s="842">
        <f>G587</f>
        <v>24292.870000000003</v>
      </c>
      <c r="F589" s="842">
        <f>G587</f>
        <v>24292.870000000003</v>
      </c>
      <c r="G589" s="824"/>
    </row>
    <row r="590" spans="1:11" s="763" customFormat="1" ht="25.5">
      <c r="A590" s="757"/>
      <c r="B590" s="819"/>
      <c r="C590" s="758" t="s">
        <v>823</v>
      </c>
      <c r="D590" s="844" t="s">
        <v>320</v>
      </c>
      <c r="E590" s="842">
        <f>ROUND(D590*'MINI SSR 2025-26'!E36,2)</f>
        <v>10.8</v>
      </c>
      <c r="F590" s="842">
        <f>E590</f>
        <v>10.8</v>
      </c>
      <c r="G590" s="824"/>
    </row>
    <row r="591" spans="1:11" s="763" customFormat="1">
      <c r="A591" s="757"/>
      <c r="B591" s="819"/>
      <c r="C591" s="758" t="s">
        <v>1547</v>
      </c>
      <c r="D591" s="844" t="s">
        <v>320</v>
      </c>
      <c r="E591" s="842">
        <f>ROUND(D591*'MINI SSR 2025-26'!F36,2)</f>
        <v>84.7</v>
      </c>
      <c r="F591" s="842">
        <f>ROUND(D591*'MINI SSR 2025-26'!G36,2)</f>
        <v>121.2</v>
      </c>
      <c r="G591" s="824"/>
    </row>
    <row r="592" spans="1:11" s="763" customFormat="1">
      <c r="A592" s="757"/>
      <c r="B592" s="819"/>
      <c r="C592" s="758" t="s">
        <v>824</v>
      </c>
      <c r="D592" s="845" t="s">
        <v>320</v>
      </c>
      <c r="E592" s="846">
        <v>0</v>
      </c>
      <c r="F592" s="846">
        <f>ROUND(((SUM(G583:G584)+F591)*D592/100),2)</f>
        <v>1215.1199999999999</v>
      </c>
      <c r="G592" s="824"/>
    </row>
    <row r="593" spans="1:11" s="763" customFormat="1">
      <c r="A593" s="757"/>
      <c r="B593" s="819"/>
      <c r="C593" s="758" t="s">
        <v>2213</v>
      </c>
      <c r="D593" s="845"/>
      <c r="E593" s="823">
        <f>ROUND(SUM(E589:E592)*$H$3,2)</f>
        <v>3320.48</v>
      </c>
      <c r="F593" s="823">
        <f>ROUND(SUM(F589:F592)*$H$3,2)</f>
        <v>3490.88</v>
      </c>
      <c r="G593" s="824"/>
    </row>
    <row r="594" spans="1:11" s="763" customFormat="1">
      <c r="A594" s="757"/>
      <c r="B594" s="819"/>
      <c r="C594" s="785" t="s">
        <v>822</v>
      </c>
      <c r="D594" s="845"/>
      <c r="E594" s="842">
        <f>SUM(E589:E593)</f>
        <v>27708.850000000002</v>
      </c>
      <c r="F594" s="842">
        <f>SUM(F589:F593)</f>
        <v>29130.870000000003</v>
      </c>
      <c r="G594" s="824"/>
    </row>
    <row r="595" spans="1:11" s="763" customFormat="1">
      <c r="A595" s="757"/>
      <c r="B595" s="819"/>
      <c r="C595" s="785" t="s">
        <v>825</v>
      </c>
      <c r="D595" s="823"/>
      <c r="E595" s="843">
        <f>ROUND(E594/10,2)</f>
        <v>2770.89</v>
      </c>
      <c r="F595" s="843">
        <f>ROUND(F594/10,2)</f>
        <v>2913.09</v>
      </c>
      <c r="G595" s="824"/>
    </row>
    <row r="596" spans="1:11" s="763" customFormat="1" ht="102">
      <c r="A596" s="757">
        <v>18</v>
      </c>
      <c r="B596" s="819" t="s">
        <v>1113</v>
      </c>
      <c r="C596" s="758" t="s">
        <v>1112</v>
      </c>
      <c r="D596" s="820"/>
      <c r="E596" s="820"/>
      <c r="F596" s="820"/>
      <c r="G596" s="819"/>
      <c r="H596" s="821"/>
    </row>
    <row r="597" spans="1:11" s="763" customFormat="1">
      <c r="A597" s="757"/>
      <c r="B597" s="819"/>
      <c r="C597" s="785" t="s">
        <v>42</v>
      </c>
      <c r="D597" s="820"/>
      <c r="E597" s="820"/>
      <c r="F597" s="820"/>
      <c r="G597" s="825"/>
      <c r="H597" s="821"/>
    </row>
    <row r="598" spans="1:11" s="763" customFormat="1">
      <c r="A598" s="757"/>
      <c r="B598" s="819"/>
      <c r="C598" s="785" t="s">
        <v>60</v>
      </c>
      <c r="D598" s="820"/>
      <c r="E598" s="820"/>
      <c r="F598" s="820"/>
      <c r="G598" s="825"/>
      <c r="H598" s="821"/>
    </row>
    <row r="599" spans="1:11" s="763" customFormat="1">
      <c r="A599" s="757"/>
      <c r="B599" s="819"/>
      <c r="C599" s="758" t="s">
        <v>43</v>
      </c>
      <c r="D599" s="820" t="s">
        <v>35</v>
      </c>
      <c r="E599" s="823">
        <v>0.15</v>
      </c>
      <c r="F599" s="823">
        <f>G10</f>
        <v>3404.24</v>
      </c>
      <c r="G599" s="824">
        <f>ROUND(E599*F599,2)</f>
        <v>510.64</v>
      </c>
      <c r="H599" s="821"/>
    </row>
    <row r="600" spans="1:11" s="763" customFormat="1">
      <c r="A600" s="757"/>
      <c r="B600" s="819"/>
      <c r="C600" s="758" t="s">
        <v>1549</v>
      </c>
      <c r="D600" s="820" t="s">
        <v>4</v>
      </c>
      <c r="E600" s="823">
        <v>2</v>
      </c>
      <c r="F600" s="823">
        <f>'MINI SSR 2025-26'!$C$44</f>
        <v>86</v>
      </c>
      <c r="G600" s="824">
        <f>ROUND(E600*F600,2)</f>
        <v>172</v>
      </c>
      <c r="H600" s="821"/>
    </row>
    <row r="601" spans="1:11" s="763" customFormat="1">
      <c r="A601" s="820"/>
      <c r="B601" s="820"/>
      <c r="C601" s="785" t="s">
        <v>68</v>
      </c>
      <c r="D601" s="820"/>
      <c r="E601" s="823"/>
      <c r="F601" s="823"/>
      <c r="G601" s="824"/>
      <c r="H601" s="821"/>
    </row>
    <row r="602" spans="1:11" s="763" customFormat="1">
      <c r="A602" s="820"/>
      <c r="B602" s="820"/>
      <c r="C602" s="758" t="s">
        <v>64</v>
      </c>
      <c r="D602" s="820" t="s">
        <v>27</v>
      </c>
      <c r="E602" s="823">
        <v>0.45</v>
      </c>
      <c r="F602" s="823">
        <f>'MINI SSR 2025-26'!$H$3</f>
        <v>735</v>
      </c>
      <c r="G602" s="824">
        <f>ROUND(E602*F602,2)</f>
        <v>330.75</v>
      </c>
      <c r="H602" s="821"/>
      <c r="K602" s="827">
        <f>G602</f>
        <v>330.75</v>
      </c>
    </row>
    <row r="603" spans="1:11" s="763" customFormat="1">
      <c r="A603" s="820"/>
      <c r="B603" s="820"/>
      <c r="C603" s="758" t="s">
        <v>69</v>
      </c>
      <c r="D603" s="820" t="s">
        <v>27</v>
      </c>
      <c r="E603" s="823">
        <v>1.05</v>
      </c>
      <c r="F603" s="823">
        <f>'MINI SSR 2025-26'!$H$4</f>
        <v>665</v>
      </c>
      <c r="G603" s="824">
        <f>ROUND(E603*F603,2)</f>
        <v>698.25</v>
      </c>
      <c r="K603" s="827">
        <f>G603</f>
        <v>698.25</v>
      </c>
    </row>
    <row r="604" spans="1:11" s="763" customFormat="1">
      <c r="A604" s="820"/>
      <c r="B604" s="820"/>
      <c r="C604" s="758" t="s">
        <v>85</v>
      </c>
      <c r="D604" s="820" t="s">
        <v>27</v>
      </c>
      <c r="E604" s="823">
        <v>2.8</v>
      </c>
      <c r="F604" s="823">
        <f>'MINI SSR 2025-26'!$H$5</f>
        <v>615</v>
      </c>
      <c r="G604" s="824">
        <f>ROUND(E604*F604,2)</f>
        <v>1722</v>
      </c>
      <c r="H604" s="821"/>
      <c r="K604" s="827">
        <f>G604</f>
        <v>1722</v>
      </c>
    </row>
    <row r="605" spans="1:11" s="763" customFormat="1">
      <c r="A605" s="820"/>
      <c r="B605" s="820"/>
      <c r="C605" s="785" t="s">
        <v>88</v>
      </c>
      <c r="D605" s="820"/>
      <c r="E605" s="820"/>
      <c r="F605" s="820"/>
      <c r="G605" s="828">
        <f>SUM(G599:G604)</f>
        <v>3433.64</v>
      </c>
      <c r="H605" s="821"/>
      <c r="K605" s="834">
        <f>SUM(K602:K604)</f>
        <v>2751</v>
      </c>
    </row>
    <row r="606" spans="1:11" s="763" customFormat="1">
      <c r="A606" s="820"/>
      <c r="B606" s="820"/>
      <c r="C606" s="785"/>
      <c r="D606" s="820"/>
      <c r="E606" s="819" t="s">
        <v>163</v>
      </c>
      <c r="F606" s="819" t="s">
        <v>164</v>
      </c>
      <c r="G606" s="831" t="s">
        <v>164</v>
      </c>
    </row>
    <row r="607" spans="1:11" s="763" customFormat="1">
      <c r="A607" s="820"/>
      <c r="B607" s="820"/>
      <c r="C607" s="785" t="s">
        <v>1076</v>
      </c>
      <c r="D607" s="820"/>
      <c r="E607" s="823">
        <f>G605</f>
        <v>3433.64</v>
      </c>
      <c r="F607" s="823">
        <f>G605</f>
        <v>3433.64</v>
      </c>
      <c r="G607" s="825">
        <f>G605</f>
        <v>3433.64</v>
      </c>
    </row>
    <row r="608" spans="1:11" s="763" customFormat="1" ht="25.5">
      <c r="A608" s="820"/>
      <c r="B608" s="820"/>
      <c r="C608" s="758" t="s">
        <v>1087</v>
      </c>
      <c r="D608" s="820"/>
      <c r="E608" s="820"/>
      <c r="F608" s="825">
        <f>(SUM(G602:G604)*10%)</f>
        <v>275.10000000000002</v>
      </c>
      <c r="G608" s="825">
        <f>(SUM(G602:G604)*20%)</f>
        <v>550.20000000000005</v>
      </c>
    </row>
    <row r="609" spans="1:11" s="763" customFormat="1">
      <c r="A609" s="820"/>
      <c r="B609" s="820"/>
      <c r="C609" s="758" t="s">
        <v>2213</v>
      </c>
      <c r="D609" s="820"/>
      <c r="E609" s="823">
        <f>ROUND(SUM(E605:E608)*$H$3,2)</f>
        <v>467.49</v>
      </c>
      <c r="F609" s="823">
        <f>ROUND(SUM(F605:F608)*$H$3,2)</f>
        <v>504.94</v>
      </c>
      <c r="G609" s="823">
        <f>ROUND(SUM(G605:G608)*$H$3,2)</f>
        <v>1009.89</v>
      </c>
    </row>
    <row r="610" spans="1:11" s="763" customFormat="1">
      <c r="A610" s="820"/>
      <c r="B610" s="820"/>
      <c r="C610" s="785" t="s">
        <v>88</v>
      </c>
      <c r="D610" s="820"/>
      <c r="E610" s="823">
        <f>SUM(E607:E609)</f>
        <v>3901.13</v>
      </c>
      <c r="F610" s="823">
        <f>SUM(F607:F609)</f>
        <v>4213.6799999999994</v>
      </c>
      <c r="G610" s="823">
        <f>SUM(G607:G609)</f>
        <v>4993.7300000000005</v>
      </c>
    </row>
    <row r="611" spans="1:11" s="763" customFormat="1">
      <c r="A611" s="820"/>
      <c r="B611" s="820"/>
      <c r="C611" s="785" t="s">
        <v>119</v>
      </c>
      <c r="D611" s="820"/>
      <c r="E611" s="831">
        <f>ROUND(E610/10,2)</f>
        <v>390.11</v>
      </c>
      <c r="F611" s="831">
        <f>ROUND(F610/10,2)</f>
        <v>421.37</v>
      </c>
      <c r="G611" s="828">
        <f>ROUND(G610/10,2)</f>
        <v>499.37</v>
      </c>
      <c r="H611" s="835"/>
    </row>
    <row r="612" spans="1:11" ht="102" hidden="1">
      <c r="A612" s="110">
        <v>39</v>
      </c>
      <c r="B612" s="278" t="s">
        <v>1113</v>
      </c>
      <c r="C612" s="632" t="s">
        <v>851</v>
      </c>
      <c r="D612" s="179"/>
      <c r="E612" s="179"/>
      <c r="F612" s="179"/>
      <c r="G612" s="278" t="s">
        <v>141</v>
      </c>
    </row>
    <row r="613" spans="1:11" hidden="1">
      <c r="A613" s="110"/>
      <c r="B613" s="278"/>
      <c r="C613" s="287" t="s">
        <v>42</v>
      </c>
      <c r="D613" s="179"/>
      <c r="E613" s="179"/>
      <c r="F613" s="179"/>
      <c r="G613" s="273"/>
    </row>
    <row r="614" spans="1:11" hidden="1">
      <c r="A614" s="110"/>
      <c r="B614" s="278"/>
      <c r="C614" s="287" t="s">
        <v>60</v>
      </c>
      <c r="D614" s="179"/>
      <c r="E614" s="179"/>
      <c r="F614" s="179"/>
      <c r="G614" s="273"/>
    </row>
    <row r="615" spans="1:11" hidden="1">
      <c r="A615" s="110"/>
      <c r="B615" s="278"/>
      <c r="C615" s="632" t="s">
        <v>43</v>
      </c>
      <c r="D615" s="179" t="s">
        <v>35</v>
      </c>
      <c r="E615" s="281">
        <v>0.21</v>
      </c>
      <c r="F615" s="281">
        <f>G25</f>
        <v>2391.73</v>
      </c>
      <c r="G615" s="173">
        <f>ROUND(E615*F615,2)</f>
        <v>502.26</v>
      </c>
    </row>
    <row r="616" spans="1:11" hidden="1">
      <c r="A616" s="110"/>
      <c r="B616" s="278"/>
      <c r="C616" s="632" t="s">
        <v>1549</v>
      </c>
      <c r="D616" s="179" t="s">
        <v>4</v>
      </c>
      <c r="E616" s="281">
        <v>2</v>
      </c>
      <c r="F616" s="281">
        <f>'MINI SSR 2025-26'!$C$44</f>
        <v>86</v>
      </c>
      <c r="G616" s="173">
        <f>ROUND(E616*F616,2)</f>
        <v>172</v>
      </c>
    </row>
    <row r="617" spans="1:11" hidden="1">
      <c r="A617" s="179"/>
      <c r="B617" s="179"/>
      <c r="C617" s="287" t="s">
        <v>68</v>
      </c>
      <c r="D617" s="179"/>
      <c r="E617" s="281"/>
      <c r="F617" s="281"/>
      <c r="G617" s="173"/>
    </row>
    <row r="618" spans="1:11" hidden="1">
      <c r="A618" s="179"/>
      <c r="B618" s="179"/>
      <c r="C618" s="632" t="s">
        <v>64</v>
      </c>
      <c r="D618" s="179" t="s">
        <v>27</v>
      </c>
      <c r="E618" s="281">
        <v>0.66</v>
      </c>
      <c r="F618" s="281">
        <f>'MINI SSR 2025-26'!$H$3</f>
        <v>735</v>
      </c>
      <c r="G618" s="173">
        <f>ROUND(E618*F618,2)</f>
        <v>485.1</v>
      </c>
      <c r="K618" s="20">
        <f>G618</f>
        <v>485.1</v>
      </c>
    </row>
    <row r="619" spans="1:11" hidden="1">
      <c r="A619" s="179"/>
      <c r="B619" s="179"/>
      <c r="C619" s="632" t="s">
        <v>69</v>
      </c>
      <c r="D619" s="179" t="s">
        <v>27</v>
      </c>
      <c r="E619" s="281">
        <v>1.54</v>
      </c>
      <c r="F619" s="281">
        <f>'MINI SSR 2025-26'!$H$4</f>
        <v>665</v>
      </c>
      <c r="G619" s="173">
        <f>ROUND(E619*F619,2)</f>
        <v>1024.0999999999999</v>
      </c>
      <c r="H619" s="10"/>
      <c r="K619" s="20">
        <f>G619</f>
        <v>1024.0999999999999</v>
      </c>
    </row>
    <row r="620" spans="1:11" hidden="1">
      <c r="A620" s="179"/>
      <c r="B620" s="179"/>
      <c r="C620" s="632" t="s">
        <v>85</v>
      </c>
      <c r="D620" s="179" t="s">
        <v>27</v>
      </c>
      <c r="E620" s="281">
        <v>3.7</v>
      </c>
      <c r="F620" s="281">
        <f>'MINI SSR 2025-26'!$H$5</f>
        <v>615</v>
      </c>
      <c r="G620" s="173">
        <f>ROUND(E620*F620,2)</f>
        <v>2275.5</v>
      </c>
      <c r="K620" s="20">
        <f>G620</f>
        <v>2275.5</v>
      </c>
    </row>
    <row r="621" spans="1:11" hidden="1">
      <c r="A621" s="179"/>
      <c r="B621" s="179"/>
      <c r="C621" s="287" t="s">
        <v>88</v>
      </c>
      <c r="D621" s="179"/>
      <c r="E621" s="179"/>
      <c r="F621" s="179"/>
      <c r="G621" s="282">
        <f>SUM(G615:G620)</f>
        <v>4458.96</v>
      </c>
      <c r="K621" s="280">
        <f>SUM(K618:K620)</f>
        <v>3784.7</v>
      </c>
    </row>
    <row r="622" spans="1:11" hidden="1">
      <c r="A622" s="179"/>
      <c r="B622" s="179"/>
      <c r="C622" s="287"/>
      <c r="D622" s="179"/>
      <c r="E622" s="278" t="s">
        <v>163</v>
      </c>
      <c r="F622" s="278" t="s">
        <v>164</v>
      </c>
      <c r="G622" s="285" t="s">
        <v>165</v>
      </c>
      <c r="H622" s="10"/>
    </row>
    <row r="623" spans="1:11" hidden="1">
      <c r="A623" s="179"/>
      <c r="B623" s="179"/>
      <c r="C623" s="287" t="s">
        <v>1076</v>
      </c>
      <c r="D623" s="179"/>
      <c r="E623" s="281">
        <f>G621</f>
        <v>4458.96</v>
      </c>
      <c r="F623" s="281">
        <f>G621</f>
        <v>4458.96</v>
      </c>
      <c r="G623" s="273">
        <f>G621</f>
        <v>4458.96</v>
      </c>
      <c r="H623" s="10"/>
    </row>
    <row r="624" spans="1:11" ht="25.5" hidden="1">
      <c r="A624" s="179"/>
      <c r="B624" s="179"/>
      <c r="C624" s="632" t="s">
        <v>1087</v>
      </c>
      <c r="D624" s="179"/>
      <c r="E624" s="179"/>
      <c r="F624" s="273">
        <f>(SUM(G618:G620)*10%)</f>
        <v>378.47</v>
      </c>
      <c r="G624" s="273">
        <f>(SUM(G618:G620)*20%)</f>
        <v>756.94</v>
      </c>
      <c r="H624" s="10"/>
    </row>
    <row r="625" spans="1:11" hidden="1">
      <c r="A625" s="179"/>
      <c r="B625" s="179"/>
      <c r="C625" s="287" t="s">
        <v>88</v>
      </c>
      <c r="D625" s="179"/>
      <c r="E625" s="281">
        <f>SUM(E623:E624)</f>
        <v>4458.96</v>
      </c>
      <c r="F625" s="281">
        <f>SUM(F623:F624)</f>
        <v>4837.43</v>
      </c>
      <c r="G625" s="273">
        <f>SUM(G623:G624)</f>
        <v>5215.8999999999996</v>
      </c>
      <c r="H625" s="10"/>
    </row>
    <row r="626" spans="1:11" hidden="1">
      <c r="A626" s="179"/>
      <c r="B626" s="179"/>
      <c r="C626" s="287" t="s">
        <v>119</v>
      </c>
      <c r="D626" s="179"/>
      <c r="E626" s="285">
        <f>ROUND(E625/10,2)</f>
        <v>445.9</v>
      </c>
      <c r="F626" s="285">
        <f>ROUND(F625/10,2)</f>
        <v>483.74</v>
      </c>
      <c r="G626" s="282">
        <f>ROUND(G625/10,2)</f>
        <v>521.59</v>
      </c>
      <c r="H626" s="228"/>
    </row>
    <row r="627" spans="1:11" ht="165.75" hidden="1">
      <c r="A627" s="110">
        <v>9</v>
      </c>
      <c r="B627" s="278" t="s">
        <v>655</v>
      </c>
      <c r="C627" s="632" t="s">
        <v>654</v>
      </c>
      <c r="D627" s="179"/>
      <c r="E627" s="179"/>
      <c r="F627" s="179"/>
      <c r="G627" s="278" t="s">
        <v>655</v>
      </c>
    </row>
    <row r="628" spans="1:11" hidden="1">
      <c r="A628" s="110"/>
      <c r="B628" s="278"/>
      <c r="C628" s="287" t="s">
        <v>42</v>
      </c>
      <c r="D628" s="179"/>
      <c r="E628" s="179"/>
      <c r="F628" s="179"/>
      <c r="G628" s="273"/>
    </row>
    <row r="629" spans="1:11" hidden="1">
      <c r="A629" s="110"/>
      <c r="B629" s="278"/>
      <c r="C629" s="287" t="s">
        <v>60</v>
      </c>
      <c r="D629" s="179"/>
      <c r="E629" s="179"/>
      <c r="F629" s="179"/>
      <c r="G629" s="273"/>
    </row>
    <row r="630" spans="1:11" ht="25.5" hidden="1">
      <c r="A630" s="110"/>
      <c r="B630" s="278"/>
      <c r="C630" s="632" t="s">
        <v>656</v>
      </c>
      <c r="D630" s="179" t="s">
        <v>77</v>
      </c>
      <c r="E630" s="281">
        <v>10.1</v>
      </c>
      <c r="F630" s="281">
        <f>'lead 25-26'!L23</f>
        <v>2180.2752</v>
      </c>
      <c r="G630" s="173">
        <f>ROUND(E630*F630/1,2)</f>
        <v>22020.78</v>
      </c>
    </row>
    <row r="631" spans="1:11" hidden="1">
      <c r="A631" s="110"/>
      <c r="B631" s="278"/>
      <c r="C631" s="632" t="s">
        <v>91</v>
      </c>
      <c r="D631" s="179" t="s">
        <v>4</v>
      </c>
      <c r="E631" s="281">
        <v>36</v>
      </c>
      <c r="F631" s="281">
        <f>'lead 25-26'!L8</f>
        <v>4218.8</v>
      </c>
      <c r="G631" s="173">
        <f>ROUND(E631*F631/1000,2)</f>
        <v>151.88</v>
      </c>
    </row>
    <row r="632" spans="1:11" hidden="1">
      <c r="A632" s="110"/>
      <c r="B632" s="278"/>
      <c r="C632" s="632" t="s">
        <v>92</v>
      </c>
      <c r="D632" s="179" t="s">
        <v>4</v>
      </c>
      <c r="E632" s="281">
        <v>33</v>
      </c>
      <c r="F632" s="281">
        <f>F631</f>
        <v>4218.8</v>
      </c>
      <c r="G632" s="173">
        <f>ROUND(E632*F632/1000,2)</f>
        <v>139.22</v>
      </c>
    </row>
    <row r="633" spans="1:11" hidden="1">
      <c r="A633" s="110"/>
      <c r="B633" s="278"/>
      <c r="C633" s="632" t="s">
        <v>93</v>
      </c>
      <c r="D633" s="179" t="s">
        <v>4</v>
      </c>
      <c r="E633" s="281">
        <v>6</v>
      </c>
      <c r="F633" s="281">
        <f>F632</f>
        <v>4218.8</v>
      </c>
      <c r="G633" s="173">
        <f>ROUND(E633*F633/1000,2)</f>
        <v>25.31</v>
      </c>
    </row>
    <row r="634" spans="1:11" hidden="1">
      <c r="A634" s="110"/>
      <c r="B634" s="278"/>
      <c r="C634" s="632" t="s">
        <v>113</v>
      </c>
      <c r="D634" s="179" t="s">
        <v>35</v>
      </c>
      <c r="E634" s="281">
        <v>0.2</v>
      </c>
      <c r="F634" s="281">
        <f>'lead 25-26'!L13</f>
        <v>1196.3999999999996</v>
      </c>
      <c r="G634" s="173">
        <f>ROUND(E634*F634,2)</f>
        <v>239.28</v>
      </c>
    </row>
    <row r="635" spans="1:11" hidden="1">
      <c r="A635" s="179"/>
      <c r="B635" s="179"/>
      <c r="C635" s="287" t="s">
        <v>68</v>
      </c>
      <c r="D635" s="179"/>
      <c r="E635" s="281"/>
      <c r="F635" s="281"/>
      <c r="G635" s="173"/>
    </row>
    <row r="636" spans="1:11" hidden="1">
      <c r="A636" s="179"/>
      <c r="B636" s="179"/>
      <c r="C636" s="632" t="s">
        <v>64</v>
      </c>
      <c r="D636" s="179" t="s">
        <v>27</v>
      </c>
      <c r="E636" s="281">
        <v>3</v>
      </c>
      <c r="F636" s="281">
        <f>'MINI SSR 2025-26'!$H$3</f>
        <v>735</v>
      </c>
      <c r="G636" s="173">
        <f>ROUND(E636*F636,2)</f>
        <v>2205</v>
      </c>
      <c r="K636" s="20">
        <f>G636</f>
        <v>2205</v>
      </c>
    </row>
    <row r="637" spans="1:11" hidden="1">
      <c r="A637" s="179"/>
      <c r="B637" s="179"/>
      <c r="C637" s="632" t="s">
        <v>69</v>
      </c>
      <c r="D637" s="179" t="s">
        <v>27</v>
      </c>
      <c r="E637" s="281">
        <v>1</v>
      </c>
      <c r="F637" s="281">
        <f>'MINI SSR 2025-26'!$H$4</f>
        <v>665</v>
      </c>
      <c r="G637" s="173">
        <f>ROUND(E637*F637,2)</f>
        <v>665</v>
      </c>
      <c r="K637" s="20">
        <f>G637</f>
        <v>665</v>
      </c>
    </row>
    <row r="638" spans="1:11" hidden="1">
      <c r="A638" s="179"/>
      <c r="B638" s="179"/>
      <c r="C638" s="632" t="s">
        <v>85</v>
      </c>
      <c r="D638" s="179" t="s">
        <v>27</v>
      </c>
      <c r="E638" s="281">
        <v>8</v>
      </c>
      <c r="F638" s="281">
        <f>'MINI SSR 2025-26'!$H$5</f>
        <v>615</v>
      </c>
      <c r="G638" s="173">
        <f>ROUND(E638*F638,2)</f>
        <v>4920</v>
      </c>
      <c r="K638" s="20">
        <f>G638</f>
        <v>4920</v>
      </c>
    </row>
    <row r="639" spans="1:11" hidden="1">
      <c r="A639" s="179"/>
      <c r="B639" s="179"/>
      <c r="C639" s="632" t="s">
        <v>849</v>
      </c>
      <c r="D639" s="179"/>
      <c r="E639" s="281">
        <v>0.01</v>
      </c>
      <c r="F639" s="281">
        <f>SUM(G631:G638)</f>
        <v>8345.69</v>
      </c>
      <c r="G639" s="173">
        <f>ROUND(E639*F639,2)</f>
        <v>83.46</v>
      </c>
      <c r="K639" s="20">
        <f>G639</f>
        <v>83.46</v>
      </c>
    </row>
    <row r="640" spans="1:11" hidden="1">
      <c r="A640" s="179"/>
      <c r="B640" s="179"/>
      <c r="C640" s="287" t="s">
        <v>88</v>
      </c>
      <c r="D640" s="179"/>
      <c r="E640" s="179"/>
      <c r="F640" s="179"/>
      <c r="G640" s="282">
        <f>SUM(G630:G639)</f>
        <v>30449.93</v>
      </c>
      <c r="K640" s="280">
        <f>SUM(K636:K638)</f>
        <v>7790</v>
      </c>
    </row>
    <row r="641" spans="1:11" hidden="1">
      <c r="A641" s="179"/>
      <c r="B641" s="179"/>
      <c r="C641" s="287"/>
      <c r="D641" s="179"/>
      <c r="E641" s="278" t="s">
        <v>163</v>
      </c>
      <c r="F641" s="278" t="s">
        <v>164</v>
      </c>
      <c r="G641" s="285" t="s">
        <v>165</v>
      </c>
      <c r="H641" s="10"/>
    </row>
    <row r="642" spans="1:11" hidden="1">
      <c r="A642" s="179"/>
      <c r="B642" s="179"/>
      <c r="C642" s="287" t="s">
        <v>1076</v>
      </c>
      <c r="D642" s="179"/>
      <c r="E642" s="281">
        <f>G640</f>
        <v>30449.93</v>
      </c>
      <c r="F642" s="281">
        <f>G640</f>
        <v>30449.93</v>
      </c>
      <c r="G642" s="273">
        <f>G640</f>
        <v>30449.93</v>
      </c>
      <c r="H642" s="10"/>
    </row>
    <row r="643" spans="1:11" ht="25.5" hidden="1">
      <c r="A643" s="179"/>
      <c r="B643" s="179"/>
      <c r="C643" s="632" t="s">
        <v>1087</v>
      </c>
      <c r="D643" s="179"/>
      <c r="E643" s="281"/>
      <c r="F643" s="273">
        <f>ROUND((G636+G637+G638)*0.1,2)</f>
        <v>779</v>
      </c>
      <c r="G643" s="273">
        <f>ROUND((G636+G637+G638)*0.2,2)</f>
        <v>1558</v>
      </c>
      <c r="H643" s="10"/>
    </row>
    <row r="644" spans="1:11" hidden="1">
      <c r="A644" s="179"/>
      <c r="B644" s="179"/>
      <c r="C644" s="632" t="s">
        <v>2213</v>
      </c>
      <c r="D644" s="179"/>
      <c r="E644" s="273">
        <v>0</v>
      </c>
      <c r="F644" s="273">
        <v>0</v>
      </c>
      <c r="G644" s="273">
        <v>0</v>
      </c>
      <c r="H644" s="10"/>
    </row>
    <row r="645" spans="1:11" hidden="1">
      <c r="A645" s="179"/>
      <c r="B645" s="179"/>
      <c r="C645" s="287" t="s">
        <v>88</v>
      </c>
      <c r="D645" s="179"/>
      <c r="E645" s="281">
        <f>SUM(E642:E644)</f>
        <v>30449.93</v>
      </c>
      <c r="F645" s="281">
        <f>SUM(F642:F644)</f>
        <v>31228.93</v>
      </c>
      <c r="G645" s="281">
        <f>SUM(G642:G644)</f>
        <v>32007.93</v>
      </c>
      <c r="H645" s="10"/>
    </row>
    <row r="646" spans="1:11" hidden="1">
      <c r="A646" s="179"/>
      <c r="B646" s="179"/>
      <c r="C646" s="287" t="s">
        <v>119</v>
      </c>
      <c r="D646" s="179"/>
      <c r="E646" s="285">
        <f>ROUND(E645/10,2)</f>
        <v>3044.99</v>
      </c>
      <c r="F646" s="285">
        <f>ROUND(F645/10,2)</f>
        <v>3122.89</v>
      </c>
      <c r="G646" s="282">
        <f>ROUND(G645/10,2)</f>
        <v>3200.79</v>
      </c>
      <c r="H646" s="228"/>
    </row>
    <row r="647" spans="1:11" ht="153" hidden="1">
      <c r="A647" s="110">
        <v>10</v>
      </c>
      <c r="B647" s="278" t="s">
        <v>657</v>
      </c>
      <c r="C647" s="632" t="s">
        <v>660</v>
      </c>
      <c r="D647" s="179"/>
      <c r="E647" s="179"/>
      <c r="F647" s="179"/>
      <c r="G647" s="278"/>
    </row>
    <row r="648" spans="1:11" hidden="1">
      <c r="A648" s="110"/>
      <c r="B648" s="278"/>
      <c r="C648" s="287" t="s">
        <v>42</v>
      </c>
      <c r="D648" s="179"/>
      <c r="E648" s="179"/>
      <c r="F648" s="179"/>
      <c r="G648" s="273"/>
    </row>
    <row r="649" spans="1:11" hidden="1">
      <c r="A649" s="110"/>
      <c r="B649" s="278"/>
      <c r="C649" s="287" t="s">
        <v>60</v>
      </c>
      <c r="D649" s="179"/>
      <c r="E649" s="179"/>
      <c r="F649" s="179"/>
      <c r="G649" s="273"/>
    </row>
    <row r="650" spans="1:11" ht="25.5" hidden="1">
      <c r="A650" s="110"/>
      <c r="B650" s="278"/>
      <c r="C650" s="632" t="s">
        <v>656</v>
      </c>
      <c r="D650" s="179" t="s">
        <v>77</v>
      </c>
      <c r="E650" s="281">
        <v>10.1</v>
      </c>
      <c r="F650" s="281">
        <f>F630</f>
        <v>2180.2752</v>
      </c>
      <c r="G650" s="173">
        <f>ROUND(E650*F650/1,2)</f>
        <v>22020.78</v>
      </c>
    </row>
    <row r="651" spans="1:11" hidden="1">
      <c r="A651" s="110"/>
      <c r="B651" s="278"/>
      <c r="C651" s="632" t="s">
        <v>658</v>
      </c>
      <c r="D651" s="179" t="s">
        <v>35</v>
      </c>
      <c r="E651" s="281">
        <v>0.12</v>
      </c>
      <c r="F651" s="281">
        <f>F634</f>
        <v>1196.3999999999996</v>
      </c>
      <c r="G651" s="173">
        <f>ROUND(E651*F651,2)</f>
        <v>143.57</v>
      </c>
    </row>
    <row r="652" spans="1:11" hidden="1">
      <c r="A652" s="110"/>
      <c r="B652" s="278"/>
      <c r="C652" s="632" t="s">
        <v>105</v>
      </c>
      <c r="D652" s="179" t="s">
        <v>4</v>
      </c>
      <c r="E652" s="281">
        <v>57.6</v>
      </c>
      <c r="F652" s="281">
        <f>F631</f>
        <v>4218.8</v>
      </c>
      <c r="G652" s="173">
        <f>ROUND(E652*F652/1000,2)</f>
        <v>243</v>
      </c>
    </row>
    <row r="653" spans="1:11" hidden="1">
      <c r="A653" s="110"/>
      <c r="B653" s="278"/>
      <c r="C653" s="632" t="s">
        <v>92</v>
      </c>
      <c r="D653" s="179" t="s">
        <v>4</v>
      </c>
      <c r="E653" s="281">
        <v>33</v>
      </c>
      <c r="F653" s="281">
        <f>F632</f>
        <v>4218.8</v>
      </c>
      <c r="G653" s="173">
        <f>ROUND(E653*F653/1000,2)</f>
        <v>139.22</v>
      </c>
    </row>
    <row r="654" spans="1:11" hidden="1">
      <c r="A654" s="110"/>
      <c r="B654" s="278"/>
      <c r="C654" s="632" t="s">
        <v>659</v>
      </c>
      <c r="D654" s="179" t="s">
        <v>4</v>
      </c>
      <c r="E654" s="281">
        <v>5</v>
      </c>
      <c r="F654" s="281">
        <f>'MINI SSR 2025-26'!C45</f>
        <v>34</v>
      </c>
      <c r="G654" s="173">
        <f>ROUND(E654*F654,2)</f>
        <v>170</v>
      </c>
    </row>
    <row r="655" spans="1:11" hidden="1">
      <c r="A655" s="179"/>
      <c r="B655" s="179"/>
      <c r="C655" s="287" t="s">
        <v>68</v>
      </c>
      <c r="D655" s="179"/>
      <c r="E655" s="281"/>
      <c r="F655" s="281"/>
      <c r="G655" s="173"/>
    </row>
    <row r="656" spans="1:11" hidden="1">
      <c r="A656" s="179"/>
      <c r="B656" s="179"/>
      <c r="C656" s="632" t="s">
        <v>64</v>
      </c>
      <c r="D656" s="179" t="s">
        <v>27</v>
      </c>
      <c r="E656" s="281">
        <v>2.1</v>
      </c>
      <c r="F656" s="281">
        <f>'MINI SSR 2025-26'!$H$3</f>
        <v>735</v>
      </c>
      <c r="G656" s="173">
        <f>ROUND(E656*F656,2)</f>
        <v>1543.5</v>
      </c>
      <c r="K656" s="20">
        <f>G656</f>
        <v>1543.5</v>
      </c>
    </row>
    <row r="657" spans="1:11" hidden="1">
      <c r="A657" s="179"/>
      <c r="B657" s="179"/>
      <c r="C657" s="632" t="s">
        <v>69</v>
      </c>
      <c r="D657" s="179" t="s">
        <v>27</v>
      </c>
      <c r="E657" s="281">
        <v>4.9000000000000004</v>
      </c>
      <c r="F657" s="281">
        <f>'MINI SSR 2025-26'!$H$4</f>
        <v>665</v>
      </c>
      <c r="G657" s="173">
        <f>ROUND(E657*F657,2)</f>
        <v>3258.5</v>
      </c>
      <c r="K657" s="20">
        <f>G657</f>
        <v>3258.5</v>
      </c>
    </row>
    <row r="658" spans="1:11" hidden="1">
      <c r="A658" s="179"/>
      <c r="B658" s="179"/>
      <c r="C658" s="632" t="s">
        <v>85</v>
      </c>
      <c r="D658" s="179" t="s">
        <v>27</v>
      </c>
      <c r="E658" s="281">
        <v>0.8</v>
      </c>
      <c r="F658" s="281">
        <f>'MINI SSR 2025-26'!$H$5</f>
        <v>615</v>
      </c>
      <c r="G658" s="173">
        <f>ROUND(E658*F658,2)</f>
        <v>492</v>
      </c>
      <c r="K658" s="20">
        <f>G658</f>
        <v>492</v>
      </c>
    </row>
    <row r="659" spans="1:11" hidden="1">
      <c r="A659" s="179"/>
      <c r="B659" s="179"/>
      <c r="C659" s="632" t="s">
        <v>849</v>
      </c>
      <c r="D659" s="179"/>
      <c r="E659" s="281">
        <v>0.01</v>
      </c>
      <c r="F659" s="281">
        <f>SUM(G651:G658)</f>
        <v>5989.79</v>
      </c>
      <c r="G659" s="173">
        <f>ROUND(E659*F659,2)</f>
        <v>59.9</v>
      </c>
      <c r="K659" s="20">
        <f>G659</f>
        <v>59.9</v>
      </c>
    </row>
    <row r="660" spans="1:11" hidden="1">
      <c r="A660" s="179"/>
      <c r="B660" s="179"/>
      <c r="C660" s="287" t="s">
        <v>88</v>
      </c>
      <c r="D660" s="179"/>
      <c r="E660" s="179"/>
      <c r="F660" s="179"/>
      <c r="G660" s="282">
        <f>SUM(G650:G659)</f>
        <v>28070.47</v>
      </c>
      <c r="K660" s="280">
        <f>SUM(K656:K658)</f>
        <v>5294</v>
      </c>
    </row>
    <row r="661" spans="1:11" hidden="1">
      <c r="A661" s="179"/>
      <c r="B661" s="179"/>
      <c r="C661" s="287"/>
      <c r="D661" s="179"/>
      <c r="E661" s="278" t="s">
        <v>163</v>
      </c>
      <c r="F661" s="278" t="s">
        <v>163</v>
      </c>
      <c r="G661" s="285" t="s">
        <v>164</v>
      </c>
      <c r="H661" s="10"/>
    </row>
    <row r="662" spans="1:11" hidden="1">
      <c r="A662" s="179"/>
      <c r="B662" s="179"/>
      <c r="C662" s="287" t="s">
        <v>1076</v>
      </c>
      <c r="D662" s="179"/>
      <c r="E662" s="281">
        <f>G660</f>
        <v>28070.47</v>
      </c>
      <c r="F662" s="281">
        <f>G660</f>
        <v>28070.47</v>
      </c>
      <c r="G662" s="273">
        <f>G660</f>
        <v>28070.47</v>
      </c>
      <c r="H662" s="10"/>
    </row>
    <row r="663" spans="1:11" hidden="1">
      <c r="A663" s="179"/>
      <c r="B663" s="179"/>
      <c r="C663" s="632" t="s">
        <v>1150</v>
      </c>
      <c r="D663" s="179"/>
      <c r="E663" s="281"/>
      <c r="F663" s="273">
        <f>ROUND((G656+G657+G658)*0.1,2)</f>
        <v>529.4</v>
      </c>
      <c r="G663" s="273">
        <f>ROUND((G656+G657+G658)*0.2,2)</f>
        <v>1058.8</v>
      </c>
      <c r="H663" s="10"/>
    </row>
    <row r="664" spans="1:11" hidden="1">
      <c r="A664" s="179"/>
      <c r="B664" s="179"/>
      <c r="C664" s="632" t="s">
        <v>2213</v>
      </c>
      <c r="D664" s="179"/>
      <c r="E664" s="273">
        <v>0</v>
      </c>
      <c r="F664" s="273">
        <v>0</v>
      </c>
      <c r="G664" s="273">
        <v>0</v>
      </c>
      <c r="H664" s="10"/>
    </row>
    <row r="665" spans="1:11" hidden="1">
      <c r="A665" s="179"/>
      <c r="B665" s="179"/>
      <c r="C665" s="287" t="s">
        <v>88</v>
      </c>
      <c r="D665" s="179"/>
      <c r="E665" s="281">
        <f>SUM(E662:E664)</f>
        <v>28070.47</v>
      </c>
      <c r="F665" s="281">
        <f>SUM(F662:F664)</f>
        <v>28599.870000000003</v>
      </c>
      <c r="G665" s="281">
        <f>SUM(G662:G664)</f>
        <v>29129.27</v>
      </c>
      <c r="H665" s="10"/>
    </row>
    <row r="666" spans="1:11" hidden="1">
      <c r="A666" s="179"/>
      <c r="B666" s="179"/>
      <c r="C666" s="287" t="s">
        <v>119</v>
      </c>
      <c r="D666" s="179"/>
      <c r="E666" s="285">
        <f>ROUND(E665/10,2)</f>
        <v>2807.05</v>
      </c>
      <c r="F666" s="285">
        <f>ROUND(F665/10,2)</f>
        <v>2859.99</v>
      </c>
      <c r="G666" s="282">
        <f>ROUND(G665/10,2)</f>
        <v>2912.93</v>
      </c>
      <c r="H666" s="228"/>
    </row>
    <row r="667" spans="1:11" ht="38.25" hidden="1">
      <c r="A667" s="110">
        <v>42</v>
      </c>
      <c r="B667" s="278"/>
      <c r="C667" s="632" t="s">
        <v>885</v>
      </c>
      <c r="D667" s="179"/>
      <c r="E667" s="179"/>
      <c r="F667" s="179"/>
      <c r="G667" s="147"/>
      <c r="H667" s="10"/>
    </row>
    <row r="668" spans="1:11" hidden="1">
      <c r="A668" s="147"/>
      <c r="B668" s="147"/>
      <c r="C668" s="632" t="s">
        <v>886</v>
      </c>
      <c r="D668" s="110" t="s">
        <v>274</v>
      </c>
      <c r="E668" s="157">
        <v>1</v>
      </c>
      <c r="F668" s="12">
        <f>'MINI SSR 2025-26'!C46</f>
        <v>556</v>
      </c>
      <c r="G668" s="173">
        <f>ROUND(E668*F668,2)</f>
        <v>556</v>
      </c>
      <c r="H668" s="10"/>
    </row>
    <row r="669" spans="1:11" hidden="1">
      <c r="A669" s="147"/>
      <c r="B669" s="147"/>
      <c r="C669" s="287" t="s">
        <v>373</v>
      </c>
      <c r="D669" s="110"/>
      <c r="E669" s="12"/>
      <c r="F669" s="12"/>
      <c r="G669" s="182">
        <f>SUM(G668:G668)</f>
        <v>556</v>
      </c>
      <c r="H669" s="228"/>
    </row>
    <row r="670" spans="1:11" ht="140.25" hidden="1">
      <c r="A670" s="110">
        <v>43</v>
      </c>
      <c r="B670" s="278" t="s">
        <v>663</v>
      </c>
      <c r="C670" s="632" t="s">
        <v>662</v>
      </c>
      <c r="D670" s="179"/>
      <c r="E670" s="179"/>
      <c r="F670" s="179"/>
      <c r="G670" s="278"/>
    </row>
    <row r="671" spans="1:11" hidden="1">
      <c r="A671" s="110"/>
      <c r="B671" s="278"/>
      <c r="C671" s="287" t="s">
        <v>42</v>
      </c>
      <c r="D671" s="179"/>
      <c r="E671" s="179"/>
      <c r="F671" s="179"/>
      <c r="G671" s="273"/>
    </row>
    <row r="672" spans="1:11" hidden="1">
      <c r="A672" s="110"/>
      <c r="B672" s="278"/>
      <c r="C672" s="287" t="s">
        <v>60</v>
      </c>
      <c r="D672" s="179"/>
      <c r="E672" s="179"/>
      <c r="F672" s="179"/>
      <c r="G672" s="273"/>
    </row>
    <row r="673" spans="1:11" ht="25.5" hidden="1">
      <c r="A673" s="110"/>
      <c r="B673" s="278"/>
      <c r="C673" s="632" t="s">
        <v>666</v>
      </c>
      <c r="D673" s="179" t="s">
        <v>77</v>
      </c>
      <c r="E673" s="281">
        <v>10.050000000000001</v>
      </c>
      <c r="F673" s="281">
        <f>'MINI SSR 2025-26'!C20</f>
        <v>331</v>
      </c>
      <c r="G673" s="173">
        <f>ROUND(E673*F673/1,2)</f>
        <v>3326.55</v>
      </c>
    </row>
    <row r="674" spans="1:11" hidden="1">
      <c r="A674" s="110"/>
      <c r="B674" s="278"/>
      <c r="C674" s="632" t="s">
        <v>664</v>
      </c>
      <c r="D674" s="179" t="s">
        <v>4</v>
      </c>
      <c r="E674" s="281">
        <v>28.8</v>
      </c>
      <c r="F674" s="281">
        <f>F652</f>
        <v>4218.8</v>
      </c>
      <c r="G674" s="173">
        <f>ROUND(E674*F674/1000,2)</f>
        <v>121.5</v>
      </c>
    </row>
    <row r="675" spans="1:11" hidden="1">
      <c r="A675" s="110"/>
      <c r="B675" s="278"/>
      <c r="C675" s="632" t="s">
        <v>92</v>
      </c>
      <c r="D675" s="179" t="s">
        <v>4</v>
      </c>
      <c r="E675" s="281">
        <v>33</v>
      </c>
      <c r="F675" s="281">
        <f>F674</f>
        <v>4218.8</v>
      </c>
      <c r="G675" s="173">
        <f>ROUND(E675*F675/1000,2)</f>
        <v>139.22</v>
      </c>
    </row>
    <row r="676" spans="1:11" hidden="1">
      <c r="A676" s="110"/>
      <c r="B676" s="278"/>
      <c r="C676" s="632" t="s">
        <v>93</v>
      </c>
      <c r="D676" s="179" t="s">
        <v>4</v>
      </c>
      <c r="E676" s="281">
        <v>6</v>
      </c>
      <c r="F676" s="281">
        <f>F675</f>
        <v>4218.8</v>
      </c>
      <c r="G676" s="173">
        <f>ROUND(E676*F676/1000,2)</f>
        <v>25.31</v>
      </c>
    </row>
    <row r="677" spans="1:11" hidden="1">
      <c r="A677" s="110"/>
      <c r="B677" s="278"/>
      <c r="C677" s="632" t="s">
        <v>665</v>
      </c>
      <c r="D677" s="179" t="s">
        <v>35</v>
      </c>
      <c r="E677" s="281">
        <v>0.12</v>
      </c>
      <c r="F677" s="281">
        <f>'lead 25-26'!L13</f>
        <v>1196.3999999999996</v>
      </c>
      <c r="G677" s="173">
        <f>ROUND(E677*F677,2)</f>
        <v>143.57</v>
      </c>
    </row>
    <row r="678" spans="1:11" hidden="1">
      <c r="A678" s="179"/>
      <c r="B678" s="179"/>
      <c r="C678" s="287" t="s">
        <v>68</v>
      </c>
      <c r="D678" s="179"/>
      <c r="E678" s="281"/>
      <c r="F678" s="281"/>
      <c r="G678" s="173"/>
    </row>
    <row r="679" spans="1:11" hidden="1">
      <c r="A679" s="179"/>
      <c r="B679" s="179"/>
      <c r="C679" s="632" t="s">
        <v>69</v>
      </c>
      <c r="D679" s="179" t="s">
        <v>27</v>
      </c>
      <c r="E679" s="281">
        <v>0.96</v>
      </c>
      <c r="F679" s="281">
        <f>'MINI SSR 2025-26'!$H$4</f>
        <v>665</v>
      </c>
      <c r="G679" s="173">
        <f>ROUND(E679*F679,2)</f>
        <v>638.4</v>
      </c>
      <c r="K679" s="20">
        <f>G679</f>
        <v>638.4</v>
      </c>
    </row>
    <row r="680" spans="1:11" hidden="1">
      <c r="A680" s="179"/>
      <c r="B680" s="179"/>
      <c r="C680" s="632" t="s">
        <v>219</v>
      </c>
      <c r="D680" s="179" t="s">
        <v>27</v>
      </c>
      <c r="E680" s="281">
        <v>2.2400000000000002</v>
      </c>
      <c r="F680" s="281">
        <f>'MINI SSR 2025-26'!$H$5</f>
        <v>615</v>
      </c>
      <c r="G680" s="173">
        <f>ROUND(E680*F680,2)</f>
        <v>1377.6</v>
      </c>
      <c r="K680" s="20">
        <f>G680</f>
        <v>1377.6</v>
      </c>
    </row>
    <row r="681" spans="1:11" hidden="1">
      <c r="A681" s="179"/>
      <c r="B681" s="179"/>
      <c r="C681" s="632" t="s">
        <v>85</v>
      </c>
      <c r="D681" s="179" t="s">
        <v>27</v>
      </c>
      <c r="E681" s="281">
        <v>3.3</v>
      </c>
      <c r="F681" s="281">
        <f>'MINI SSR 2025-26'!$H$5</f>
        <v>615</v>
      </c>
      <c r="G681" s="173">
        <f>ROUND(E681*F681,2)</f>
        <v>2029.5</v>
      </c>
      <c r="K681" s="20">
        <f>G681</f>
        <v>2029.5</v>
      </c>
    </row>
    <row r="682" spans="1:11" hidden="1">
      <c r="A682" s="179"/>
      <c r="B682" s="179"/>
      <c r="C682" s="287" t="s">
        <v>88</v>
      </c>
      <c r="D682" s="179"/>
      <c r="E682" s="179"/>
      <c r="F682" s="179"/>
      <c r="G682" s="282">
        <f>SUM(G673:G681)</f>
        <v>7801.65</v>
      </c>
      <c r="K682" s="280">
        <f>SUM(K679:K681)</f>
        <v>4045.5</v>
      </c>
    </row>
    <row r="683" spans="1:11" hidden="1">
      <c r="A683" s="179"/>
      <c r="B683" s="179"/>
      <c r="C683" s="287"/>
      <c r="D683" s="179"/>
      <c r="E683" s="278" t="s">
        <v>163</v>
      </c>
      <c r="F683" s="278" t="s">
        <v>164</v>
      </c>
      <c r="G683" s="285" t="s">
        <v>165</v>
      </c>
      <c r="H683" s="10"/>
    </row>
    <row r="684" spans="1:11" hidden="1">
      <c r="A684" s="179"/>
      <c r="B684" s="179"/>
      <c r="C684" s="287" t="s">
        <v>1076</v>
      </c>
      <c r="D684" s="179"/>
      <c r="E684" s="281">
        <f>G682</f>
        <v>7801.65</v>
      </c>
      <c r="F684" s="281">
        <f>G682</f>
        <v>7801.65</v>
      </c>
      <c r="G684" s="273">
        <f>G682</f>
        <v>7801.65</v>
      </c>
      <c r="H684" s="10"/>
    </row>
    <row r="685" spans="1:11" ht="25.5" hidden="1">
      <c r="A685" s="179"/>
      <c r="B685" s="179"/>
      <c r="C685" s="632" t="s">
        <v>1087</v>
      </c>
      <c r="D685" s="179"/>
      <c r="E685" s="281"/>
      <c r="F685" s="273">
        <f>ROUND((G680+G679+G681)*0.1,2)</f>
        <v>404.55</v>
      </c>
      <c r="G685" s="273">
        <f>ROUND((G681+G679+G680)*0.2,2)</f>
        <v>809.1</v>
      </c>
      <c r="H685" s="10"/>
    </row>
    <row r="686" spans="1:11" hidden="1">
      <c r="A686" s="179"/>
      <c r="B686" s="179"/>
      <c r="C686" s="287" t="s">
        <v>88</v>
      </c>
      <c r="D686" s="179"/>
      <c r="E686" s="281">
        <f>SUM(E684:E685)</f>
        <v>7801.65</v>
      </c>
      <c r="F686" s="281">
        <f>SUM(F684:F685)</f>
        <v>8206.1999999999989</v>
      </c>
      <c r="G686" s="273">
        <f>SUM(G684:G685)</f>
        <v>8610.75</v>
      </c>
      <c r="H686" s="10"/>
    </row>
    <row r="687" spans="1:11" hidden="1">
      <c r="A687" s="179"/>
      <c r="B687" s="179"/>
      <c r="C687" s="287" t="s">
        <v>119</v>
      </c>
      <c r="D687" s="179"/>
      <c r="E687" s="285">
        <f>ROUND(E686/10,2)</f>
        <v>780.17</v>
      </c>
      <c r="F687" s="285">
        <f>ROUND(F686/10,2)</f>
        <v>820.62</v>
      </c>
      <c r="G687" s="282">
        <f>ROUND(G686/10,2)</f>
        <v>861.08</v>
      </c>
      <c r="H687" s="228"/>
    </row>
    <row r="688" spans="1:11" ht="127.5" hidden="1">
      <c r="A688" s="110">
        <v>44</v>
      </c>
      <c r="B688" s="278" t="s">
        <v>200</v>
      </c>
      <c r="C688" s="632" t="s">
        <v>668</v>
      </c>
      <c r="D688" s="179"/>
      <c r="E688" s="179"/>
      <c r="F688" s="179"/>
      <c r="G688" s="278"/>
      <c r="H688" s="10"/>
    </row>
    <row r="689" spans="1:8" hidden="1">
      <c r="A689" s="110"/>
      <c r="B689" s="278"/>
      <c r="C689" s="287" t="s">
        <v>42</v>
      </c>
      <c r="D689" s="179"/>
      <c r="E689" s="179"/>
      <c r="F689" s="179"/>
      <c r="G689" s="273"/>
      <c r="H689" s="10"/>
    </row>
    <row r="690" spans="1:8" hidden="1">
      <c r="A690" s="110"/>
      <c r="B690" s="278"/>
      <c r="C690" s="287" t="s">
        <v>60</v>
      </c>
      <c r="D690" s="179"/>
      <c r="E690" s="179"/>
      <c r="F690" s="179"/>
      <c r="G690" s="273"/>
      <c r="H690" s="10"/>
    </row>
    <row r="691" spans="1:8" ht="25.5" hidden="1">
      <c r="A691" s="110"/>
      <c r="B691" s="278"/>
      <c r="C691" s="632" t="s">
        <v>666</v>
      </c>
      <c r="D691" s="179" t="s">
        <v>77</v>
      </c>
      <c r="E691" s="281">
        <v>10.1</v>
      </c>
      <c r="F691" s="281">
        <f>'MINI SSR 2025-26'!C20</f>
        <v>331</v>
      </c>
      <c r="G691" s="173">
        <f>ROUND(E691*F691/1,2)</f>
        <v>3343.1</v>
      </c>
      <c r="H691" s="10"/>
    </row>
    <row r="692" spans="1:8" hidden="1">
      <c r="A692" s="110"/>
      <c r="B692" s="278"/>
      <c r="C692" s="632" t="s">
        <v>201</v>
      </c>
      <c r="D692" s="179" t="s">
        <v>35</v>
      </c>
      <c r="E692" s="281">
        <v>0.12</v>
      </c>
      <c r="F692" s="281">
        <f>F677</f>
        <v>1196.3999999999996</v>
      </c>
      <c r="G692" s="173">
        <f>ROUND(E692*F692,2)</f>
        <v>143.57</v>
      </c>
      <c r="H692" s="10"/>
    </row>
    <row r="693" spans="1:8" hidden="1">
      <c r="A693" s="110"/>
      <c r="B693" s="278"/>
      <c r="C693" s="632" t="s">
        <v>202</v>
      </c>
      <c r="D693" s="179" t="s">
        <v>4</v>
      </c>
      <c r="E693" s="281">
        <v>34.56</v>
      </c>
      <c r="F693" s="281">
        <f>F674</f>
        <v>4218.8</v>
      </c>
      <c r="G693" s="173">
        <f>ROUND(E693*F693/1000,2)</f>
        <v>145.80000000000001</v>
      </c>
      <c r="H693" s="10"/>
    </row>
    <row r="694" spans="1:8" hidden="1">
      <c r="A694" s="110"/>
      <c r="B694" s="278"/>
      <c r="C694" s="632" t="s">
        <v>203</v>
      </c>
      <c r="D694" s="179" t="s">
        <v>4</v>
      </c>
      <c r="E694" s="281">
        <v>33</v>
      </c>
      <c r="F694" s="281">
        <f>F693</f>
        <v>4218.8</v>
      </c>
      <c r="G694" s="173">
        <f>ROUND(E694*F694/1000,2)</f>
        <v>139.22</v>
      </c>
      <c r="H694" s="10"/>
    </row>
    <row r="695" spans="1:8" hidden="1">
      <c r="A695" s="110"/>
      <c r="B695" s="278"/>
      <c r="C695" s="632" t="s">
        <v>205</v>
      </c>
      <c r="D695" s="179" t="s">
        <v>4</v>
      </c>
      <c r="E695" s="281">
        <v>2</v>
      </c>
      <c r="F695" s="281">
        <f>'MINI SSR 2025-26'!C45</f>
        <v>34</v>
      </c>
      <c r="G695" s="173">
        <f>ROUND(E695*F695,2)</f>
        <v>68</v>
      </c>
      <c r="H695" s="10"/>
    </row>
    <row r="696" spans="1:8" hidden="1">
      <c r="A696" s="179"/>
      <c r="B696" s="179"/>
      <c r="C696" s="287" t="s">
        <v>68</v>
      </c>
      <c r="D696" s="179"/>
      <c r="E696" s="281"/>
      <c r="F696" s="281"/>
      <c r="G696" s="173"/>
      <c r="H696" s="10"/>
    </row>
    <row r="697" spans="1:8" hidden="1">
      <c r="A697" s="179"/>
      <c r="B697" s="179"/>
      <c r="C697" s="632" t="s">
        <v>64</v>
      </c>
      <c r="D697" s="179" t="s">
        <v>27</v>
      </c>
      <c r="E697" s="281">
        <v>0.96</v>
      </c>
      <c r="F697" s="281">
        <f>'MINI SSR 2025-26'!$H$3</f>
        <v>735</v>
      </c>
      <c r="G697" s="173">
        <f>ROUND(E697*F697,2)</f>
        <v>705.6</v>
      </c>
      <c r="H697" s="10"/>
    </row>
    <row r="698" spans="1:8" hidden="1">
      <c r="A698" s="179"/>
      <c r="B698" s="179"/>
      <c r="C698" s="632" t="s">
        <v>69</v>
      </c>
      <c r="D698" s="179" t="s">
        <v>27</v>
      </c>
      <c r="E698" s="281">
        <v>2.2400000000000002</v>
      </c>
      <c r="F698" s="281">
        <f>'MINI SSR 2025-26'!$H$4</f>
        <v>665</v>
      </c>
      <c r="G698" s="173">
        <f>ROUND(E698*F698,2)</f>
        <v>1489.6</v>
      </c>
      <c r="H698" s="10"/>
    </row>
    <row r="699" spans="1:8" hidden="1">
      <c r="A699" s="179"/>
      <c r="B699" s="179"/>
      <c r="C699" s="632" t="s">
        <v>85</v>
      </c>
      <c r="D699" s="179" t="s">
        <v>27</v>
      </c>
      <c r="E699" s="281">
        <v>3.3</v>
      </c>
      <c r="F699" s="281">
        <f>'MINI SSR 2025-26'!$H$5</f>
        <v>615</v>
      </c>
      <c r="G699" s="173">
        <f>ROUND(E699*F699,2)</f>
        <v>2029.5</v>
      </c>
      <c r="H699" s="10"/>
    </row>
    <row r="700" spans="1:8" hidden="1">
      <c r="A700" s="179"/>
      <c r="B700" s="179"/>
      <c r="C700" s="287" t="s">
        <v>88</v>
      </c>
      <c r="D700" s="179"/>
      <c r="E700" s="179"/>
      <c r="F700" s="179"/>
      <c r="G700" s="282">
        <f>SUM(G691:G699)</f>
        <v>8064.3899999999994</v>
      </c>
      <c r="H700" s="10"/>
    </row>
    <row r="701" spans="1:8" hidden="1">
      <c r="A701" s="179"/>
      <c r="B701" s="179"/>
      <c r="C701" s="287"/>
      <c r="D701" s="179"/>
      <c r="E701" s="278" t="s">
        <v>163</v>
      </c>
      <c r="F701" s="278" t="s">
        <v>164</v>
      </c>
      <c r="G701" s="285" t="s">
        <v>165</v>
      </c>
      <c r="H701" s="10"/>
    </row>
    <row r="702" spans="1:8" hidden="1">
      <c r="A702" s="179"/>
      <c r="B702" s="179"/>
      <c r="C702" s="287" t="s">
        <v>1077</v>
      </c>
      <c r="D702" s="179"/>
      <c r="E702" s="281">
        <f>G700</f>
        <v>8064.3899999999994</v>
      </c>
      <c r="F702" s="281">
        <f>G700</f>
        <v>8064.3899999999994</v>
      </c>
      <c r="G702" s="273">
        <f>G700</f>
        <v>8064.3899999999994</v>
      </c>
      <c r="H702" s="10"/>
    </row>
    <row r="703" spans="1:8" ht="25.5" hidden="1">
      <c r="A703" s="179"/>
      <c r="B703" s="179"/>
      <c r="C703" s="632" t="s">
        <v>172</v>
      </c>
      <c r="D703" s="179"/>
      <c r="E703" s="281"/>
      <c r="F703" s="273">
        <f>ROUND((G698+G697+G699)*0.1,2)</f>
        <v>422.47</v>
      </c>
      <c r="G703" s="273">
        <f>ROUND((G699+G697+G698)*0.2,2)</f>
        <v>844.94</v>
      </c>
      <c r="H703" s="10"/>
    </row>
    <row r="704" spans="1:8" hidden="1">
      <c r="A704" s="179"/>
      <c r="B704" s="179"/>
      <c r="C704" s="287" t="s">
        <v>195</v>
      </c>
      <c r="D704" s="179"/>
      <c r="E704" s="281">
        <f>SUM(E702:E703)</f>
        <v>8064.3899999999994</v>
      </c>
      <c r="F704" s="281">
        <f>SUM(F702:F703)</f>
        <v>8486.8599999999988</v>
      </c>
      <c r="G704" s="273">
        <f>SUM(G702:G703)</f>
        <v>8909.33</v>
      </c>
      <c r="H704" s="10"/>
    </row>
    <row r="705" spans="1:8" hidden="1">
      <c r="A705" s="179"/>
      <c r="B705" s="179"/>
      <c r="C705" s="287" t="s">
        <v>183</v>
      </c>
      <c r="D705" s="179"/>
      <c r="E705" s="285">
        <f>ROUND(E704/10,2)</f>
        <v>806.44</v>
      </c>
      <c r="F705" s="285">
        <f>ROUND(F704/10,2)</f>
        <v>848.69</v>
      </c>
      <c r="G705" s="282">
        <f>ROUND(G704/10,2)</f>
        <v>890.93</v>
      </c>
      <c r="H705" s="228"/>
    </row>
    <row r="706" spans="1:8" s="763" customFormat="1" ht="165.75">
      <c r="A706" s="757">
        <v>19</v>
      </c>
      <c r="B706" s="819" t="s">
        <v>196</v>
      </c>
      <c r="C706" s="758" t="s">
        <v>212</v>
      </c>
      <c r="D706" s="820"/>
      <c r="E706" s="820"/>
      <c r="F706" s="820"/>
      <c r="G706" s="819"/>
    </row>
    <row r="707" spans="1:8" s="763" customFormat="1">
      <c r="A707" s="757"/>
      <c r="B707" s="819"/>
      <c r="C707" s="785" t="s">
        <v>42</v>
      </c>
      <c r="D707" s="820"/>
      <c r="E707" s="820"/>
      <c r="F707" s="820"/>
      <c r="G707" s="825"/>
    </row>
    <row r="708" spans="1:8" s="763" customFormat="1">
      <c r="A708" s="757"/>
      <c r="B708" s="819"/>
      <c r="C708" s="785" t="s">
        <v>60</v>
      </c>
      <c r="D708" s="820"/>
      <c r="E708" s="820"/>
      <c r="F708" s="820"/>
      <c r="G708" s="825"/>
    </row>
    <row r="709" spans="1:8" s="763" customFormat="1">
      <c r="A709" s="757"/>
      <c r="B709" s="819"/>
      <c r="C709" s="758" t="s">
        <v>204</v>
      </c>
      <c r="D709" s="820" t="s">
        <v>77</v>
      </c>
      <c r="E709" s="823">
        <v>10.1</v>
      </c>
      <c r="F709" s="823">
        <f>'MINI SSR 2025-26'!C21</f>
        <v>625</v>
      </c>
      <c r="G709" s="824">
        <f>ROUND(E709*F709,2)</f>
        <v>6312.5</v>
      </c>
    </row>
    <row r="710" spans="1:8" s="763" customFormat="1">
      <c r="A710" s="757"/>
      <c r="B710" s="819"/>
      <c r="C710" s="758" t="s">
        <v>91</v>
      </c>
      <c r="D710" s="820" t="s">
        <v>4</v>
      </c>
      <c r="E710" s="823">
        <v>21.6</v>
      </c>
      <c r="F710" s="823">
        <f>'lead 25-26'!L8</f>
        <v>4218.8</v>
      </c>
      <c r="G710" s="824">
        <f>ROUND(E710*F710/1000,2)</f>
        <v>91.13</v>
      </c>
    </row>
    <row r="711" spans="1:8" s="763" customFormat="1">
      <c r="A711" s="757"/>
      <c r="B711" s="819"/>
      <c r="C711" s="758" t="s">
        <v>92</v>
      </c>
      <c r="D711" s="820" t="s">
        <v>4</v>
      </c>
      <c r="E711" s="823">
        <v>33</v>
      </c>
      <c r="F711" s="823">
        <f>F710</f>
        <v>4218.8</v>
      </c>
      <c r="G711" s="824">
        <f>ROUND(E711*F711/1000,2)</f>
        <v>139.22</v>
      </c>
    </row>
    <row r="712" spans="1:8" s="763" customFormat="1">
      <c r="A712" s="757"/>
      <c r="B712" s="819"/>
      <c r="C712" s="758" t="s">
        <v>197</v>
      </c>
      <c r="D712" s="820" t="s">
        <v>4</v>
      </c>
      <c r="E712" s="823">
        <v>6</v>
      </c>
      <c r="F712" s="823">
        <f>F711</f>
        <v>4218.8</v>
      </c>
      <c r="G712" s="824">
        <f>ROUND(E712*F712/1000,2)</f>
        <v>25.31</v>
      </c>
    </row>
    <row r="713" spans="1:8" s="763" customFormat="1">
      <c r="A713" s="757"/>
      <c r="B713" s="819"/>
      <c r="C713" s="758" t="s">
        <v>198</v>
      </c>
      <c r="D713" s="820" t="s">
        <v>35</v>
      </c>
      <c r="E713" s="823">
        <v>0.12</v>
      </c>
      <c r="F713" s="823">
        <f>'lead 25-26'!L13</f>
        <v>1196.3999999999996</v>
      </c>
      <c r="G713" s="824">
        <f>ROUND(E713*F713,2)</f>
        <v>143.57</v>
      </c>
    </row>
    <row r="714" spans="1:8" s="763" customFormat="1">
      <c r="A714" s="757"/>
      <c r="B714" s="819"/>
      <c r="C714" s="758" t="s">
        <v>199</v>
      </c>
      <c r="D714" s="820" t="s">
        <v>35</v>
      </c>
      <c r="E714" s="823">
        <v>0.02</v>
      </c>
      <c r="F714" s="823">
        <f>F713</f>
        <v>1196.3999999999996</v>
      </c>
      <c r="G714" s="824">
        <f>ROUND(E714*F714,2)</f>
        <v>23.93</v>
      </c>
    </row>
    <row r="715" spans="1:8" s="763" customFormat="1">
      <c r="A715" s="820"/>
      <c r="B715" s="820"/>
      <c r="C715" s="785" t="s">
        <v>68</v>
      </c>
      <c r="D715" s="820"/>
      <c r="E715" s="823"/>
      <c r="F715" s="823"/>
      <c r="G715" s="824"/>
    </row>
    <row r="716" spans="1:8" s="763" customFormat="1">
      <c r="A716" s="820"/>
      <c r="B716" s="820"/>
      <c r="C716" s="758" t="s">
        <v>64</v>
      </c>
      <c r="D716" s="820" t="s">
        <v>27</v>
      </c>
      <c r="E716" s="823">
        <v>0.96</v>
      </c>
      <c r="F716" s="823">
        <f>'MINI SSR 2025-26'!$H$3</f>
        <v>735</v>
      </c>
      <c r="G716" s="824">
        <f>ROUND(E716*F716,2)</f>
        <v>705.6</v>
      </c>
    </row>
    <row r="717" spans="1:8" s="763" customFormat="1">
      <c r="A717" s="820"/>
      <c r="B717" s="820"/>
      <c r="C717" s="758" t="s">
        <v>69</v>
      </c>
      <c r="D717" s="820" t="s">
        <v>27</v>
      </c>
      <c r="E717" s="823">
        <v>2.2400000000000002</v>
      </c>
      <c r="F717" s="823">
        <f>'MINI SSR 2025-26'!$H$4</f>
        <v>665</v>
      </c>
      <c r="G717" s="824">
        <f>ROUND(E717*F717,2)</f>
        <v>1489.6</v>
      </c>
    </row>
    <row r="718" spans="1:8" s="763" customFormat="1">
      <c r="A718" s="820"/>
      <c r="B718" s="820"/>
      <c r="C718" s="758" t="s">
        <v>85</v>
      </c>
      <c r="D718" s="820" t="s">
        <v>27</v>
      </c>
      <c r="E718" s="823">
        <v>3.3</v>
      </c>
      <c r="F718" s="823">
        <f>'MINI SSR 2025-26'!$H$5</f>
        <v>615</v>
      </c>
      <c r="G718" s="824">
        <f>ROUND(E718*F718,2)</f>
        <v>2029.5</v>
      </c>
    </row>
    <row r="719" spans="1:8" s="763" customFormat="1">
      <c r="A719" s="820"/>
      <c r="B719" s="820"/>
      <c r="C719" s="758" t="s">
        <v>996</v>
      </c>
      <c r="D719" s="820"/>
      <c r="E719" s="823">
        <v>0.01</v>
      </c>
      <c r="F719" s="823">
        <f>SUM(G709:G718)</f>
        <v>10960.36</v>
      </c>
      <c r="G719" s="824">
        <f>ROUND(E719*F719,2)</f>
        <v>109.6</v>
      </c>
    </row>
    <row r="720" spans="1:8" s="763" customFormat="1">
      <c r="A720" s="820"/>
      <c r="B720" s="820"/>
      <c r="C720" s="785" t="s">
        <v>88</v>
      </c>
      <c r="D720" s="820"/>
      <c r="E720" s="820"/>
      <c r="F720" s="820"/>
      <c r="G720" s="828">
        <f>SUM(G709:G719)</f>
        <v>11069.960000000001</v>
      </c>
    </row>
    <row r="721" spans="1:8" s="763" customFormat="1">
      <c r="A721" s="820"/>
      <c r="B721" s="820"/>
      <c r="C721" s="785"/>
      <c r="D721" s="820"/>
      <c r="E721" s="819" t="s">
        <v>163</v>
      </c>
      <c r="F721" s="819" t="s">
        <v>164</v>
      </c>
      <c r="G721" s="831" t="s">
        <v>165</v>
      </c>
    </row>
    <row r="722" spans="1:8" s="763" customFormat="1">
      <c r="A722" s="820"/>
      <c r="B722" s="820"/>
      <c r="C722" s="785" t="s">
        <v>1077</v>
      </c>
      <c r="D722" s="820"/>
      <c r="E722" s="823">
        <f>G720</f>
        <v>11069.960000000001</v>
      </c>
      <c r="F722" s="823">
        <f>G720</f>
        <v>11069.960000000001</v>
      </c>
      <c r="G722" s="825">
        <f>G720</f>
        <v>11069.960000000001</v>
      </c>
    </row>
    <row r="723" spans="1:8" s="763" customFormat="1" ht="25.5">
      <c r="A723" s="820"/>
      <c r="B723" s="820"/>
      <c r="C723" s="758" t="s">
        <v>172</v>
      </c>
      <c r="D723" s="820"/>
      <c r="E723" s="820"/>
      <c r="F723" s="823">
        <f>ROUND((G716+G717+G718)*0.1,2)</f>
        <v>422.47</v>
      </c>
      <c r="G723" s="832">
        <f>ROUND((G716+G717+G718)*0.2,2)</f>
        <v>844.94</v>
      </c>
    </row>
    <row r="724" spans="1:8" s="763" customFormat="1">
      <c r="A724" s="820"/>
      <c r="B724" s="820"/>
      <c r="C724" s="758" t="s">
        <v>2213</v>
      </c>
      <c r="D724" s="820"/>
      <c r="E724" s="823">
        <f>ROUND(SUM(E722:E723)*$H$3,2)</f>
        <v>1507.18</v>
      </c>
      <c r="F724" s="823">
        <f>ROUND(SUM(F722:F723)*$H$3,2)</f>
        <v>1564.69</v>
      </c>
      <c r="G724" s="823">
        <f>ROUND(SUM(G722:G723)*$H$3,2)</f>
        <v>1622.21</v>
      </c>
    </row>
    <row r="725" spans="1:8" s="763" customFormat="1">
      <c r="A725" s="820"/>
      <c r="B725" s="820"/>
      <c r="C725" s="785" t="s">
        <v>195</v>
      </c>
      <c r="D725" s="820"/>
      <c r="E725" s="831">
        <f>SUM(E722:E724)</f>
        <v>12577.140000000001</v>
      </c>
      <c r="F725" s="831">
        <f>SUM(F722:F724)</f>
        <v>13057.12</v>
      </c>
      <c r="G725" s="831">
        <f>SUM(G722:G724)</f>
        <v>13537.11</v>
      </c>
    </row>
    <row r="726" spans="1:8" s="763" customFormat="1">
      <c r="A726" s="820"/>
      <c r="B726" s="820"/>
      <c r="C726" s="785" t="s">
        <v>183</v>
      </c>
      <c r="D726" s="820"/>
      <c r="E726" s="831">
        <f>ROUND(E725/10,2)</f>
        <v>1257.71</v>
      </c>
      <c r="F726" s="831">
        <f>ROUND(F725/10,2)</f>
        <v>1305.71</v>
      </c>
      <c r="G726" s="828">
        <f>ROUND(G725/10,2)</f>
        <v>1353.71</v>
      </c>
      <c r="H726" s="835"/>
    </row>
    <row r="727" spans="1:8" s="763" customFormat="1" ht="127.5">
      <c r="A727" s="757">
        <v>20</v>
      </c>
      <c r="B727" s="819" t="s">
        <v>200</v>
      </c>
      <c r="C727" s="758" t="s">
        <v>213</v>
      </c>
      <c r="D727" s="820"/>
      <c r="E727" s="820"/>
      <c r="F727" s="820"/>
      <c r="G727" s="819"/>
    </row>
    <row r="728" spans="1:8" s="763" customFormat="1">
      <c r="A728" s="757"/>
      <c r="B728" s="819"/>
      <c r="C728" s="785" t="s">
        <v>42</v>
      </c>
      <c r="D728" s="820"/>
      <c r="E728" s="820"/>
      <c r="F728" s="820"/>
      <c r="G728" s="825"/>
    </row>
    <row r="729" spans="1:8" s="763" customFormat="1">
      <c r="A729" s="757"/>
      <c r="B729" s="819"/>
      <c r="C729" s="785" t="s">
        <v>60</v>
      </c>
      <c r="D729" s="820"/>
      <c r="E729" s="820"/>
      <c r="F729" s="820"/>
      <c r="G729" s="825"/>
    </row>
    <row r="730" spans="1:8" s="763" customFormat="1">
      <c r="A730" s="757"/>
      <c r="B730" s="819"/>
      <c r="C730" s="758" t="s">
        <v>204</v>
      </c>
      <c r="D730" s="820" t="s">
        <v>77</v>
      </c>
      <c r="E730" s="823">
        <v>10.1</v>
      </c>
      <c r="F730" s="823">
        <f>'MINI SSR 2025-26'!C21</f>
        <v>625</v>
      </c>
      <c r="G730" s="824">
        <f>ROUND(E730*F730,2)</f>
        <v>6312.5</v>
      </c>
    </row>
    <row r="731" spans="1:8" s="763" customFormat="1">
      <c r="A731" s="757"/>
      <c r="B731" s="819"/>
      <c r="C731" s="758" t="s">
        <v>201</v>
      </c>
      <c r="D731" s="820" t="s">
        <v>35</v>
      </c>
      <c r="E731" s="823">
        <v>0.12</v>
      </c>
      <c r="F731" s="823">
        <f>'lead 25-26'!L13</f>
        <v>1196.3999999999996</v>
      </c>
      <c r="G731" s="824">
        <f>ROUND(E731*F731,2)</f>
        <v>143.57</v>
      </c>
    </row>
    <row r="732" spans="1:8" s="763" customFormat="1">
      <c r="A732" s="757"/>
      <c r="B732" s="819"/>
      <c r="C732" s="758" t="s">
        <v>202</v>
      </c>
      <c r="D732" s="820" t="s">
        <v>4</v>
      </c>
      <c r="E732" s="823">
        <v>34.56</v>
      </c>
      <c r="F732" s="823">
        <f>'lead 25-26'!L8</f>
        <v>4218.8</v>
      </c>
      <c r="G732" s="824">
        <f>ROUND(E732*F732/1000,2)</f>
        <v>145.80000000000001</v>
      </c>
    </row>
    <row r="733" spans="1:8" s="763" customFormat="1">
      <c r="A733" s="757"/>
      <c r="B733" s="819"/>
      <c r="C733" s="758" t="s">
        <v>203</v>
      </c>
      <c r="D733" s="820" t="s">
        <v>4</v>
      </c>
      <c r="E733" s="823">
        <v>33</v>
      </c>
      <c r="F733" s="823">
        <f>F732</f>
        <v>4218.8</v>
      </c>
      <c r="G733" s="824">
        <f>ROUND(E733*F733/1000,2)</f>
        <v>139.22</v>
      </c>
    </row>
    <row r="734" spans="1:8" s="763" customFormat="1">
      <c r="A734" s="757"/>
      <c r="B734" s="819"/>
      <c r="C734" s="758" t="s">
        <v>205</v>
      </c>
      <c r="D734" s="820" t="s">
        <v>4</v>
      </c>
      <c r="E734" s="823">
        <v>2</v>
      </c>
      <c r="F734" s="823">
        <f>'MINI SSR 2025-26'!C45</f>
        <v>34</v>
      </c>
      <c r="G734" s="824">
        <f>ROUND(E734*F734,2)</f>
        <v>68</v>
      </c>
    </row>
    <row r="735" spans="1:8" s="763" customFormat="1">
      <c r="A735" s="820"/>
      <c r="B735" s="820"/>
      <c r="C735" s="785" t="s">
        <v>68</v>
      </c>
      <c r="D735" s="820"/>
      <c r="E735" s="823"/>
      <c r="F735" s="823"/>
      <c r="G735" s="824"/>
    </row>
    <row r="736" spans="1:8" s="763" customFormat="1">
      <c r="A736" s="820"/>
      <c r="B736" s="820"/>
      <c r="C736" s="758" t="s">
        <v>64</v>
      </c>
      <c r="D736" s="820" t="s">
        <v>27</v>
      </c>
      <c r="E736" s="823">
        <v>0.96</v>
      </c>
      <c r="F736" s="823">
        <f>'MINI SSR 2025-26'!$H$3</f>
        <v>735</v>
      </c>
      <c r="G736" s="824">
        <f>ROUND(E736*F736,2)</f>
        <v>705.6</v>
      </c>
    </row>
    <row r="737" spans="1:8" s="763" customFormat="1">
      <c r="A737" s="820"/>
      <c r="B737" s="820"/>
      <c r="C737" s="758" t="s">
        <v>69</v>
      </c>
      <c r="D737" s="820" t="s">
        <v>27</v>
      </c>
      <c r="E737" s="823">
        <v>2.2400000000000002</v>
      </c>
      <c r="F737" s="823">
        <f>'MINI SSR 2025-26'!$H$4</f>
        <v>665</v>
      </c>
      <c r="G737" s="824">
        <f>ROUND(E737*F737,2)</f>
        <v>1489.6</v>
      </c>
    </row>
    <row r="738" spans="1:8" s="763" customFormat="1">
      <c r="A738" s="820"/>
      <c r="B738" s="820"/>
      <c r="C738" s="758" t="s">
        <v>85</v>
      </c>
      <c r="D738" s="820" t="s">
        <v>27</v>
      </c>
      <c r="E738" s="823">
        <v>3.3</v>
      </c>
      <c r="F738" s="823">
        <f>'MINI SSR 2025-26'!$H$5</f>
        <v>615</v>
      </c>
      <c r="G738" s="824">
        <f>ROUND(E738*F738,2)</f>
        <v>2029.5</v>
      </c>
    </row>
    <row r="739" spans="1:8" s="763" customFormat="1">
      <c r="A739" s="820"/>
      <c r="B739" s="820"/>
      <c r="C739" s="785" t="s">
        <v>88</v>
      </c>
      <c r="D739" s="820"/>
      <c r="E739" s="820"/>
      <c r="F739" s="820"/>
      <c r="G739" s="828">
        <f>SUM(G730:G738)</f>
        <v>11033.79</v>
      </c>
    </row>
    <row r="740" spans="1:8" s="763" customFormat="1">
      <c r="A740" s="820"/>
      <c r="B740" s="820"/>
      <c r="C740" s="785"/>
      <c r="D740" s="820"/>
      <c r="E740" s="819" t="s">
        <v>163</v>
      </c>
      <c r="F740" s="819" t="s">
        <v>164</v>
      </c>
      <c r="G740" s="831" t="s">
        <v>165</v>
      </c>
    </row>
    <row r="741" spans="1:8" s="763" customFormat="1">
      <c r="A741" s="820"/>
      <c r="B741" s="820"/>
      <c r="C741" s="785" t="s">
        <v>1077</v>
      </c>
      <c r="D741" s="820"/>
      <c r="E741" s="823">
        <f>G739</f>
        <v>11033.79</v>
      </c>
      <c r="F741" s="823">
        <f>G739</f>
        <v>11033.79</v>
      </c>
      <c r="G741" s="825">
        <f>G739</f>
        <v>11033.79</v>
      </c>
    </row>
    <row r="742" spans="1:8" s="763" customFormat="1" ht="25.5">
      <c r="A742" s="820"/>
      <c r="B742" s="820"/>
      <c r="C742" s="758" t="s">
        <v>172</v>
      </c>
      <c r="D742" s="820"/>
      <c r="E742" s="820"/>
      <c r="F742" s="823">
        <f>ROUND((G736+G737+G738)*0.1,2)</f>
        <v>422.47</v>
      </c>
      <c r="G742" s="832">
        <f>ROUND((G736+G737+G738)*0.2,2)</f>
        <v>844.94</v>
      </c>
    </row>
    <row r="743" spans="1:8" s="763" customFormat="1">
      <c r="A743" s="820"/>
      <c r="B743" s="820"/>
      <c r="C743" s="758" t="s">
        <v>2213</v>
      </c>
      <c r="D743" s="820"/>
      <c r="E743" s="823">
        <f>ROUND(SUM(E741:E742)*$H$3,2)</f>
        <v>1502.25</v>
      </c>
      <c r="F743" s="823">
        <f>ROUND(SUM(F741:F742)*$H$3,2)</f>
        <v>1559.77</v>
      </c>
      <c r="G743" s="823">
        <f>ROUND(SUM(G741:G742)*$H$3,2)</f>
        <v>1617.29</v>
      </c>
    </row>
    <row r="744" spans="1:8" s="763" customFormat="1">
      <c r="A744" s="820"/>
      <c r="B744" s="820"/>
      <c r="C744" s="785" t="s">
        <v>195</v>
      </c>
      <c r="D744" s="820"/>
      <c r="E744" s="831">
        <f>SUM(E741:E743)</f>
        <v>12536.04</v>
      </c>
      <c r="F744" s="831">
        <f>SUM(F741:F743)</f>
        <v>13016.03</v>
      </c>
      <c r="G744" s="831">
        <f>SUM(G741:G743)</f>
        <v>13496.02</v>
      </c>
    </row>
    <row r="745" spans="1:8" s="763" customFormat="1">
      <c r="A745" s="820"/>
      <c r="B745" s="820"/>
      <c r="C745" s="785" t="s">
        <v>183</v>
      </c>
      <c r="D745" s="820"/>
      <c r="E745" s="831">
        <f>ROUND(E744/10,2)</f>
        <v>1253.5999999999999</v>
      </c>
      <c r="F745" s="831">
        <f>ROUND(F744/10,2)</f>
        <v>1301.5999999999999</v>
      </c>
      <c r="G745" s="828">
        <f>ROUND(G744/10,2)</f>
        <v>1349.6</v>
      </c>
      <c r="H745" s="835"/>
    </row>
    <row r="746" spans="1:8" s="763" customFormat="1" ht="140.25">
      <c r="A746" s="757">
        <v>21</v>
      </c>
      <c r="B746" s="819" t="s">
        <v>206</v>
      </c>
      <c r="C746" s="758" t="s">
        <v>211</v>
      </c>
      <c r="D746" s="820"/>
      <c r="E746" s="820"/>
      <c r="F746" s="820"/>
      <c r="G746" s="819"/>
    </row>
    <row r="747" spans="1:8" s="763" customFormat="1">
      <c r="A747" s="757"/>
      <c r="B747" s="819"/>
      <c r="C747" s="785" t="s">
        <v>42</v>
      </c>
      <c r="D747" s="820"/>
      <c r="E747" s="820"/>
      <c r="F747" s="820"/>
      <c r="G747" s="825"/>
    </row>
    <row r="748" spans="1:8" s="763" customFormat="1">
      <c r="A748" s="757"/>
      <c r="B748" s="819"/>
      <c r="C748" s="785" t="s">
        <v>60</v>
      </c>
      <c r="D748" s="820"/>
      <c r="E748" s="820"/>
      <c r="F748" s="820"/>
      <c r="G748" s="825"/>
    </row>
    <row r="749" spans="1:8" s="763" customFormat="1">
      <c r="A749" s="757"/>
      <c r="B749" s="819"/>
      <c r="C749" s="758" t="s">
        <v>1558</v>
      </c>
      <c r="D749" s="820" t="s">
        <v>77</v>
      </c>
      <c r="E749" s="823">
        <v>10.1</v>
      </c>
      <c r="F749" s="823">
        <f>'MINI SSR 2025-26'!C22</f>
        <v>396.4</v>
      </c>
      <c r="G749" s="824">
        <f>ROUND(E749*F749,2)</f>
        <v>4003.64</v>
      </c>
    </row>
    <row r="750" spans="1:8" s="763" customFormat="1">
      <c r="A750" s="757"/>
      <c r="B750" s="819"/>
      <c r="C750" s="758" t="s">
        <v>91</v>
      </c>
      <c r="D750" s="820" t="s">
        <v>4</v>
      </c>
      <c r="E750" s="823">
        <v>21.6</v>
      </c>
      <c r="F750" s="823">
        <f>'lead 25-26'!L8</f>
        <v>4218.8</v>
      </c>
      <c r="G750" s="824">
        <f>ROUND(E750*F750/1000,2)</f>
        <v>91.13</v>
      </c>
    </row>
    <row r="751" spans="1:8" s="763" customFormat="1">
      <c r="A751" s="757"/>
      <c r="B751" s="819"/>
      <c r="C751" s="758" t="s">
        <v>92</v>
      </c>
      <c r="D751" s="820" t="s">
        <v>4</v>
      </c>
      <c r="E751" s="823">
        <v>33</v>
      </c>
      <c r="F751" s="823">
        <f>F750</f>
        <v>4218.8</v>
      </c>
      <c r="G751" s="824">
        <f>ROUND(E751*F751/1000,2)</f>
        <v>139.22</v>
      </c>
    </row>
    <row r="752" spans="1:8" s="763" customFormat="1">
      <c r="A752" s="757"/>
      <c r="B752" s="819"/>
      <c r="C752" s="758" t="s">
        <v>205</v>
      </c>
      <c r="D752" s="820" t="s">
        <v>4</v>
      </c>
      <c r="E752" s="823">
        <v>2</v>
      </c>
      <c r="F752" s="823">
        <f>'MINI SSR 2025-26'!C45</f>
        <v>34</v>
      </c>
      <c r="G752" s="824">
        <f>ROUND(E752*F752,2)</f>
        <v>68</v>
      </c>
    </row>
    <row r="753" spans="1:8" s="763" customFormat="1">
      <c r="A753" s="757"/>
      <c r="B753" s="819"/>
      <c r="C753" s="758" t="s">
        <v>113</v>
      </c>
      <c r="D753" s="820" t="s">
        <v>35</v>
      </c>
      <c r="E753" s="823">
        <v>0.12</v>
      </c>
      <c r="F753" s="823">
        <f>'lead 25-26'!L13</f>
        <v>1196.3999999999996</v>
      </c>
      <c r="G753" s="824">
        <f>ROUND(E753*F753,2)</f>
        <v>143.57</v>
      </c>
    </row>
    <row r="754" spans="1:8" s="763" customFormat="1">
      <c r="A754" s="820"/>
      <c r="B754" s="820"/>
      <c r="C754" s="785" t="s">
        <v>68</v>
      </c>
      <c r="D754" s="820"/>
      <c r="E754" s="823"/>
      <c r="F754" s="823"/>
      <c r="G754" s="824"/>
    </row>
    <row r="755" spans="1:8" s="763" customFormat="1">
      <c r="A755" s="820"/>
      <c r="B755" s="820"/>
      <c r="C755" s="758" t="s">
        <v>64</v>
      </c>
      <c r="D755" s="820" t="s">
        <v>27</v>
      </c>
      <c r="E755" s="823">
        <v>0.96</v>
      </c>
      <c r="F755" s="823">
        <f>'MINI SSR 2025-26'!$H$3</f>
        <v>735</v>
      </c>
      <c r="G755" s="824">
        <f>ROUND(E755*F755,2)</f>
        <v>705.6</v>
      </c>
    </row>
    <row r="756" spans="1:8" s="763" customFormat="1">
      <c r="A756" s="820"/>
      <c r="B756" s="820"/>
      <c r="C756" s="758" t="s">
        <v>69</v>
      </c>
      <c r="D756" s="820" t="s">
        <v>27</v>
      </c>
      <c r="E756" s="823">
        <v>2.2400000000000002</v>
      </c>
      <c r="F756" s="823">
        <f>'MINI SSR 2025-26'!$H$4</f>
        <v>665</v>
      </c>
      <c r="G756" s="824">
        <f>ROUND(E756*F756,2)</f>
        <v>1489.6</v>
      </c>
    </row>
    <row r="757" spans="1:8" s="763" customFormat="1">
      <c r="A757" s="820"/>
      <c r="B757" s="820"/>
      <c r="C757" s="758" t="s">
        <v>85</v>
      </c>
      <c r="D757" s="820" t="s">
        <v>27</v>
      </c>
      <c r="E757" s="823">
        <v>3.3</v>
      </c>
      <c r="F757" s="823">
        <f>'MINI SSR 2025-26'!$H$5</f>
        <v>615</v>
      </c>
      <c r="G757" s="824">
        <f>ROUND(E757*F757,2)</f>
        <v>2029.5</v>
      </c>
    </row>
    <row r="758" spans="1:8" s="763" customFormat="1">
      <c r="A758" s="820"/>
      <c r="B758" s="820"/>
      <c r="C758" s="785" t="s">
        <v>88</v>
      </c>
      <c r="D758" s="820"/>
      <c r="E758" s="820"/>
      <c r="F758" s="820"/>
      <c r="G758" s="828">
        <f>SUM(G749:G757)</f>
        <v>8670.26</v>
      </c>
    </row>
    <row r="759" spans="1:8" s="763" customFormat="1">
      <c r="A759" s="820"/>
      <c r="B759" s="820"/>
      <c r="C759" s="785"/>
      <c r="D759" s="820"/>
      <c r="E759" s="819" t="s">
        <v>163</v>
      </c>
      <c r="F759" s="819" t="s">
        <v>164</v>
      </c>
      <c r="G759" s="831" t="s">
        <v>165</v>
      </c>
    </row>
    <row r="760" spans="1:8" s="763" customFormat="1">
      <c r="A760" s="820"/>
      <c r="B760" s="820"/>
      <c r="C760" s="785" t="s">
        <v>1077</v>
      </c>
      <c r="D760" s="820"/>
      <c r="E760" s="823">
        <f>G758</f>
        <v>8670.26</v>
      </c>
      <c r="F760" s="823">
        <f>G758</f>
        <v>8670.26</v>
      </c>
      <c r="G760" s="825">
        <f>G758</f>
        <v>8670.26</v>
      </c>
    </row>
    <row r="761" spans="1:8" s="763" customFormat="1" ht="25.5">
      <c r="A761" s="820"/>
      <c r="B761" s="820"/>
      <c r="C761" s="758" t="s">
        <v>172</v>
      </c>
      <c r="D761" s="820"/>
      <c r="E761" s="820"/>
      <c r="F761" s="823">
        <f>ROUND((G755+G756+G757)*0.1,2)</f>
        <v>422.47</v>
      </c>
      <c r="G761" s="832">
        <f>ROUND((G755+G756+G757)*0.2,2)</f>
        <v>844.94</v>
      </c>
    </row>
    <row r="762" spans="1:8" s="763" customFormat="1">
      <c r="A762" s="820"/>
      <c r="B762" s="820"/>
      <c r="C762" s="758" t="s">
        <v>2213</v>
      </c>
      <c r="D762" s="820"/>
      <c r="E762" s="823">
        <f>ROUND(SUM(E760:E761)*$H$3,2)</f>
        <v>1180.46</v>
      </c>
      <c r="F762" s="823">
        <f>ROUND(SUM(F760:F761)*$H$3,2)</f>
        <v>1237.98</v>
      </c>
      <c r="G762" s="823">
        <f>ROUND(SUM(G760:G761)*$H$3,2)</f>
        <v>1295.49</v>
      </c>
    </row>
    <row r="763" spans="1:8" s="763" customFormat="1">
      <c r="A763" s="820"/>
      <c r="B763" s="820"/>
      <c r="C763" s="785" t="s">
        <v>195</v>
      </c>
      <c r="D763" s="820"/>
      <c r="E763" s="831">
        <f>SUM(E760:E762)</f>
        <v>9850.7200000000012</v>
      </c>
      <c r="F763" s="831">
        <f>SUM(F760:F762)</f>
        <v>10330.709999999999</v>
      </c>
      <c r="G763" s="831">
        <f>SUM(G760:G762)</f>
        <v>10810.69</v>
      </c>
    </row>
    <row r="764" spans="1:8" s="763" customFormat="1">
      <c r="A764" s="820"/>
      <c r="B764" s="820"/>
      <c r="C764" s="785" t="s">
        <v>183</v>
      </c>
      <c r="D764" s="820"/>
      <c r="E764" s="831">
        <f>ROUND(E763/10,2)</f>
        <v>985.07</v>
      </c>
      <c r="F764" s="831">
        <f>ROUND(F763/10,2)</f>
        <v>1033.07</v>
      </c>
      <c r="G764" s="828">
        <f>ROUND(G763/10,2)</f>
        <v>1081.07</v>
      </c>
      <c r="H764" s="835"/>
    </row>
    <row r="765" spans="1:8" ht="127.5" hidden="1">
      <c r="A765" s="110">
        <v>22</v>
      </c>
      <c r="B765" s="278" t="s">
        <v>207</v>
      </c>
      <c r="C765" s="632" t="s">
        <v>214</v>
      </c>
      <c r="D765" s="179"/>
      <c r="E765" s="179"/>
      <c r="F765" s="179"/>
      <c r="G765" s="278"/>
      <c r="H765" s="10"/>
    </row>
    <row r="766" spans="1:8" hidden="1">
      <c r="A766" s="110"/>
      <c r="B766" s="278"/>
      <c r="C766" s="287" t="s">
        <v>42</v>
      </c>
      <c r="D766" s="179"/>
      <c r="E766" s="179"/>
      <c r="F766" s="179"/>
      <c r="G766" s="273"/>
      <c r="H766" s="10"/>
    </row>
    <row r="767" spans="1:8" hidden="1">
      <c r="A767" s="110"/>
      <c r="B767" s="278"/>
      <c r="C767" s="287" t="s">
        <v>60</v>
      </c>
      <c r="D767" s="278"/>
      <c r="E767" s="278"/>
      <c r="F767" s="278"/>
      <c r="G767" s="273"/>
      <c r="H767" s="10"/>
    </row>
    <row r="768" spans="1:8" hidden="1">
      <c r="A768" s="110"/>
      <c r="B768" s="278"/>
      <c r="C768" s="632" t="s">
        <v>208</v>
      </c>
      <c r="D768" s="179" t="s">
        <v>77</v>
      </c>
      <c r="E768" s="281">
        <v>10</v>
      </c>
      <c r="F768" s="281">
        <f>'MINI SSR 2025-26'!C23</f>
        <v>330</v>
      </c>
      <c r="G768" s="173">
        <f>ROUND(E768*F768,2)</f>
        <v>3300</v>
      </c>
      <c r="H768" s="10"/>
    </row>
    <row r="769" spans="1:8" hidden="1">
      <c r="A769" s="110"/>
      <c r="B769" s="278"/>
      <c r="C769" s="632" t="s">
        <v>209</v>
      </c>
      <c r="D769" s="179" t="s">
        <v>35</v>
      </c>
      <c r="E769" s="281">
        <v>0.12</v>
      </c>
      <c r="F769" s="281">
        <f>'lead 25-26'!L13</f>
        <v>1196.3999999999996</v>
      </c>
      <c r="G769" s="11">
        <f>ROUND(E769*F769,2)</f>
        <v>143.57</v>
      </c>
      <c r="H769" s="10"/>
    </row>
    <row r="770" spans="1:8" hidden="1">
      <c r="A770" s="110"/>
      <c r="B770" s="278"/>
      <c r="C770" s="632" t="s">
        <v>210</v>
      </c>
      <c r="D770" s="179" t="s">
        <v>4</v>
      </c>
      <c r="E770" s="281">
        <v>57.6</v>
      </c>
      <c r="F770" s="281">
        <f>'lead 25-26'!L8</f>
        <v>4218.8</v>
      </c>
      <c r="G770" s="11">
        <f>ROUND(E770*F770/1000,2)</f>
        <v>243</v>
      </c>
      <c r="H770" s="10"/>
    </row>
    <row r="771" spans="1:8" hidden="1">
      <c r="A771" s="110"/>
      <c r="B771" s="278"/>
      <c r="C771" s="632" t="s">
        <v>203</v>
      </c>
      <c r="D771" s="179" t="s">
        <v>4</v>
      </c>
      <c r="E771" s="281">
        <v>33</v>
      </c>
      <c r="F771" s="281">
        <f>F770</f>
        <v>4218.8</v>
      </c>
      <c r="G771" s="11">
        <f>ROUND(E771*F771/1000,2)</f>
        <v>139.22</v>
      </c>
      <c r="H771" s="10"/>
    </row>
    <row r="772" spans="1:8" hidden="1">
      <c r="A772" s="110"/>
      <c r="B772" s="278"/>
      <c r="C772" s="632" t="s">
        <v>215</v>
      </c>
      <c r="D772" s="179" t="s">
        <v>4</v>
      </c>
      <c r="E772" s="281">
        <v>6</v>
      </c>
      <c r="F772" s="281">
        <f>'MINI SSR 2025-26'!C45</f>
        <v>34</v>
      </c>
      <c r="G772" s="11">
        <f>ROUND(E772*F772,2)</f>
        <v>204</v>
      </c>
      <c r="H772" s="10"/>
    </row>
    <row r="773" spans="1:8" hidden="1">
      <c r="A773" s="179"/>
      <c r="B773" s="179"/>
      <c r="C773" s="287" t="s">
        <v>68</v>
      </c>
      <c r="D773" s="179"/>
      <c r="E773" s="281"/>
      <c r="F773" s="281"/>
      <c r="G773" s="11"/>
      <c r="H773" s="10"/>
    </row>
    <row r="774" spans="1:8" hidden="1">
      <c r="A774" s="179"/>
      <c r="B774" s="179"/>
      <c r="C774" s="632" t="s">
        <v>64</v>
      </c>
      <c r="D774" s="179" t="s">
        <v>27</v>
      </c>
      <c r="E774" s="281">
        <v>0.77</v>
      </c>
      <c r="F774" s="281">
        <f>'MINI SSR 2025-26'!$H$3</f>
        <v>735</v>
      </c>
      <c r="G774" s="11">
        <f>ROUND(E774*F774,2)</f>
        <v>565.95000000000005</v>
      </c>
      <c r="H774" s="10"/>
    </row>
    <row r="775" spans="1:8" hidden="1">
      <c r="A775" s="179"/>
      <c r="B775" s="179"/>
      <c r="C775" s="632" t="s">
        <v>85</v>
      </c>
      <c r="D775" s="179" t="s">
        <v>27</v>
      </c>
      <c r="E775" s="281">
        <v>0.8</v>
      </c>
      <c r="F775" s="281">
        <f>'MINI SSR 2025-26'!$H$5</f>
        <v>615</v>
      </c>
      <c r="G775" s="11">
        <f>ROUND(E775*F775,2)</f>
        <v>492</v>
      </c>
      <c r="H775" s="10"/>
    </row>
    <row r="776" spans="1:8" hidden="1">
      <c r="A776" s="179"/>
      <c r="B776" s="179"/>
      <c r="C776" s="287" t="s">
        <v>88</v>
      </c>
      <c r="D776" s="179"/>
      <c r="E776" s="179"/>
      <c r="F776" s="179"/>
      <c r="G776" s="282">
        <f>SUM(G768:G775)</f>
        <v>5087.74</v>
      </c>
      <c r="H776" s="10"/>
    </row>
    <row r="777" spans="1:8" hidden="1">
      <c r="A777" s="179"/>
      <c r="B777" s="179"/>
      <c r="C777" s="287"/>
      <c r="D777" s="179"/>
      <c r="E777" s="278" t="s">
        <v>163</v>
      </c>
      <c r="F777" s="278" t="s">
        <v>164</v>
      </c>
      <c r="G777" s="285" t="s">
        <v>165</v>
      </c>
      <c r="H777" s="10"/>
    </row>
    <row r="778" spans="1:8" hidden="1">
      <c r="A778" s="179"/>
      <c r="B778" s="179"/>
      <c r="C778" s="287" t="s">
        <v>1077</v>
      </c>
      <c r="D778" s="179"/>
      <c r="E778" s="281">
        <f>G776</f>
        <v>5087.74</v>
      </c>
      <c r="F778" s="281">
        <f>G776</f>
        <v>5087.74</v>
      </c>
      <c r="G778" s="273">
        <f>G776</f>
        <v>5087.74</v>
      </c>
      <c r="H778" s="10"/>
    </row>
    <row r="779" spans="1:8" ht="25.5" hidden="1">
      <c r="A779" s="179"/>
      <c r="B779" s="179"/>
      <c r="C779" s="632" t="s">
        <v>172</v>
      </c>
      <c r="D779" s="179"/>
      <c r="E779" s="179"/>
      <c r="F779" s="281">
        <f>ROUND((G774+G775)*0.1,2)</f>
        <v>105.8</v>
      </c>
      <c r="G779" s="273">
        <f>ROUND((G774+G775)*0.2,2)</f>
        <v>211.59</v>
      </c>
      <c r="H779" s="10"/>
    </row>
    <row r="780" spans="1:8" hidden="1">
      <c r="A780" s="179"/>
      <c r="B780" s="179"/>
      <c r="C780" s="287" t="s">
        <v>195</v>
      </c>
      <c r="D780" s="179"/>
      <c r="E780" s="285">
        <f>SUM(E778:E779)</f>
        <v>5087.74</v>
      </c>
      <c r="F780" s="285">
        <f>SUM(F778:F779)</f>
        <v>5193.54</v>
      </c>
      <c r="G780" s="282">
        <f>SUM(G778:G779)</f>
        <v>5299.33</v>
      </c>
      <c r="H780" s="10"/>
    </row>
    <row r="781" spans="1:8" hidden="1">
      <c r="A781" s="179"/>
      <c r="B781" s="179"/>
      <c r="C781" s="287" t="s">
        <v>183</v>
      </c>
      <c r="D781" s="179"/>
      <c r="E781" s="285">
        <f>ROUND(E780/10,2)</f>
        <v>508.77</v>
      </c>
      <c r="F781" s="285">
        <f>ROUND(F780/10,2)</f>
        <v>519.35</v>
      </c>
      <c r="G781" s="282">
        <f>ROUND(G780/10,2)</f>
        <v>529.92999999999995</v>
      </c>
      <c r="H781" s="228"/>
    </row>
    <row r="782" spans="1:8" ht="25.5" hidden="1">
      <c r="A782" s="110">
        <v>4</v>
      </c>
      <c r="B782" s="278" t="s">
        <v>1151</v>
      </c>
      <c r="C782" s="632" t="s">
        <v>976</v>
      </c>
      <c r="D782" s="179"/>
      <c r="E782" s="179"/>
      <c r="F782" s="179"/>
      <c r="G782" s="278"/>
      <c r="H782" s="10"/>
    </row>
    <row r="783" spans="1:8" hidden="1">
      <c r="A783" s="110"/>
      <c r="B783" s="278"/>
      <c r="C783" s="287" t="s">
        <v>821</v>
      </c>
      <c r="D783" s="179"/>
      <c r="E783" s="179"/>
      <c r="F783" s="179"/>
      <c r="G783" s="273"/>
      <c r="H783" s="10"/>
    </row>
    <row r="784" spans="1:8" hidden="1">
      <c r="A784" s="110"/>
      <c r="B784" s="278"/>
      <c r="C784" s="287" t="s">
        <v>60</v>
      </c>
      <c r="D784" s="179"/>
      <c r="E784" s="179"/>
      <c r="F784" s="179"/>
      <c r="G784" s="273"/>
      <c r="H784" s="10"/>
    </row>
    <row r="785" spans="1:8" hidden="1">
      <c r="A785" s="110"/>
      <c r="B785" s="278"/>
      <c r="C785" s="632" t="s">
        <v>33</v>
      </c>
      <c r="D785" s="179" t="s">
        <v>4</v>
      </c>
      <c r="E785" s="281">
        <v>14.4</v>
      </c>
      <c r="F785" s="281">
        <f>'lead 25-26'!L8</f>
        <v>4218.8</v>
      </c>
      <c r="G785" s="173">
        <f>ROUND(E785*F785/1000,2)</f>
        <v>60.75</v>
      </c>
      <c r="H785" s="10"/>
    </row>
    <row r="786" spans="1:8" hidden="1">
      <c r="A786" s="110"/>
      <c r="B786" s="278"/>
      <c r="C786" s="632" t="s">
        <v>112</v>
      </c>
      <c r="D786" s="179" t="s">
        <v>35</v>
      </c>
      <c r="E786" s="281">
        <v>0.03</v>
      </c>
      <c r="F786" s="281">
        <f>'lead 25-26'!L13</f>
        <v>1196.3999999999996</v>
      </c>
      <c r="G786" s="173">
        <f>ROUND(E786*F786,2)</f>
        <v>35.89</v>
      </c>
      <c r="H786" s="10"/>
    </row>
    <row r="787" spans="1:8" hidden="1">
      <c r="A787" s="179"/>
      <c r="B787" s="179"/>
      <c r="C787" s="287" t="s">
        <v>68</v>
      </c>
      <c r="D787" s="179"/>
      <c r="E787" s="281"/>
      <c r="F787" s="281"/>
      <c r="G787" s="173"/>
      <c r="H787" s="10"/>
    </row>
    <row r="788" spans="1:8" hidden="1">
      <c r="A788" s="179"/>
      <c r="B788" s="179"/>
      <c r="C788" s="632" t="s">
        <v>69</v>
      </c>
      <c r="D788" s="179" t="s">
        <v>27</v>
      </c>
      <c r="E788" s="281">
        <v>0.5</v>
      </c>
      <c r="F788" s="281">
        <f>'MINI SSR 2025-26'!$H$4</f>
        <v>665</v>
      </c>
      <c r="G788" s="173">
        <f>ROUND(E788*F788,2)</f>
        <v>332.5</v>
      </c>
      <c r="H788" s="10"/>
    </row>
    <row r="789" spans="1:8" hidden="1">
      <c r="A789" s="179"/>
      <c r="B789" s="179"/>
      <c r="C789" s="632" t="s">
        <v>85</v>
      </c>
      <c r="D789" s="179" t="s">
        <v>27</v>
      </c>
      <c r="E789" s="281">
        <v>0.74</v>
      </c>
      <c r="F789" s="281">
        <f>'MINI SSR 2025-26'!$H$5</f>
        <v>615</v>
      </c>
      <c r="G789" s="173">
        <f>ROUND(E789*F789,2)</f>
        <v>455.1</v>
      </c>
      <c r="H789" s="10"/>
    </row>
    <row r="790" spans="1:8" hidden="1">
      <c r="A790" s="179"/>
      <c r="B790" s="179"/>
      <c r="C790" s="287" t="s">
        <v>88</v>
      </c>
      <c r="D790" s="179"/>
      <c r="E790" s="281"/>
      <c r="F790" s="281"/>
      <c r="G790" s="173">
        <f>SUM(G785:G789)</f>
        <v>884.24</v>
      </c>
      <c r="H790" s="10"/>
    </row>
    <row r="791" spans="1:8" ht="114.75" hidden="1">
      <c r="A791" s="110">
        <v>5</v>
      </c>
      <c r="B791" s="278" t="s">
        <v>1152</v>
      </c>
      <c r="C791" s="632" t="s">
        <v>977</v>
      </c>
      <c r="D791" s="179"/>
      <c r="E791" s="179"/>
      <c r="F791" s="179"/>
      <c r="G791" s="278"/>
      <c r="H791" s="10"/>
    </row>
    <row r="792" spans="1:8" hidden="1">
      <c r="A792" s="110"/>
      <c r="B792" s="278"/>
      <c r="C792" s="287" t="s">
        <v>821</v>
      </c>
      <c r="D792" s="179"/>
      <c r="E792" s="179"/>
      <c r="F792" s="179"/>
      <c r="G792" s="273"/>
      <c r="H792" s="10"/>
    </row>
    <row r="793" spans="1:8" hidden="1">
      <c r="A793" s="110"/>
      <c r="B793" s="278"/>
      <c r="C793" s="287" t="s">
        <v>60</v>
      </c>
      <c r="D793" s="179"/>
      <c r="E793" s="179"/>
      <c r="F793" s="179"/>
      <c r="G793" s="273"/>
      <c r="H793" s="10"/>
    </row>
    <row r="794" spans="1:8" hidden="1">
      <c r="A794" s="110"/>
      <c r="B794" s="278"/>
      <c r="C794" s="632" t="s">
        <v>978</v>
      </c>
      <c r="D794" s="179" t="s">
        <v>11</v>
      </c>
      <c r="E794" s="188">
        <v>0.255</v>
      </c>
      <c r="F794" s="281">
        <f>'lead 25-26'!L24</f>
        <v>32526.46</v>
      </c>
      <c r="G794" s="173">
        <f>ROUND(E794*F794/1,2)</f>
        <v>8294.25</v>
      </c>
      <c r="H794" s="10"/>
    </row>
    <row r="795" spans="1:8" hidden="1">
      <c r="A795" s="110"/>
      <c r="B795" s="278"/>
      <c r="C795" s="632" t="s">
        <v>827</v>
      </c>
      <c r="D795" s="179" t="s">
        <v>139</v>
      </c>
      <c r="E795" s="281">
        <v>21.6</v>
      </c>
      <c r="F795" s="281">
        <f>'lead 25-26'!L8</f>
        <v>4218.8</v>
      </c>
      <c r="G795" s="173">
        <f>ROUND(E795*F795/1000,2)</f>
        <v>91.13</v>
      </c>
      <c r="H795" s="10"/>
    </row>
    <row r="796" spans="1:8" hidden="1">
      <c r="A796" s="110"/>
      <c r="B796" s="278"/>
      <c r="C796" s="632" t="s">
        <v>979</v>
      </c>
      <c r="D796" s="179" t="s">
        <v>139</v>
      </c>
      <c r="E796" s="281">
        <v>6</v>
      </c>
      <c r="F796" s="281">
        <f>F795</f>
        <v>4218.8</v>
      </c>
      <c r="G796" s="173">
        <f>ROUND(E796*F796/1000,2)</f>
        <v>25.31</v>
      </c>
      <c r="H796" s="10"/>
    </row>
    <row r="797" spans="1:8" hidden="1">
      <c r="A797" s="110"/>
      <c r="B797" s="278"/>
      <c r="C797" s="632" t="s">
        <v>980</v>
      </c>
      <c r="D797" s="179" t="s">
        <v>102</v>
      </c>
      <c r="E797" s="281">
        <v>1</v>
      </c>
      <c r="F797" s="281">
        <f>G790</f>
        <v>884.24</v>
      </c>
      <c r="G797" s="173">
        <f>ROUND(E797*F797/1,2)</f>
        <v>884.24</v>
      </c>
      <c r="H797" s="10"/>
    </row>
    <row r="798" spans="1:8" hidden="1">
      <c r="A798" s="110"/>
      <c r="B798" s="278"/>
      <c r="C798" s="632" t="s">
        <v>981</v>
      </c>
      <c r="D798" s="179" t="s">
        <v>35</v>
      </c>
      <c r="E798" s="281">
        <v>0.04</v>
      </c>
      <c r="F798" s="281">
        <f>'lead 25-26'!L13</f>
        <v>1196.3999999999996</v>
      </c>
      <c r="G798" s="173">
        <f>-ROUND(E798*F798,2)</f>
        <v>-47.86</v>
      </c>
      <c r="H798" s="10"/>
    </row>
    <row r="799" spans="1:8" hidden="1">
      <c r="A799" s="110"/>
      <c r="B799" s="278"/>
      <c r="C799" s="632" t="s">
        <v>982</v>
      </c>
      <c r="D799" s="179" t="s">
        <v>35</v>
      </c>
      <c r="E799" s="281">
        <v>0.12</v>
      </c>
      <c r="F799" s="281">
        <f>F798</f>
        <v>1196.3999999999996</v>
      </c>
      <c r="G799" s="173">
        <f>ROUND(E799*F799,2)</f>
        <v>143.57</v>
      </c>
      <c r="H799" s="10"/>
    </row>
    <row r="800" spans="1:8" hidden="1">
      <c r="A800" s="179"/>
      <c r="B800" s="179"/>
      <c r="C800" s="287" t="s">
        <v>68</v>
      </c>
      <c r="D800" s="179"/>
      <c r="E800" s="281"/>
      <c r="F800" s="281"/>
      <c r="G800" s="173"/>
      <c r="H800" s="10"/>
    </row>
    <row r="801" spans="1:11" hidden="1">
      <c r="A801" s="179"/>
      <c r="B801" s="179"/>
      <c r="C801" s="632" t="s">
        <v>64</v>
      </c>
      <c r="D801" s="179" t="s">
        <v>27</v>
      </c>
      <c r="E801" s="281">
        <v>0.96</v>
      </c>
      <c r="F801" s="281">
        <f>'MINI SSR 2025-26'!$H$3</f>
        <v>735</v>
      </c>
      <c r="G801" s="173">
        <f>ROUND(E801*F801,2)</f>
        <v>705.6</v>
      </c>
      <c r="H801" s="10"/>
    </row>
    <row r="802" spans="1:11" hidden="1">
      <c r="A802" s="179"/>
      <c r="B802" s="179"/>
      <c r="C802" s="632" t="s">
        <v>69</v>
      </c>
      <c r="D802" s="179" t="s">
        <v>27</v>
      </c>
      <c r="E802" s="281">
        <v>2.2400000000000002</v>
      </c>
      <c r="F802" s="281">
        <f>'MINI SSR 2025-26'!$H$4</f>
        <v>665</v>
      </c>
      <c r="G802" s="173">
        <f>ROUND(E802*F802,2)</f>
        <v>1489.6</v>
      </c>
      <c r="H802" s="10"/>
    </row>
    <row r="803" spans="1:11" hidden="1">
      <c r="A803" s="179"/>
      <c r="B803" s="179"/>
      <c r="C803" s="632" t="s">
        <v>85</v>
      </c>
      <c r="D803" s="179" t="s">
        <v>27</v>
      </c>
      <c r="E803" s="281">
        <v>4.3</v>
      </c>
      <c r="F803" s="281">
        <f>'MINI SSR 2025-26'!$H$5</f>
        <v>615</v>
      </c>
      <c r="G803" s="173">
        <f>ROUND(E803*F803,2)</f>
        <v>2644.5</v>
      </c>
      <c r="H803" s="10"/>
    </row>
    <row r="804" spans="1:11" hidden="1">
      <c r="A804" s="179"/>
      <c r="B804" s="179"/>
      <c r="C804" s="287" t="s">
        <v>88</v>
      </c>
      <c r="D804" s="179"/>
      <c r="E804" s="281"/>
      <c r="F804" s="281"/>
      <c r="G804" s="173">
        <f>SUM(G794:G803)</f>
        <v>14230.339999999998</v>
      </c>
      <c r="H804" s="10"/>
    </row>
    <row r="805" spans="1:11" hidden="1">
      <c r="A805" s="179"/>
      <c r="B805" s="179"/>
      <c r="C805" s="287"/>
      <c r="D805" s="179"/>
      <c r="E805" s="281" t="s">
        <v>163</v>
      </c>
      <c r="F805" s="281" t="s">
        <v>164</v>
      </c>
      <c r="G805" s="12" t="s">
        <v>165</v>
      </c>
      <c r="H805" s="10"/>
    </row>
    <row r="806" spans="1:11" hidden="1">
      <c r="A806" s="179"/>
      <c r="B806" s="179"/>
      <c r="C806" s="287" t="s">
        <v>1077</v>
      </c>
      <c r="D806" s="179"/>
      <c r="E806" s="281">
        <f>G804</f>
        <v>14230.339999999998</v>
      </c>
      <c r="F806" s="281">
        <f>G804</f>
        <v>14230.339999999998</v>
      </c>
      <c r="G806" s="273">
        <f>G804</f>
        <v>14230.339999999998</v>
      </c>
      <c r="H806" s="10"/>
    </row>
    <row r="807" spans="1:11" ht="25.5" hidden="1">
      <c r="A807" s="179"/>
      <c r="B807" s="179"/>
      <c r="C807" s="632" t="s">
        <v>172</v>
      </c>
      <c r="D807" s="179"/>
      <c r="E807" s="179"/>
      <c r="F807" s="281">
        <f>ROUND((G802+G803+G801)*0.1,2)</f>
        <v>483.97</v>
      </c>
      <c r="G807" s="273">
        <f>ROUND((G802+G803+G801)*0.2,2)</f>
        <v>967.94</v>
      </c>
      <c r="H807" s="10"/>
    </row>
    <row r="808" spans="1:11" hidden="1">
      <c r="A808" s="179"/>
      <c r="B808" s="179"/>
      <c r="C808" s="287" t="s">
        <v>195</v>
      </c>
      <c r="D808" s="179"/>
      <c r="E808" s="285">
        <f>SUM(E806:E807)</f>
        <v>14230.339999999998</v>
      </c>
      <c r="F808" s="285">
        <f>SUM(F806:F807)</f>
        <v>14714.309999999998</v>
      </c>
      <c r="G808" s="282">
        <f>SUM(G806:G807)</f>
        <v>15198.279999999999</v>
      </c>
      <c r="H808" s="10"/>
    </row>
    <row r="809" spans="1:11" hidden="1">
      <c r="A809" s="179"/>
      <c r="B809" s="179"/>
      <c r="C809" s="287" t="s">
        <v>183</v>
      </c>
      <c r="D809" s="179"/>
      <c r="E809" s="285">
        <f>ROUND(E808/10,2)</f>
        <v>1423.03</v>
      </c>
      <c r="F809" s="285">
        <f>ROUND(F808/10,2)</f>
        <v>1471.43</v>
      </c>
      <c r="G809" s="282">
        <f>ROUND(G808/10,2)</f>
        <v>1519.83</v>
      </c>
      <c r="H809" s="228"/>
    </row>
    <row r="810" spans="1:11" ht="102" hidden="1">
      <c r="A810" s="110">
        <v>51</v>
      </c>
      <c r="B810" s="278" t="s">
        <v>832</v>
      </c>
      <c r="C810" s="632" t="s">
        <v>833</v>
      </c>
      <c r="D810" s="179"/>
      <c r="E810" s="179"/>
      <c r="F810" s="179"/>
      <c r="G810" s="278"/>
    </row>
    <row r="811" spans="1:11" hidden="1">
      <c r="A811" s="110"/>
      <c r="B811" s="278"/>
      <c r="C811" s="287" t="s">
        <v>42</v>
      </c>
      <c r="D811" s="179"/>
      <c r="E811" s="179"/>
      <c r="F811" s="179"/>
      <c r="G811" s="273"/>
    </row>
    <row r="812" spans="1:11" hidden="1">
      <c r="A812" s="110"/>
      <c r="B812" s="278"/>
      <c r="C812" s="287" t="s">
        <v>60</v>
      </c>
      <c r="D812" s="179"/>
      <c r="E812" s="179"/>
      <c r="F812" s="179"/>
      <c r="G812" s="273"/>
    </row>
    <row r="813" spans="1:11" hidden="1">
      <c r="A813" s="110"/>
      <c r="B813" s="278"/>
      <c r="C813" s="632" t="s">
        <v>1078</v>
      </c>
      <c r="D813" s="179" t="s">
        <v>1153</v>
      </c>
      <c r="E813" s="281">
        <v>1.2</v>
      </c>
      <c r="F813" s="281">
        <f>'MINI SSR 2025-26'!G40</f>
        <v>420</v>
      </c>
      <c r="G813" s="173">
        <f>ROUND(F813/20*E813,2)</f>
        <v>25.2</v>
      </c>
    </row>
    <row r="814" spans="1:11" hidden="1">
      <c r="A814" s="179"/>
      <c r="B814" s="179"/>
      <c r="C814" s="287" t="s">
        <v>68</v>
      </c>
      <c r="D814" s="179"/>
      <c r="E814" s="281"/>
      <c r="F814" s="281"/>
      <c r="G814" s="173"/>
    </row>
    <row r="815" spans="1:11" hidden="1">
      <c r="A815" s="179"/>
      <c r="B815" s="179"/>
      <c r="C815" s="632" t="s">
        <v>143</v>
      </c>
      <c r="D815" s="179" t="s">
        <v>27</v>
      </c>
      <c r="E815" s="281">
        <v>0.11</v>
      </c>
      <c r="F815" s="281">
        <f>'MINI SSR 2025-26'!H8</f>
        <v>820</v>
      </c>
      <c r="G815" s="173">
        <f>ROUND(E815*F815,2)</f>
        <v>90.2</v>
      </c>
      <c r="K815" s="20"/>
    </row>
    <row r="816" spans="1:11" hidden="1">
      <c r="A816" s="179"/>
      <c r="B816" s="179"/>
      <c r="C816" s="632" t="s">
        <v>85</v>
      </c>
      <c r="D816" s="179" t="s">
        <v>27</v>
      </c>
      <c r="E816" s="281">
        <v>0.22</v>
      </c>
      <c r="F816" s="281">
        <f>'MINI SSR 2025-26'!$H$5</f>
        <v>615</v>
      </c>
      <c r="G816" s="173">
        <f>ROUND(E816*F816,2)</f>
        <v>135.30000000000001</v>
      </c>
      <c r="K816" s="20"/>
    </row>
    <row r="817" spans="1:11" hidden="1">
      <c r="A817" s="179"/>
      <c r="B817" s="179"/>
      <c r="C817" s="632" t="s">
        <v>834</v>
      </c>
      <c r="D817" s="179"/>
      <c r="E817" s="281">
        <v>0.05</v>
      </c>
      <c r="F817" s="281">
        <f>SUM(G813:G816)</f>
        <v>250.70000000000002</v>
      </c>
      <c r="G817" s="173">
        <f>ROUND(E817*F817,2)</f>
        <v>12.54</v>
      </c>
      <c r="K817" s="20"/>
    </row>
    <row r="818" spans="1:11" hidden="1">
      <c r="A818" s="179"/>
      <c r="B818" s="179"/>
      <c r="C818" s="287" t="s">
        <v>88</v>
      </c>
      <c r="D818" s="179"/>
      <c r="E818" s="179"/>
      <c r="F818" s="179"/>
      <c r="G818" s="282">
        <f>SUM(G813:G817)</f>
        <v>263.24</v>
      </c>
      <c r="K818" s="280"/>
    </row>
    <row r="819" spans="1:11" hidden="1">
      <c r="A819" s="179"/>
      <c r="B819" s="179"/>
      <c r="C819" s="287"/>
      <c r="D819" s="179"/>
      <c r="E819" s="278" t="s">
        <v>163</v>
      </c>
      <c r="F819" s="278" t="s">
        <v>164</v>
      </c>
      <c r="G819" s="285" t="s">
        <v>165</v>
      </c>
      <c r="H819" s="10"/>
    </row>
    <row r="820" spans="1:11" hidden="1">
      <c r="A820" s="179"/>
      <c r="B820" s="179"/>
      <c r="C820" s="287" t="s">
        <v>1079</v>
      </c>
      <c r="D820" s="179"/>
      <c r="E820" s="281">
        <f>G818</f>
        <v>263.24</v>
      </c>
      <c r="F820" s="281">
        <f>E820</f>
        <v>263.24</v>
      </c>
      <c r="G820" s="273">
        <f>F820</f>
        <v>263.24</v>
      </c>
      <c r="H820" s="10"/>
    </row>
    <row r="821" spans="1:11" ht="25.5" hidden="1">
      <c r="A821" s="179"/>
      <c r="B821" s="179"/>
      <c r="C821" s="632" t="s">
        <v>172</v>
      </c>
      <c r="D821" s="179"/>
      <c r="E821" s="179"/>
      <c r="F821" s="281">
        <f>ROUND((G815+G816)*0.1,2)</f>
        <v>22.55</v>
      </c>
      <c r="G821" s="273">
        <f>ROUND((G815+G816)*0.1,2)</f>
        <v>22.55</v>
      </c>
      <c r="H821" s="10"/>
    </row>
    <row r="822" spans="1:11" hidden="1">
      <c r="A822" s="179"/>
      <c r="B822" s="179"/>
      <c r="C822" s="287" t="s">
        <v>195</v>
      </c>
      <c r="D822" s="179"/>
      <c r="E822" s="285">
        <f>SUM(E820:E821)</f>
        <v>263.24</v>
      </c>
      <c r="F822" s="285">
        <f>SUM(F820:F821)</f>
        <v>285.79000000000002</v>
      </c>
      <c r="G822" s="282">
        <f>SUM(G820:G821)</f>
        <v>285.79000000000002</v>
      </c>
      <c r="H822" s="10"/>
    </row>
    <row r="823" spans="1:11" hidden="1">
      <c r="A823" s="179"/>
      <c r="B823" s="179"/>
      <c r="C823" s="287" t="s">
        <v>183</v>
      </c>
      <c r="D823" s="179"/>
      <c r="E823" s="285">
        <f>ROUND(E822/10,2)</f>
        <v>26.32</v>
      </c>
      <c r="F823" s="285">
        <f>ROUND(F822/10,2)</f>
        <v>28.58</v>
      </c>
      <c r="G823" s="282">
        <f>ROUND(G822/10,2)</f>
        <v>28.58</v>
      </c>
      <c r="H823" s="10"/>
    </row>
    <row r="824" spans="1:11" ht="191.25" hidden="1">
      <c r="A824" s="110">
        <v>6</v>
      </c>
      <c r="B824" s="278" t="s">
        <v>1128</v>
      </c>
      <c r="C824" s="632" t="s">
        <v>845</v>
      </c>
      <c r="D824" s="179"/>
      <c r="E824" s="179"/>
      <c r="F824" s="179"/>
      <c r="G824" s="278"/>
    </row>
    <row r="825" spans="1:11" hidden="1">
      <c r="A825" s="110"/>
      <c r="B825" s="278"/>
      <c r="C825" s="287" t="s">
        <v>42</v>
      </c>
      <c r="D825" s="179"/>
      <c r="E825" s="179"/>
      <c r="F825" s="179"/>
      <c r="G825" s="273"/>
    </row>
    <row r="826" spans="1:11" hidden="1">
      <c r="A826" s="110"/>
      <c r="B826" s="278"/>
      <c r="C826" s="287" t="s">
        <v>60</v>
      </c>
      <c r="D826" s="179"/>
      <c r="E826" s="179"/>
      <c r="F826" s="179"/>
      <c r="G826" s="273"/>
    </row>
    <row r="827" spans="1:11" hidden="1">
      <c r="A827" s="110"/>
      <c r="B827" s="278"/>
      <c r="C827" s="632" t="s">
        <v>846</v>
      </c>
      <c r="D827" s="179" t="s">
        <v>1153</v>
      </c>
      <c r="E827" s="281">
        <v>23</v>
      </c>
      <c r="F827" s="281">
        <f>'MINI SSR 2025-26'!G40</f>
        <v>420</v>
      </c>
      <c r="G827" s="173">
        <f>ROUND(F827/20*E827,2)</f>
        <v>483</v>
      </c>
    </row>
    <row r="828" spans="1:11" hidden="1">
      <c r="A828" s="179"/>
      <c r="B828" s="179"/>
      <c r="C828" s="287" t="s">
        <v>68</v>
      </c>
      <c r="D828" s="179"/>
      <c r="E828" s="281"/>
      <c r="F828" s="281"/>
      <c r="G828" s="173"/>
    </row>
    <row r="829" spans="1:11" hidden="1">
      <c r="A829" s="179"/>
      <c r="B829" s="179"/>
      <c r="C829" s="632" t="s">
        <v>94</v>
      </c>
      <c r="D829" s="179" t="s">
        <v>27</v>
      </c>
      <c r="E829" s="188">
        <v>0.27300000000000002</v>
      </c>
      <c r="F829" s="281">
        <f>'MINI SSR 2025-26'!$H$8</f>
        <v>820</v>
      </c>
      <c r="G829" s="173">
        <f>ROUND(E829*F829,2)</f>
        <v>223.86</v>
      </c>
      <c r="K829" s="20"/>
    </row>
    <row r="830" spans="1:11" hidden="1">
      <c r="A830" s="179"/>
      <c r="B830" s="179"/>
      <c r="C830" s="632" t="s">
        <v>828</v>
      </c>
      <c r="D830" s="179" t="s">
        <v>27</v>
      </c>
      <c r="E830" s="188">
        <v>0.63700000000000001</v>
      </c>
      <c r="F830" s="281">
        <f>'MINI SSR 2025-26'!$H$9</f>
        <v>665</v>
      </c>
      <c r="G830" s="173">
        <f>ROUND(E830*F830,2)</f>
        <v>423.61</v>
      </c>
      <c r="K830" s="20"/>
    </row>
    <row r="831" spans="1:11" hidden="1">
      <c r="A831" s="179"/>
      <c r="B831" s="179"/>
      <c r="C831" s="632" t="s">
        <v>85</v>
      </c>
      <c r="D831" s="179" t="s">
        <v>27</v>
      </c>
      <c r="E831" s="188">
        <v>0.91</v>
      </c>
      <c r="F831" s="281">
        <f>'MINI SSR 2025-26'!$H$5</f>
        <v>615</v>
      </c>
      <c r="G831" s="173">
        <f>ROUND(E831*F831,2)</f>
        <v>559.65</v>
      </c>
      <c r="K831" s="20"/>
    </row>
    <row r="832" spans="1:11" hidden="1">
      <c r="A832" s="179"/>
      <c r="B832" s="179"/>
      <c r="C832" s="632" t="s">
        <v>847</v>
      </c>
      <c r="D832" s="179"/>
      <c r="E832" s="281">
        <v>0.01</v>
      </c>
      <c r="F832" s="281">
        <f>SUM(G827:G831)</f>
        <v>1690.12</v>
      </c>
      <c r="G832" s="173">
        <f>ROUND(E832*F832,2)</f>
        <v>16.899999999999999</v>
      </c>
      <c r="K832" s="20"/>
    </row>
    <row r="833" spans="1:11" hidden="1">
      <c r="A833" s="179"/>
      <c r="B833" s="179"/>
      <c r="C833" s="287" t="s">
        <v>88</v>
      </c>
      <c r="D833" s="179"/>
      <c r="E833" s="179"/>
      <c r="F833" s="179"/>
      <c r="G833" s="282">
        <f>SUM(G827:G832)</f>
        <v>1707.02</v>
      </c>
      <c r="K833" s="280"/>
    </row>
    <row r="834" spans="1:11" hidden="1">
      <c r="A834" s="179"/>
      <c r="B834" s="179"/>
      <c r="C834" s="287"/>
      <c r="D834" s="179"/>
      <c r="E834" s="278" t="s">
        <v>163</v>
      </c>
      <c r="F834" s="278" t="s">
        <v>164</v>
      </c>
      <c r="G834" s="285" t="s">
        <v>165</v>
      </c>
      <c r="H834" s="10"/>
    </row>
    <row r="835" spans="1:11" hidden="1">
      <c r="A835" s="179"/>
      <c r="B835" s="179"/>
      <c r="C835" s="287" t="s">
        <v>1079</v>
      </c>
      <c r="D835" s="179"/>
      <c r="E835" s="281">
        <f>G833</f>
        <v>1707.02</v>
      </c>
      <c r="F835" s="281">
        <f>E835</f>
        <v>1707.02</v>
      </c>
      <c r="G835" s="273">
        <f>F835</f>
        <v>1707.02</v>
      </c>
      <c r="H835" s="10"/>
    </row>
    <row r="836" spans="1:11" ht="25.5" hidden="1">
      <c r="A836" s="179"/>
      <c r="B836" s="179"/>
      <c r="C836" s="632" t="s">
        <v>172</v>
      </c>
      <c r="D836" s="179"/>
      <c r="E836" s="179"/>
      <c r="F836" s="281">
        <f>ROUND((G829+G830+G831)*0.1,2)</f>
        <v>120.71</v>
      </c>
      <c r="G836" s="272">
        <f>ROUND(F836*2,2)</f>
        <v>241.42</v>
      </c>
      <c r="H836" s="10"/>
    </row>
    <row r="837" spans="1:11" hidden="1">
      <c r="A837" s="179"/>
      <c r="B837" s="179"/>
      <c r="C837" s="287" t="s">
        <v>195</v>
      </c>
      <c r="D837" s="179"/>
      <c r="E837" s="285">
        <f>SUM(E835:E836)</f>
        <v>1707.02</v>
      </c>
      <c r="F837" s="285">
        <f>SUM(F835:F836)</f>
        <v>1827.73</v>
      </c>
      <c r="G837" s="282">
        <f>SUM(G835:G836)</f>
        <v>1948.44</v>
      </c>
      <c r="H837" s="10"/>
    </row>
    <row r="838" spans="1:11" hidden="1">
      <c r="A838" s="179"/>
      <c r="B838" s="179"/>
      <c r="C838" s="287" t="s">
        <v>183</v>
      </c>
      <c r="D838" s="179"/>
      <c r="E838" s="285">
        <f>ROUND(E837/10,2)</f>
        <v>170.7</v>
      </c>
      <c r="F838" s="285">
        <f>ROUND(F837/10,2)</f>
        <v>182.77</v>
      </c>
      <c r="G838" s="282">
        <f>ROUND(G837/10,2)</f>
        <v>194.84</v>
      </c>
      <c r="H838" s="10"/>
    </row>
    <row r="839" spans="1:11" s="847" customFormat="1" ht="25.5">
      <c r="A839" s="819">
        <v>23</v>
      </c>
      <c r="B839" s="851" t="s">
        <v>1154</v>
      </c>
      <c r="C839" s="758" t="s">
        <v>1155</v>
      </c>
      <c r="D839" s="820"/>
      <c r="E839" s="820"/>
      <c r="F839" s="772"/>
      <c r="G839" s="772"/>
    </row>
    <row r="840" spans="1:11" s="763" customFormat="1">
      <c r="A840" s="820"/>
      <c r="B840" s="819"/>
      <c r="C840" s="758" t="s">
        <v>1156</v>
      </c>
      <c r="D840" s="842"/>
      <c r="E840" s="842"/>
      <c r="F840" s="842"/>
      <c r="G840" s="848"/>
    </row>
    <row r="841" spans="1:11" s="763" customFormat="1">
      <c r="A841" s="820"/>
      <c r="B841" s="819"/>
      <c r="C841" s="758" t="s">
        <v>1157</v>
      </c>
      <c r="D841" s="842"/>
      <c r="E841" s="842"/>
      <c r="F841" s="842"/>
      <c r="G841" s="848"/>
    </row>
    <row r="842" spans="1:11" s="763" customFormat="1">
      <c r="A842" s="820"/>
      <c r="B842" s="819"/>
      <c r="C842" s="758" t="s">
        <v>1565</v>
      </c>
      <c r="D842" s="842" t="s">
        <v>90</v>
      </c>
      <c r="E842" s="842">
        <v>1</v>
      </c>
      <c r="F842" s="842">
        <f>'MINI SSR 2025-26'!G41</f>
        <v>80.5</v>
      </c>
      <c r="G842" s="848">
        <f>ROUND(E842*F842,2)</f>
        <v>80.5</v>
      </c>
    </row>
    <row r="843" spans="1:11" s="763" customFormat="1">
      <c r="A843" s="820"/>
      <c r="B843" s="819"/>
      <c r="C843" s="758" t="s">
        <v>1158</v>
      </c>
      <c r="D843" s="842"/>
      <c r="E843" s="842"/>
      <c r="F843" s="842"/>
      <c r="G843" s="848"/>
    </row>
    <row r="844" spans="1:11" s="763" customFormat="1">
      <c r="A844" s="820"/>
      <c r="B844" s="819"/>
      <c r="C844" s="758" t="s">
        <v>94</v>
      </c>
      <c r="D844" s="842" t="s">
        <v>27</v>
      </c>
      <c r="E844" s="842">
        <v>0.21</v>
      </c>
      <c r="F844" s="823">
        <f>'MINI SSR 2025-26'!$H$8</f>
        <v>820</v>
      </c>
      <c r="G844" s="848">
        <f>ROUND(E844*F844,2)</f>
        <v>172.2</v>
      </c>
    </row>
    <row r="845" spans="1:11" s="763" customFormat="1">
      <c r="A845" s="820"/>
      <c r="B845" s="819"/>
      <c r="C845" s="758" t="s">
        <v>828</v>
      </c>
      <c r="D845" s="842" t="s">
        <v>27</v>
      </c>
      <c r="E845" s="842">
        <v>0.49</v>
      </c>
      <c r="F845" s="823">
        <f>'MINI SSR 2025-26'!$H$9</f>
        <v>665</v>
      </c>
      <c r="G845" s="848">
        <f>ROUND(E845*F845,2)</f>
        <v>325.85000000000002</v>
      </c>
    </row>
    <row r="846" spans="1:11" s="763" customFormat="1">
      <c r="A846" s="820"/>
      <c r="B846" s="819"/>
      <c r="C846" s="758" t="s">
        <v>829</v>
      </c>
      <c r="D846" s="842"/>
      <c r="E846" s="854">
        <v>5.0000000000000001E-3</v>
      </c>
      <c r="F846" s="842">
        <f>SUM(G842:G845)</f>
        <v>578.54999999999995</v>
      </c>
      <c r="G846" s="848">
        <f>ROUND(E846*F846,2)</f>
        <v>2.89</v>
      </c>
    </row>
    <row r="847" spans="1:11" s="763" customFormat="1">
      <c r="A847" s="820"/>
      <c r="B847" s="819"/>
      <c r="C847" s="758" t="s">
        <v>1159</v>
      </c>
      <c r="D847" s="842"/>
      <c r="E847" s="842"/>
      <c r="F847" s="842"/>
      <c r="G847" s="848">
        <f>SUM(G842:G846)</f>
        <v>581.43999999999994</v>
      </c>
    </row>
    <row r="848" spans="1:11" s="852" customFormat="1">
      <c r="A848" s="851"/>
      <c r="B848" s="851"/>
      <c r="C848" s="785" t="s">
        <v>822</v>
      </c>
      <c r="D848" s="843"/>
      <c r="E848" s="843"/>
      <c r="F848" s="843"/>
      <c r="G848" s="853">
        <f>ROUND(SUM(G847:G847),2)</f>
        <v>581.44000000000005</v>
      </c>
    </row>
    <row r="849" spans="1:7" s="847" customFormat="1" ht="25.5">
      <c r="A849" s="819">
        <v>24</v>
      </c>
      <c r="B849" s="819" t="s">
        <v>1154</v>
      </c>
      <c r="C849" s="758" t="s">
        <v>1160</v>
      </c>
      <c r="D849" s="820"/>
      <c r="E849" s="820"/>
      <c r="F849" s="772"/>
      <c r="G849" s="772"/>
    </row>
    <row r="850" spans="1:7" s="763" customFormat="1">
      <c r="A850" s="820"/>
      <c r="B850" s="819"/>
      <c r="C850" s="758" t="s">
        <v>1156</v>
      </c>
      <c r="D850" s="842"/>
      <c r="E850" s="842"/>
      <c r="F850" s="842"/>
      <c r="G850" s="848"/>
    </row>
    <row r="851" spans="1:7" s="763" customFormat="1">
      <c r="A851" s="820"/>
      <c r="B851" s="819"/>
      <c r="C851" s="758" t="s">
        <v>1157</v>
      </c>
      <c r="D851" s="842"/>
      <c r="E851" s="842"/>
      <c r="F851" s="842"/>
      <c r="G851" s="848"/>
    </row>
    <row r="852" spans="1:7" s="763" customFormat="1">
      <c r="A852" s="820"/>
      <c r="B852" s="819"/>
      <c r="C852" s="758" t="s">
        <v>1569</v>
      </c>
      <c r="D852" s="842" t="s">
        <v>90</v>
      </c>
      <c r="E852" s="842">
        <v>1</v>
      </c>
      <c r="F852" s="842">
        <f>'MINI SSR 2025-26'!G42</f>
        <v>92.5</v>
      </c>
      <c r="G852" s="848">
        <f>ROUND(E852*F852,2)</f>
        <v>92.5</v>
      </c>
    </row>
    <row r="853" spans="1:7" s="763" customFormat="1">
      <c r="A853" s="820"/>
      <c r="B853" s="819"/>
      <c r="C853" s="758" t="s">
        <v>1158</v>
      </c>
      <c r="D853" s="842"/>
      <c r="E853" s="842"/>
      <c r="F853" s="842"/>
      <c r="G853" s="848"/>
    </row>
    <row r="854" spans="1:7" s="763" customFormat="1">
      <c r="A854" s="820"/>
      <c r="B854" s="819"/>
      <c r="C854" s="758" t="s">
        <v>94</v>
      </c>
      <c r="D854" s="842" t="s">
        <v>27</v>
      </c>
      <c r="E854" s="842">
        <v>0.21</v>
      </c>
      <c r="F854" s="823">
        <f>'MINI SSR 2025-26'!$H$8</f>
        <v>820</v>
      </c>
      <c r="G854" s="848">
        <f>ROUND(E854*F854,2)</f>
        <v>172.2</v>
      </c>
    </row>
    <row r="855" spans="1:7" s="763" customFormat="1">
      <c r="A855" s="820"/>
      <c r="B855" s="819"/>
      <c r="C855" s="758" t="s">
        <v>828</v>
      </c>
      <c r="D855" s="842" t="s">
        <v>27</v>
      </c>
      <c r="E855" s="842">
        <v>0.49</v>
      </c>
      <c r="F855" s="823">
        <f>'MINI SSR 2025-26'!$H$9</f>
        <v>665</v>
      </c>
      <c r="G855" s="848">
        <f>ROUND(E855*F855,2)</f>
        <v>325.85000000000002</v>
      </c>
    </row>
    <row r="856" spans="1:7" s="763" customFormat="1">
      <c r="A856" s="820"/>
      <c r="B856" s="819"/>
      <c r="C856" s="758" t="s">
        <v>829</v>
      </c>
      <c r="D856" s="842"/>
      <c r="E856" s="854">
        <v>5.0000000000000001E-3</v>
      </c>
      <c r="F856" s="842">
        <f>SUM(G852:G855)</f>
        <v>590.54999999999995</v>
      </c>
      <c r="G856" s="848">
        <f>ROUND(E856*F856,2)</f>
        <v>2.95</v>
      </c>
    </row>
    <row r="857" spans="1:7" s="763" customFormat="1">
      <c r="A857" s="820"/>
      <c r="B857" s="819"/>
      <c r="C857" s="758" t="s">
        <v>1159</v>
      </c>
      <c r="D857" s="842"/>
      <c r="E857" s="842"/>
      <c r="F857" s="842"/>
      <c r="G857" s="848">
        <f>SUM(G852:G856)</f>
        <v>593.5</v>
      </c>
    </row>
    <row r="858" spans="1:7" s="852" customFormat="1">
      <c r="A858" s="851"/>
      <c r="B858" s="851"/>
      <c r="C858" s="785" t="s">
        <v>822</v>
      </c>
      <c r="D858" s="843"/>
      <c r="E858" s="843"/>
      <c r="F858" s="843"/>
      <c r="G858" s="853">
        <f>ROUND(SUM(G857:G857),2)</f>
        <v>593.5</v>
      </c>
    </row>
    <row r="859" spans="1:7" s="847" customFormat="1" ht="140.25">
      <c r="A859" s="819">
        <v>25</v>
      </c>
      <c r="B859" s="819" t="s">
        <v>1128</v>
      </c>
      <c r="C859" s="758" t="s">
        <v>947</v>
      </c>
      <c r="D859" s="820"/>
      <c r="E859" s="820"/>
      <c r="F859" s="772"/>
      <c r="G859" s="772"/>
    </row>
    <row r="860" spans="1:7" s="763" customFormat="1">
      <c r="A860" s="820"/>
      <c r="B860" s="819"/>
      <c r="C860" s="785" t="s">
        <v>1161</v>
      </c>
      <c r="D860" s="842"/>
      <c r="E860" s="842"/>
      <c r="F860" s="842"/>
      <c r="G860" s="848"/>
    </row>
    <row r="861" spans="1:7" s="763" customFormat="1">
      <c r="A861" s="820"/>
      <c r="B861" s="819"/>
      <c r="C861" s="758" t="s">
        <v>1171</v>
      </c>
      <c r="D861" s="842" t="s">
        <v>1162</v>
      </c>
      <c r="E861" s="842">
        <v>1</v>
      </c>
      <c r="F861" s="842">
        <f>G848</f>
        <v>581.44000000000005</v>
      </c>
      <c r="G861" s="848">
        <f t="shared" ref="G861:G867" si="9">ROUND(E861*F861,2)</f>
        <v>581.44000000000005</v>
      </c>
    </row>
    <row r="862" spans="1:7" s="763" customFormat="1">
      <c r="A862" s="820"/>
      <c r="B862" s="819"/>
      <c r="C862" s="758"/>
      <c r="D862" s="842"/>
      <c r="E862" s="842"/>
      <c r="F862" s="842"/>
      <c r="G862" s="848"/>
    </row>
    <row r="863" spans="1:7" s="763" customFormat="1">
      <c r="A863" s="820"/>
      <c r="B863" s="819"/>
      <c r="C863" s="849" t="s">
        <v>1163</v>
      </c>
      <c r="D863" s="842"/>
      <c r="E863" s="842"/>
      <c r="F863" s="842"/>
      <c r="G863" s="848"/>
    </row>
    <row r="864" spans="1:7" s="763" customFormat="1">
      <c r="A864" s="820"/>
      <c r="B864" s="819"/>
      <c r="C864" s="758" t="s">
        <v>1172</v>
      </c>
      <c r="D864" s="757" t="s">
        <v>289</v>
      </c>
      <c r="E864" s="768">
        <v>0.8</v>
      </c>
      <c r="F864" s="842">
        <f>'MINI SSR 2025-26'!G43</f>
        <v>175</v>
      </c>
      <c r="G864" s="848">
        <f t="shared" si="9"/>
        <v>140</v>
      </c>
    </row>
    <row r="865" spans="1:7" s="763" customFormat="1">
      <c r="A865" s="820"/>
      <c r="B865" s="819"/>
      <c r="C865" s="849" t="s">
        <v>1165</v>
      </c>
      <c r="D865" s="757"/>
      <c r="E865" s="768"/>
      <c r="F865" s="842"/>
      <c r="G865" s="848"/>
    </row>
    <row r="866" spans="1:7" s="763" customFormat="1">
      <c r="A866" s="820"/>
      <c r="B866" s="819"/>
      <c r="C866" s="758" t="s">
        <v>1166</v>
      </c>
      <c r="D866" s="757" t="s">
        <v>27</v>
      </c>
      <c r="E866" s="823">
        <v>0.36</v>
      </c>
      <c r="F866" s="823">
        <f>'MINI SSR 2025-26'!$H$8</f>
        <v>820</v>
      </c>
      <c r="G866" s="848">
        <f t="shared" si="9"/>
        <v>295.2</v>
      </c>
    </row>
    <row r="867" spans="1:7" s="763" customFormat="1">
      <c r="A867" s="820"/>
      <c r="B867" s="819"/>
      <c r="C867" s="758" t="s">
        <v>1167</v>
      </c>
      <c r="D867" s="757" t="s">
        <v>27</v>
      </c>
      <c r="E867" s="823">
        <v>0.84</v>
      </c>
      <c r="F867" s="823">
        <f>'MINI SSR 2025-26'!$H$9</f>
        <v>665</v>
      </c>
      <c r="G867" s="848">
        <f t="shared" si="9"/>
        <v>558.6</v>
      </c>
    </row>
    <row r="868" spans="1:7" s="763" customFormat="1">
      <c r="A868" s="820"/>
      <c r="B868" s="819"/>
      <c r="C868" s="758" t="s">
        <v>0</v>
      </c>
      <c r="D868" s="842"/>
      <c r="E868" s="842"/>
      <c r="F868" s="842"/>
      <c r="G868" s="848">
        <f>SUM(G861:G867)</f>
        <v>1575.2400000000002</v>
      </c>
    </row>
    <row r="869" spans="1:7" s="763" customFormat="1">
      <c r="A869" s="820"/>
      <c r="B869" s="819"/>
      <c r="C869" s="758"/>
      <c r="D869" s="842"/>
      <c r="E869" s="843" t="s">
        <v>163</v>
      </c>
      <c r="F869" s="843" t="s">
        <v>164</v>
      </c>
      <c r="G869" s="843" t="s">
        <v>165</v>
      </c>
    </row>
    <row r="870" spans="1:7" s="763" customFormat="1">
      <c r="A870" s="820"/>
      <c r="B870" s="819"/>
      <c r="C870" s="758" t="s">
        <v>820</v>
      </c>
      <c r="D870" s="842"/>
      <c r="E870" s="842">
        <f>G868</f>
        <v>1575.2400000000002</v>
      </c>
      <c r="F870" s="850">
        <f>G868</f>
        <v>1575.2400000000002</v>
      </c>
      <c r="G870" s="850">
        <f>G868</f>
        <v>1575.2400000000002</v>
      </c>
    </row>
    <row r="871" spans="1:7" s="763" customFormat="1">
      <c r="A871" s="820"/>
      <c r="B871" s="819"/>
      <c r="C871" s="758" t="s">
        <v>1168</v>
      </c>
      <c r="D871" s="842"/>
      <c r="E871" s="842"/>
      <c r="F871" s="848">
        <f>SUM(G844+G845+G866+G867)*10%</f>
        <v>135.185</v>
      </c>
      <c r="G871" s="848">
        <f>SUM(G844+G845+G866+G867)*20%</f>
        <v>270.37</v>
      </c>
    </row>
    <row r="872" spans="1:7" s="763" customFormat="1">
      <c r="A872" s="820"/>
      <c r="B872" s="819"/>
      <c r="C872" s="758" t="s">
        <v>2213</v>
      </c>
      <c r="D872" s="820"/>
      <c r="E872" s="823">
        <f>ROUND(SUM(E870:E871)*$H$3,2)</f>
        <v>214.47</v>
      </c>
      <c r="F872" s="823">
        <f>ROUND(SUM(F870:F871)*$H$3,2)</f>
        <v>232.87</v>
      </c>
      <c r="G872" s="823">
        <f>ROUND(SUM(G870:G871)*$H$3,2)</f>
        <v>251.28</v>
      </c>
    </row>
    <row r="873" spans="1:7" s="852" customFormat="1">
      <c r="A873" s="851"/>
      <c r="B873" s="851"/>
      <c r="C873" s="785" t="s">
        <v>822</v>
      </c>
      <c r="D873" s="843"/>
      <c r="E873" s="843">
        <f>SUM(E870:E872)</f>
        <v>1789.7100000000003</v>
      </c>
      <c r="F873" s="843">
        <f>SUM(F870:F872)</f>
        <v>1943.2950000000001</v>
      </c>
      <c r="G873" s="843">
        <f>SUM(G870:G872)</f>
        <v>2096.8900000000003</v>
      </c>
    </row>
    <row r="874" spans="1:7" s="852" customFormat="1">
      <c r="A874" s="851"/>
      <c r="B874" s="851"/>
      <c r="C874" s="785" t="s">
        <v>1169</v>
      </c>
      <c r="D874" s="843"/>
      <c r="E874" s="843">
        <f>ROUND(E873/10,2)</f>
        <v>178.97</v>
      </c>
      <c r="F874" s="853">
        <f>ROUND(F873/10,2)</f>
        <v>194.33</v>
      </c>
      <c r="G874" s="853">
        <f>ROUND(G873/10,2)</f>
        <v>209.69</v>
      </c>
    </row>
    <row r="875" spans="1:7" s="847" customFormat="1" ht="140.25">
      <c r="A875" s="819">
        <v>26</v>
      </c>
      <c r="B875" s="819" t="s">
        <v>1128</v>
      </c>
      <c r="C875" s="758" t="s">
        <v>1170</v>
      </c>
      <c r="D875" s="820"/>
      <c r="E875" s="820"/>
      <c r="F875" s="772"/>
      <c r="G875" s="772"/>
    </row>
    <row r="876" spans="1:7" s="763" customFormat="1">
      <c r="A876" s="820"/>
      <c r="B876" s="819"/>
      <c r="C876" s="758" t="s">
        <v>1171</v>
      </c>
      <c r="D876" s="842" t="s">
        <v>1162</v>
      </c>
      <c r="E876" s="842">
        <v>1</v>
      </c>
      <c r="F876" s="842">
        <f>G858</f>
        <v>593.5</v>
      </c>
      <c r="G876" s="848">
        <f>ROUND(E876*F876,2)</f>
        <v>593.5</v>
      </c>
    </row>
    <row r="877" spans="1:7" s="763" customFormat="1">
      <c r="A877" s="820"/>
      <c r="B877" s="819"/>
      <c r="C877" s="849" t="s">
        <v>1163</v>
      </c>
      <c r="D877" s="842"/>
      <c r="E877" s="842"/>
      <c r="F877" s="842"/>
      <c r="G877" s="848"/>
    </row>
    <row r="878" spans="1:7" s="763" customFormat="1" ht="25.5">
      <c r="A878" s="820"/>
      <c r="B878" s="819"/>
      <c r="C878" s="758" t="s">
        <v>1164</v>
      </c>
      <c r="D878" s="757" t="s">
        <v>289</v>
      </c>
      <c r="E878" s="768">
        <v>0.8</v>
      </c>
      <c r="F878" s="842">
        <f>'MINI SSR 2025-26'!G44</f>
        <v>184</v>
      </c>
      <c r="G878" s="848">
        <f>ROUND(E878*F878,2)</f>
        <v>147.19999999999999</v>
      </c>
    </row>
    <row r="879" spans="1:7" s="763" customFormat="1">
      <c r="A879" s="820"/>
      <c r="B879" s="819"/>
      <c r="C879" s="849" t="s">
        <v>1165</v>
      </c>
      <c r="D879" s="757"/>
      <c r="E879" s="768"/>
      <c r="F879" s="842"/>
      <c r="G879" s="848"/>
    </row>
    <row r="880" spans="1:7" s="763" customFormat="1">
      <c r="A880" s="820"/>
      <c r="B880" s="819"/>
      <c r="C880" s="758" t="s">
        <v>1166</v>
      </c>
      <c r="D880" s="757" t="s">
        <v>27</v>
      </c>
      <c r="E880" s="823">
        <v>0.21</v>
      </c>
      <c r="F880" s="823">
        <f>'MINI SSR 2025-26'!$H$8</f>
        <v>820</v>
      </c>
      <c r="G880" s="848">
        <f>ROUND(E880*F880,2)</f>
        <v>172.2</v>
      </c>
    </row>
    <row r="881" spans="1:11" s="763" customFormat="1">
      <c r="A881" s="820"/>
      <c r="B881" s="819"/>
      <c r="C881" s="758" t="s">
        <v>1167</v>
      </c>
      <c r="D881" s="757" t="s">
        <v>27</v>
      </c>
      <c r="E881" s="823">
        <v>0.49</v>
      </c>
      <c r="F881" s="823">
        <f>'MINI SSR 2025-26'!$H$9</f>
        <v>665</v>
      </c>
      <c r="G881" s="848">
        <f>ROUND(E881*F881,2)</f>
        <v>325.85000000000002</v>
      </c>
    </row>
    <row r="882" spans="1:11" s="763" customFormat="1">
      <c r="A882" s="820"/>
      <c r="B882" s="819"/>
      <c r="C882" s="758" t="s">
        <v>306</v>
      </c>
      <c r="D882" s="757" t="s">
        <v>27</v>
      </c>
      <c r="E882" s="823">
        <v>1.5</v>
      </c>
      <c r="F882" s="823">
        <f>'MINI SSR 2025-26'!$H$5</f>
        <v>615</v>
      </c>
      <c r="G882" s="848">
        <f>ROUND(E882*F882,2)</f>
        <v>922.5</v>
      </c>
    </row>
    <row r="883" spans="1:11" s="763" customFormat="1">
      <c r="A883" s="820"/>
      <c r="B883" s="819"/>
      <c r="C883" s="758" t="s">
        <v>0</v>
      </c>
      <c r="D883" s="842"/>
      <c r="E883" s="842"/>
      <c r="F883" s="842"/>
      <c r="G883" s="848">
        <f>SUM(G876:G882)</f>
        <v>2161.25</v>
      </c>
    </row>
    <row r="884" spans="1:11" s="763" customFormat="1">
      <c r="A884" s="820"/>
      <c r="B884" s="819"/>
      <c r="C884" s="758"/>
      <c r="D884" s="842"/>
      <c r="E884" s="843" t="s">
        <v>163</v>
      </c>
      <c r="F884" s="843" t="s">
        <v>164</v>
      </c>
      <c r="G884" s="843" t="s">
        <v>165</v>
      </c>
    </row>
    <row r="885" spans="1:11" s="763" customFormat="1">
      <c r="A885" s="820"/>
      <c r="B885" s="819"/>
      <c r="C885" s="758" t="s">
        <v>820</v>
      </c>
      <c r="D885" s="842"/>
      <c r="E885" s="842">
        <f>G883</f>
        <v>2161.25</v>
      </c>
      <c r="F885" s="850">
        <f>G883</f>
        <v>2161.25</v>
      </c>
      <c r="G885" s="850">
        <f>G883</f>
        <v>2161.25</v>
      </c>
    </row>
    <row r="886" spans="1:11" s="763" customFormat="1">
      <c r="A886" s="820"/>
      <c r="B886" s="819"/>
      <c r="C886" s="758" t="s">
        <v>824</v>
      </c>
      <c r="D886" s="842"/>
      <c r="E886" s="842"/>
      <c r="F886" s="848">
        <f>SUM(G854+G855+G880+G881+G882)*10%</f>
        <v>191.86</v>
      </c>
      <c r="G886" s="848">
        <f>SUM(G854+G855+G880+G881+G882)*20%</f>
        <v>383.72</v>
      </c>
    </row>
    <row r="887" spans="1:11" s="763" customFormat="1">
      <c r="A887" s="820"/>
      <c r="B887" s="819"/>
      <c r="C887" s="758" t="s">
        <v>2213</v>
      </c>
      <c r="D887" s="820"/>
      <c r="E887" s="823">
        <f>ROUND(SUM(E885:E886)*$H$3,2)</f>
        <v>294.25</v>
      </c>
      <c r="F887" s="823">
        <f>ROUND(SUM(F885:F886)*$H$3,2)</f>
        <v>320.38</v>
      </c>
      <c r="G887" s="823">
        <f>ROUND(SUM(G885:G886)*$H$3,2)</f>
        <v>346.5</v>
      </c>
    </row>
    <row r="888" spans="1:11" s="852" customFormat="1">
      <c r="A888" s="851"/>
      <c r="B888" s="851"/>
      <c r="C888" s="785" t="s">
        <v>822</v>
      </c>
      <c r="D888" s="843"/>
      <c r="E888" s="843">
        <f>SUM(E885:E887)</f>
        <v>2455.5</v>
      </c>
      <c r="F888" s="843">
        <f>SUM(F885:F887)</f>
        <v>2673.4900000000002</v>
      </c>
      <c r="G888" s="843">
        <f>SUM(G885:G887)</f>
        <v>2891.4700000000003</v>
      </c>
    </row>
    <row r="889" spans="1:11" s="852" customFormat="1">
      <c r="A889" s="851"/>
      <c r="B889" s="851"/>
      <c r="C889" s="785" t="s">
        <v>1169</v>
      </c>
      <c r="D889" s="843"/>
      <c r="E889" s="843">
        <f>ROUND(E888/10,2)</f>
        <v>245.55</v>
      </c>
      <c r="F889" s="853">
        <f>ROUND(F888/10,2)</f>
        <v>267.35000000000002</v>
      </c>
      <c r="G889" s="853">
        <f>ROUND(G888/10,2)</f>
        <v>289.14999999999998</v>
      </c>
    </row>
    <row r="890" spans="1:11" s="763" customFormat="1" ht="140.25">
      <c r="A890" s="757">
        <v>11</v>
      </c>
      <c r="B890" s="819" t="s">
        <v>96</v>
      </c>
      <c r="C890" s="758" t="s">
        <v>1109</v>
      </c>
      <c r="D890" s="820"/>
      <c r="E890" s="820"/>
      <c r="F890" s="820"/>
      <c r="G890" s="819"/>
      <c r="H890" s="821"/>
    </row>
    <row r="891" spans="1:11" s="763" customFormat="1">
      <c r="A891" s="757"/>
      <c r="B891" s="819"/>
      <c r="C891" s="785" t="s">
        <v>42</v>
      </c>
      <c r="D891" s="820"/>
      <c r="E891" s="820"/>
      <c r="F891" s="820"/>
      <c r="G891" s="825"/>
      <c r="H891" s="821"/>
    </row>
    <row r="892" spans="1:11" s="763" customFormat="1">
      <c r="A892" s="757"/>
      <c r="B892" s="819"/>
      <c r="C892" s="785" t="s">
        <v>97</v>
      </c>
      <c r="D892" s="820"/>
      <c r="E892" s="820"/>
      <c r="F892" s="820"/>
      <c r="G892" s="825"/>
      <c r="H892" s="821"/>
    </row>
    <row r="893" spans="1:11" s="763" customFormat="1">
      <c r="A893" s="757"/>
      <c r="B893" s="819"/>
      <c r="C893" s="785" t="s">
        <v>60</v>
      </c>
      <c r="D893" s="820"/>
      <c r="E893" s="820"/>
      <c r="F893" s="820"/>
      <c r="G893" s="825"/>
      <c r="H893" s="821"/>
    </row>
    <row r="894" spans="1:11" s="763" customFormat="1">
      <c r="A894" s="757"/>
      <c r="B894" s="819"/>
      <c r="C894" s="758" t="s">
        <v>217</v>
      </c>
      <c r="D894" s="820" t="s">
        <v>30</v>
      </c>
      <c r="E894" s="823">
        <v>0.7</v>
      </c>
      <c r="F894" s="823">
        <f>'MINI SSR 2025-26'!G45</f>
        <v>189</v>
      </c>
      <c r="G894" s="824">
        <f>ROUND(E894*F894,2)</f>
        <v>132.30000000000001</v>
      </c>
      <c r="H894" s="821"/>
    </row>
    <row r="895" spans="1:11" s="763" customFormat="1">
      <c r="A895" s="820"/>
      <c r="B895" s="819"/>
      <c r="C895" s="785" t="s">
        <v>68</v>
      </c>
      <c r="D895" s="820"/>
      <c r="E895" s="823"/>
      <c r="F895" s="823"/>
      <c r="G895" s="824"/>
      <c r="H895" s="821"/>
    </row>
    <row r="896" spans="1:11" s="763" customFormat="1">
      <c r="A896" s="820"/>
      <c r="B896" s="820"/>
      <c r="C896" s="758" t="s">
        <v>94</v>
      </c>
      <c r="D896" s="820" t="s">
        <v>27</v>
      </c>
      <c r="E896" s="823">
        <v>0.21</v>
      </c>
      <c r="F896" s="823">
        <f>'MINI SSR 2025-26'!$H$8</f>
        <v>820</v>
      </c>
      <c r="G896" s="824">
        <f>ROUND(E896*F896,2)</f>
        <v>172.2</v>
      </c>
      <c r="H896" s="821"/>
      <c r="K896" s="827">
        <f>G896</f>
        <v>172.2</v>
      </c>
    </row>
    <row r="897" spans="1:11" s="763" customFormat="1">
      <c r="A897" s="820"/>
      <c r="B897" s="820"/>
      <c r="C897" s="758" t="s">
        <v>830</v>
      </c>
      <c r="D897" s="820" t="s">
        <v>27</v>
      </c>
      <c r="E897" s="823">
        <v>0.48</v>
      </c>
      <c r="F897" s="823">
        <f>'MINI SSR 2025-26'!$H$9</f>
        <v>665</v>
      </c>
      <c r="G897" s="824">
        <f>ROUND(E897*F897,2)</f>
        <v>319.2</v>
      </c>
      <c r="H897" s="821"/>
      <c r="K897" s="827">
        <f>G897</f>
        <v>319.2</v>
      </c>
    </row>
    <row r="898" spans="1:11" s="763" customFormat="1">
      <c r="A898" s="820"/>
      <c r="B898" s="820"/>
      <c r="C898" s="758" t="s">
        <v>95</v>
      </c>
      <c r="D898" s="820"/>
      <c r="E898" s="823"/>
      <c r="F898" s="831">
        <f>SUM(G894:G897)</f>
        <v>623.70000000000005</v>
      </c>
      <c r="G898" s="824">
        <f>ROUND(F898*0.01,2)</f>
        <v>6.24</v>
      </c>
      <c r="H898" s="821"/>
    </row>
    <row r="899" spans="1:11" s="763" customFormat="1">
      <c r="A899" s="820"/>
      <c r="B899" s="820"/>
      <c r="C899" s="785" t="s">
        <v>98</v>
      </c>
      <c r="D899" s="820"/>
      <c r="E899" s="820"/>
      <c r="F899" s="820"/>
      <c r="G899" s="828"/>
      <c r="H899" s="821"/>
    </row>
    <row r="900" spans="1:11" s="763" customFormat="1">
      <c r="A900" s="820"/>
      <c r="B900" s="820"/>
      <c r="C900" s="785" t="s">
        <v>60</v>
      </c>
      <c r="D900" s="820"/>
      <c r="E900" s="820"/>
      <c r="F900" s="820"/>
      <c r="G900" s="825"/>
      <c r="H900" s="821"/>
    </row>
    <row r="901" spans="1:11" s="763" customFormat="1">
      <c r="A901" s="820"/>
      <c r="B901" s="820"/>
      <c r="C901" s="758" t="s">
        <v>218</v>
      </c>
      <c r="D901" s="820" t="s">
        <v>30</v>
      </c>
      <c r="E901" s="823">
        <v>2.8</v>
      </c>
      <c r="F901" s="823">
        <f>'MINI SSR 2025-26'!G46</f>
        <v>176</v>
      </c>
      <c r="G901" s="824">
        <f>ROUND(E901*F901,2)</f>
        <v>492.8</v>
      </c>
      <c r="H901" s="821"/>
    </row>
    <row r="902" spans="1:11" s="763" customFormat="1">
      <c r="A902" s="820"/>
      <c r="B902" s="820"/>
      <c r="C902" s="785" t="s">
        <v>68</v>
      </c>
      <c r="D902" s="820"/>
      <c r="E902" s="823"/>
      <c r="F902" s="823"/>
      <c r="G902" s="824"/>
      <c r="H902" s="821"/>
    </row>
    <row r="903" spans="1:11" s="763" customFormat="1">
      <c r="A903" s="820"/>
      <c r="B903" s="820"/>
      <c r="C903" s="758" t="s">
        <v>94</v>
      </c>
      <c r="D903" s="820" t="s">
        <v>27</v>
      </c>
      <c r="E903" s="823">
        <v>0.36</v>
      </c>
      <c r="F903" s="823">
        <f>'MINI SSR 2025-26'!$H$8</f>
        <v>820</v>
      </c>
      <c r="G903" s="824">
        <f>ROUND(E903*F903,2)</f>
        <v>295.2</v>
      </c>
      <c r="H903" s="821"/>
      <c r="K903" s="827">
        <f>G903</f>
        <v>295.2</v>
      </c>
    </row>
    <row r="904" spans="1:11" s="763" customFormat="1">
      <c r="A904" s="820"/>
      <c r="B904" s="820"/>
      <c r="C904" s="758" t="s">
        <v>830</v>
      </c>
      <c r="D904" s="820" t="s">
        <v>27</v>
      </c>
      <c r="E904" s="823">
        <v>0.84</v>
      </c>
      <c r="F904" s="823">
        <f>'MINI SSR 2025-26'!$H$9</f>
        <v>665</v>
      </c>
      <c r="G904" s="824">
        <f>ROUND(E904*F904,2)</f>
        <v>558.6</v>
      </c>
      <c r="H904" s="821"/>
      <c r="K904" s="827">
        <f>G904</f>
        <v>558.6</v>
      </c>
    </row>
    <row r="905" spans="1:11" s="763" customFormat="1">
      <c r="A905" s="820"/>
      <c r="B905" s="820"/>
      <c r="C905" s="758"/>
      <c r="D905" s="820"/>
      <c r="E905" s="823"/>
      <c r="F905" s="823"/>
      <c r="G905" s="824">
        <f>SUM(G894:G904)</f>
        <v>1976.54</v>
      </c>
      <c r="H905" s="821"/>
      <c r="K905" s="827"/>
    </row>
    <row r="906" spans="1:11" s="763" customFormat="1">
      <c r="A906" s="820"/>
      <c r="B906" s="820"/>
      <c r="C906" s="758" t="s">
        <v>2213</v>
      </c>
      <c r="D906" s="820"/>
      <c r="E906" s="823"/>
      <c r="F906" s="823"/>
      <c r="G906" s="828">
        <f>ROUND(G905*$H$3,2)</f>
        <v>269.11</v>
      </c>
      <c r="H906" s="821"/>
      <c r="K906" s="827"/>
    </row>
    <row r="907" spans="1:11" s="763" customFormat="1">
      <c r="A907" s="820"/>
      <c r="B907" s="820"/>
      <c r="C907" s="785" t="s">
        <v>99</v>
      </c>
      <c r="D907" s="820"/>
      <c r="E907" s="820"/>
      <c r="F907" s="820"/>
      <c r="G907" s="828">
        <f>SUM(G905:G906)</f>
        <v>2245.65</v>
      </c>
      <c r="H907" s="821"/>
      <c r="K907" s="834">
        <f>SUM(K896:K903)</f>
        <v>786.59999999999991</v>
      </c>
    </row>
    <row r="908" spans="1:11" s="763" customFormat="1" ht="13.5" thickBot="1">
      <c r="A908" s="820"/>
      <c r="B908" s="820"/>
      <c r="C908" s="785" t="s">
        <v>119</v>
      </c>
      <c r="D908" s="820"/>
      <c r="E908" s="820"/>
      <c r="F908" s="820"/>
      <c r="G908" s="828">
        <f>ROUND(G907/10,2)</f>
        <v>224.57</v>
      </c>
      <c r="H908" s="821"/>
      <c r="K908" s="829">
        <f>ROUND(K907/10,2)</f>
        <v>78.66</v>
      </c>
    </row>
    <row r="909" spans="1:11" ht="64.5" hidden="1" thickTop="1">
      <c r="A909" s="110">
        <v>59</v>
      </c>
      <c r="B909" s="278"/>
      <c r="C909" s="632" t="s">
        <v>958</v>
      </c>
      <c r="D909" s="179"/>
      <c r="E909" s="179"/>
      <c r="F909" s="179"/>
      <c r="G909" s="273"/>
      <c r="H909" s="10"/>
    </row>
    <row r="910" spans="1:11" ht="13.5" hidden="1" thickTop="1">
      <c r="A910" s="179"/>
      <c r="B910" s="179" t="s">
        <v>1220</v>
      </c>
      <c r="C910" s="632" t="s">
        <v>1219</v>
      </c>
      <c r="D910" s="179" t="s">
        <v>102</v>
      </c>
      <c r="E910" s="281">
        <v>1</v>
      </c>
      <c r="F910" s="281">
        <v>205</v>
      </c>
      <c r="G910" s="173">
        <f>ROUND(E910*F910,2)</f>
        <v>205</v>
      </c>
      <c r="H910" s="10"/>
    </row>
    <row r="911" spans="1:11" ht="13.5" hidden="1" thickTop="1">
      <c r="A911" s="179"/>
      <c r="B911" s="179"/>
      <c r="C911" s="287"/>
      <c r="D911" s="179"/>
      <c r="E911" s="179"/>
      <c r="F911" s="179"/>
      <c r="G911" s="282">
        <f>SUM(G910:G910)</f>
        <v>205</v>
      </c>
      <c r="H911" s="10"/>
    </row>
    <row r="912" spans="1:11" s="763" customFormat="1" ht="306.75" thickTop="1">
      <c r="A912" s="757">
        <v>8</v>
      </c>
      <c r="B912" s="819"/>
      <c r="C912" s="758" t="s">
        <v>960</v>
      </c>
      <c r="D912" s="820"/>
      <c r="E912" s="820"/>
      <c r="F912" s="820"/>
      <c r="G912" s="825"/>
    </row>
    <row r="913" spans="1:11" s="763" customFormat="1">
      <c r="A913" s="820"/>
      <c r="B913" s="820"/>
      <c r="C913" s="758" t="s">
        <v>227</v>
      </c>
      <c r="D913" s="820"/>
      <c r="E913" s="823"/>
      <c r="F913" s="823"/>
      <c r="G913" s="824"/>
    </row>
    <row r="914" spans="1:11" s="763" customFormat="1">
      <c r="A914" s="820"/>
      <c r="B914" s="820" t="s">
        <v>1577</v>
      </c>
      <c r="C914" s="758" t="s">
        <v>1221</v>
      </c>
      <c r="D914" s="823" t="s">
        <v>289</v>
      </c>
      <c r="E914" s="830">
        <v>6.5000000000000002E-2</v>
      </c>
      <c r="F914" s="842">
        <f>'MINI SSR 2025-26'!G47</f>
        <v>924</v>
      </c>
      <c r="G914" s="824">
        <f>ROUND(E914*F914,2)</f>
        <v>60.06</v>
      </c>
      <c r="H914" s="821"/>
      <c r="K914" s="827"/>
    </row>
    <row r="915" spans="1:11" s="763" customFormat="1">
      <c r="A915" s="820"/>
      <c r="B915" s="820" t="s">
        <v>1222</v>
      </c>
      <c r="C915" s="758" t="s">
        <v>1223</v>
      </c>
      <c r="D915" s="823" t="s">
        <v>289</v>
      </c>
      <c r="E915" s="830">
        <v>3.3000000000000002E-2</v>
      </c>
      <c r="F915" s="842">
        <f>'MINI SSR 2025-26'!G48</f>
        <v>186</v>
      </c>
      <c r="G915" s="824">
        <f>ROUND(E915*F915,2)</f>
        <v>6.14</v>
      </c>
      <c r="H915" s="821"/>
      <c r="K915" s="827"/>
    </row>
    <row r="916" spans="1:11" s="763" customFormat="1">
      <c r="A916" s="757"/>
      <c r="B916" s="819"/>
      <c r="C916" s="758" t="s">
        <v>94</v>
      </c>
      <c r="D916" s="823" t="s">
        <v>27</v>
      </c>
      <c r="E916" s="823">
        <v>0.24</v>
      </c>
      <c r="F916" s="823">
        <f>'MINI SSR 2025-26'!$H$8</f>
        <v>820</v>
      </c>
      <c r="G916" s="824">
        <f t="shared" ref="G916:G918" si="10">ROUND(E916*F916,2)</f>
        <v>196.8</v>
      </c>
    </row>
    <row r="917" spans="1:11" s="763" customFormat="1">
      <c r="A917" s="757"/>
      <c r="B917" s="819"/>
      <c r="C917" s="758" t="s">
        <v>828</v>
      </c>
      <c r="D917" s="823" t="s">
        <v>27</v>
      </c>
      <c r="E917" s="823">
        <v>0.56000000000000005</v>
      </c>
      <c r="F917" s="823">
        <f>'MINI SSR 2025-26'!$H$9</f>
        <v>665</v>
      </c>
      <c r="G917" s="824">
        <f t="shared" si="10"/>
        <v>372.4</v>
      </c>
    </row>
    <row r="918" spans="1:11" s="763" customFormat="1">
      <c r="A918" s="757"/>
      <c r="B918" s="819"/>
      <c r="C918" s="758" t="s">
        <v>151</v>
      </c>
      <c r="D918" s="823" t="s">
        <v>27</v>
      </c>
      <c r="E918" s="823">
        <v>0.8</v>
      </c>
      <c r="F918" s="823">
        <f>'MINI SSR 2025-26'!$H$5</f>
        <v>615</v>
      </c>
      <c r="G918" s="824">
        <f t="shared" si="10"/>
        <v>492</v>
      </c>
    </row>
    <row r="919" spans="1:11" s="763" customFormat="1">
      <c r="A919" s="757"/>
      <c r="B919" s="819"/>
      <c r="C919" s="758"/>
      <c r="D919" s="823"/>
      <c r="E919" s="823"/>
      <c r="F919" s="823"/>
      <c r="G919" s="824">
        <f>SUM(G914:G918)</f>
        <v>1127.4000000000001</v>
      </c>
    </row>
    <row r="920" spans="1:11" s="763" customFormat="1">
      <c r="A920" s="757"/>
      <c r="B920" s="819"/>
      <c r="C920" s="758" t="s">
        <v>2213</v>
      </c>
      <c r="D920" s="820"/>
      <c r="E920" s="823"/>
      <c r="F920" s="823"/>
      <c r="G920" s="828">
        <f>ROUND(G919*$H$3,2)</f>
        <v>153.5</v>
      </c>
    </row>
    <row r="921" spans="1:11" s="763" customFormat="1">
      <c r="A921" s="757"/>
      <c r="B921" s="819"/>
      <c r="C921" s="785" t="s">
        <v>959</v>
      </c>
      <c r="D921" s="823"/>
      <c r="E921" s="843"/>
      <c r="F921" s="843"/>
      <c r="G921" s="824">
        <f>SUM(G919:G920)</f>
        <v>1280.9000000000001</v>
      </c>
    </row>
    <row r="922" spans="1:11" ht="89.25" hidden="1">
      <c r="A922" s="110">
        <v>16</v>
      </c>
      <c r="B922" s="278"/>
      <c r="C922" s="632" t="s">
        <v>961</v>
      </c>
      <c r="D922" s="179"/>
      <c r="E922" s="179"/>
      <c r="F922" s="179"/>
      <c r="G922" s="273"/>
      <c r="H922" s="10"/>
    </row>
    <row r="923" spans="1:11" hidden="1">
      <c r="A923" s="179"/>
      <c r="B923" s="179"/>
      <c r="C923" s="632" t="s">
        <v>962</v>
      </c>
      <c r="D923" s="179" t="s">
        <v>102</v>
      </c>
      <c r="E923" s="281">
        <v>1</v>
      </c>
      <c r="F923" s="281">
        <v>630</v>
      </c>
      <c r="G923" s="173">
        <f>ROUND(E923*F923,2)</f>
        <v>630</v>
      </c>
      <c r="H923" s="10"/>
    </row>
    <row r="924" spans="1:11" hidden="1">
      <c r="A924" s="179"/>
      <c r="B924" s="179"/>
      <c r="C924" s="632" t="s">
        <v>2213</v>
      </c>
      <c r="D924" s="179"/>
      <c r="E924" s="281"/>
      <c r="F924" s="281"/>
      <c r="G924" s="273">
        <f>ROUND(SUM(G923)*13.615%,2)</f>
        <v>85.77</v>
      </c>
      <c r="K924" s="20"/>
    </row>
    <row r="925" spans="1:11" hidden="1">
      <c r="A925" s="179"/>
      <c r="B925" s="179"/>
      <c r="C925" s="287"/>
      <c r="D925" s="179"/>
      <c r="E925" s="179"/>
      <c r="F925" s="179"/>
      <c r="G925" s="282">
        <f>SUBTOTAL(9,G923:G924)</f>
        <v>0</v>
      </c>
      <c r="H925" s="10"/>
    </row>
    <row r="926" spans="1:11" ht="165.75" hidden="1">
      <c r="A926" s="110">
        <v>62</v>
      </c>
      <c r="B926" s="278"/>
      <c r="C926" s="632" t="s">
        <v>669</v>
      </c>
      <c r="D926" s="179"/>
      <c r="E926" s="179"/>
      <c r="F926" s="179"/>
      <c r="G926" s="273"/>
      <c r="H926" s="10"/>
    </row>
    <row r="927" spans="1:11" hidden="1">
      <c r="A927" s="179"/>
      <c r="B927" s="179" t="s">
        <v>1173</v>
      </c>
      <c r="C927" s="632" t="s">
        <v>374</v>
      </c>
      <c r="D927" s="179" t="s">
        <v>102</v>
      </c>
      <c r="E927" s="281">
        <v>1</v>
      </c>
      <c r="F927" s="281">
        <f>'MINI SSR 2025-26'!C47</f>
        <v>4517</v>
      </c>
      <c r="G927" s="173">
        <f>ROUND(E927*F927,2)</f>
        <v>4517</v>
      </c>
      <c r="H927" s="10"/>
    </row>
    <row r="928" spans="1:11" hidden="1">
      <c r="A928" s="179"/>
      <c r="B928" s="179"/>
      <c r="C928" s="287"/>
      <c r="D928" s="179"/>
      <c r="E928" s="179"/>
      <c r="F928" s="179"/>
      <c r="G928" s="282">
        <f>SUM(G927:G927)</f>
        <v>4517</v>
      </c>
      <c r="H928" s="10"/>
    </row>
    <row r="929" spans="1:8" ht="51" hidden="1">
      <c r="A929" s="110">
        <v>27</v>
      </c>
      <c r="B929" s="278"/>
      <c r="C929" s="632" t="s">
        <v>905</v>
      </c>
      <c r="D929" s="179"/>
      <c r="E929" s="179"/>
      <c r="F929" s="179"/>
      <c r="G929" s="273"/>
      <c r="H929" s="10"/>
    </row>
    <row r="930" spans="1:8" hidden="1">
      <c r="A930" s="179"/>
      <c r="B930" s="179" t="s">
        <v>1225</v>
      </c>
      <c r="C930" s="632" t="s">
        <v>1224</v>
      </c>
      <c r="D930" s="179" t="s">
        <v>271</v>
      </c>
      <c r="E930" s="157">
        <v>1</v>
      </c>
      <c r="F930" s="12">
        <f>'MINI SSR 2025-26'!C48</f>
        <v>390</v>
      </c>
      <c r="G930" s="173">
        <f>ROUND(E930*F930,2)</f>
        <v>390</v>
      </c>
      <c r="H930" s="10"/>
    </row>
    <row r="931" spans="1:8" hidden="1">
      <c r="A931" s="179"/>
      <c r="B931" s="179"/>
      <c r="C931" s="632" t="s">
        <v>907</v>
      </c>
      <c r="D931" s="179"/>
      <c r="E931" s="157"/>
      <c r="F931" s="12"/>
      <c r="G931" s="173"/>
      <c r="H931" s="10"/>
    </row>
    <row r="932" spans="1:8" hidden="1">
      <c r="A932" s="179"/>
      <c r="B932" s="179"/>
      <c r="C932" s="632" t="s">
        <v>2260</v>
      </c>
      <c r="D932" s="179"/>
      <c r="E932" s="157"/>
      <c r="F932" s="12"/>
      <c r="G932" s="173"/>
      <c r="H932" s="10"/>
    </row>
    <row r="933" spans="1:8" hidden="1">
      <c r="A933" s="179"/>
      <c r="B933" s="179"/>
      <c r="C933" s="632" t="s">
        <v>2261</v>
      </c>
      <c r="D933" s="179"/>
      <c r="E933" s="157"/>
      <c r="F933" s="12"/>
      <c r="G933" s="173"/>
      <c r="H933" s="10"/>
    </row>
    <row r="934" spans="1:8" hidden="1">
      <c r="A934" s="179"/>
      <c r="B934" s="179"/>
      <c r="C934" s="632" t="s">
        <v>2262</v>
      </c>
      <c r="D934" s="179"/>
      <c r="E934" s="157"/>
      <c r="F934" s="12"/>
      <c r="G934" s="173"/>
      <c r="H934" s="10"/>
    </row>
    <row r="935" spans="1:8" hidden="1">
      <c r="A935" s="179"/>
      <c r="B935" s="179"/>
      <c r="C935" s="632" t="s">
        <v>908</v>
      </c>
      <c r="D935" s="179" t="s">
        <v>271</v>
      </c>
      <c r="E935" s="157">
        <v>1</v>
      </c>
      <c r="F935" s="12">
        <f>ROUND((1.2*F930)/0.45,2)</f>
        <v>1040</v>
      </c>
      <c r="G935" s="173">
        <f>ROUND(E935*F935,2)</f>
        <v>1040</v>
      </c>
      <c r="H935" s="10"/>
    </row>
    <row r="936" spans="1:8" hidden="1">
      <c r="A936" s="179"/>
      <c r="B936" s="179"/>
      <c r="C936" s="14"/>
      <c r="D936" s="110"/>
      <c r="E936" s="157"/>
      <c r="F936" s="12"/>
      <c r="G936" s="11"/>
      <c r="H936" s="10"/>
    </row>
    <row r="937" spans="1:8" hidden="1">
      <c r="A937" s="179"/>
      <c r="B937" s="179"/>
      <c r="C937" s="287"/>
      <c r="D937" s="179"/>
      <c r="E937" s="179"/>
      <c r="F937" s="179"/>
      <c r="G937" s="282">
        <f>SUM(G935:G936)</f>
        <v>1040</v>
      </c>
      <c r="H937" s="10"/>
    </row>
    <row r="938" spans="1:8" ht="51" hidden="1">
      <c r="A938" s="110">
        <v>64</v>
      </c>
      <c r="B938" s="278"/>
      <c r="C938" s="632" t="s">
        <v>1022</v>
      </c>
      <c r="D938" s="179"/>
      <c r="E938" s="179"/>
      <c r="F938" s="179"/>
      <c r="G938" s="273"/>
      <c r="H938" s="10"/>
    </row>
    <row r="939" spans="1:8" hidden="1">
      <c r="A939" s="179"/>
      <c r="B939" s="179" t="s">
        <v>1225</v>
      </c>
      <c r="C939" s="632" t="s">
        <v>1224</v>
      </c>
      <c r="D939" s="179" t="s">
        <v>271</v>
      </c>
      <c r="E939" s="157">
        <v>1</v>
      </c>
      <c r="F939" s="12">
        <f>'MINI SSR 2025-26'!C48</f>
        <v>390</v>
      </c>
      <c r="G939" s="173">
        <f>ROUND(E939*F939,2)</f>
        <v>390</v>
      </c>
      <c r="H939" s="10"/>
    </row>
    <row r="940" spans="1:8" hidden="1">
      <c r="A940" s="179"/>
      <c r="B940" s="179"/>
      <c r="C940" s="632" t="s">
        <v>1023</v>
      </c>
      <c r="D940" s="179"/>
      <c r="E940" s="157"/>
      <c r="F940" s="12"/>
      <c r="G940" s="173"/>
      <c r="H940" s="10"/>
    </row>
    <row r="941" spans="1:8" hidden="1">
      <c r="A941" s="179"/>
      <c r="B941" s="179"/>
      <c r="C941" s="632" t="s">
        <v>2263</v>
      </c>
      <c r="D941" s="179"/>
      <c r="E941" s="157"/>
      <c r="F941" s="12"/>
      <c r="G941" s="173"/>
      <c r="H941" s="10"/>
    </row>
    <row r="942" spans="1:8" hidden="1">
      <c r="A942" s="179"/>
      <c r="B942" s="179"/>
      <c r="C942" s="632" t="s">
        <v>2264</v>
      </c>
      <c r="D942" s="179"/>
      <c r="E942" s="157"/>
      <c r="F942" s="12"/>
      <c r="G942" s="173"/>
      <c r="H942" s="10"/>
    </row>
    <row r="943" spans="1:8" hidden="1">
      <c r="A943" s="179"/>
      <c r="B943" s="179"/>
      <c r="C943" s="632" t="s">
        <v>2265</v>
      </c>
      <c r="D943" s="179"/>
      <c r="E943" s="157"/>
      <c r="F943" s="12"/>
      <c r="G943" s="173"/>
      <c r="H943" s="10"/>
    </row>
    <row r="944" spans="1:8" hidden="1">
      <c r="A944" s="179"/>
      <c r="B944" s="179"/>
      <c r="C944" s="632" t="s">
        <v>1023</v>
      </c>
      <c r="D944" s="179" t="s">
        <v>271</v>
      </c>
      <c r="E944" s="157">
        <v>1</v>
      </c>
      <c r="F944" s="12">
        <f>ROUND((0.9*F939)/0.45,2)</f>
        <v>780</v>
      </c>
      <c r="G944" s="173">
        <f>ROUND(E944*F944,2)</f>
        <v>780</v>
      </c>
      <c r="H944" s="10"/>
    </row>
    <row r="945" spans="1:8" hidden="1">
      <c r="A945" s="179"/>
      <c r="B945" s="179"/>
      <c r="C945" s="14"/>
      <c r="D945" s="110"/>
      <c r="E945" s="157"/>
      <c r="F945" s="12"/>
      <c r="G945" s="11"/>
      <c r="H945" s="10"/>
    </row>
    <row r="946" spans="1:8" hidden="1">
      <c r="A946" s="179"/>
      <c r="B946" s="179"/>
      <c r="C946" s="287"/>
      <c r="D946" s="179"/>
      <c r="E946" s="179"/>
      <c r="F946" s="179"/>
      <c r="G946" s="282">
        <f>SUM(G944:G945)</f>
        <v>780</v>
      </c>
      <c r="H946" s="10"/>
    </row>
    <row r="947" spans="1:8" ht="51" hidden="1">
      <c r="A947" s="110">
        <v>28</v>
      </c>
      <c r="B947" s="278"/>
      <c r="C947" s="632" t="s">
        <v>906</v>
      </c>
      <c r="D947" s="179"/>
      <c r="E947" s="179"/>
      <c r="F947" s="179"/>
      <c r="G947" s="273"/>
      <c r="H947" s="10"/>
    </row>
    <row r="948" spans="1:8" hidden="1">
      <c r="A948" s="179"/>
      <c r="B948" s="179" t="s">
        <v>1227</v>
      </c>
      <c r="C948" s="632" t="s">
        <v>1226</v>
      </c>
      <c r="D948" s="179" t="s">
        <v>271</v>
      </c>
      <c r="E948" s="157">
        <v>1</v>
      </c>
      <c r="F948" s="12">
        <f>'MINI SSR 2025-26'!C49</f>
        <v>250</v>
      </c>
      <c r="G948" s="173">
        <f>ROUND(E948*F948,2)</f>
        <v>250</v>
      </c>
      <c r="H948" s="10"/>
    </row>
    <row r="949" spans="1:8" hidden="1">
      <c r="A949" s="179"/>
      <c r="B949" s="179"/>
      <c r="C949" s="14"/>
      <c r="D949" s="110"/>
      <c r="E949" s="157"/>
      <c r="F949" s="12"/>
      <c r="G949" s="11"/>
      <c r="H949" s="10"/>
    </row>
    <row r="950" spans="1:8" hidden="1">
      <c r="A950" s="179"/>
      <c r="B950" s="179"/>
      <c r="C950" s="287"/>
      <c r="D950" s="179"/>
      <c r="E950" s="179"/>
      <c r="F950" s="179"/>
      <c r="G950" s="282">
        <f>SUM(G948:G949)</f>
        <v>250</v>
      </c>
      <c r="H950" s="10"/>
    </row>
    <row r="951" spans="1:8" ht="236.25" hidden="1">
      <c r="A951" s="179">
        <v>13</v>
      </c>
      <c r="B951" s="179" t="s">
        <v>1128</v>
      </c>
      <c r="C951" s="568" t="s">
        <v>1852</v>
      </c>
      <c r="D951" s="179"/>
      <c r="E951" s="179"/>
      <c r="F951" s="178"/>
      <c r="G951" s="273"/>
    </row>
    <row r="952" spans="1:8" hidden="1">
      <c r="A952" s="110"/>
      <c r="B952" s="569"/>
      <c r="C952" s="287" t="s">
        <v>1853</v>
      </c>
      <c r="D952" s="570"/>
      <c r="E952" s="281"/>
      <c r="F952" s="178"/>
      <c r="G952" s="273"/>
    </row>
    <row r="953" spans="1:8" hidden="1">
      <c r="A953" s="110"/>
      <c r="B953" s="569"/>
      <c r="C953" s="287" t="s">
        <v>1854</v>
      </c>
      <c r="D953" s="570"/>
      <c r="E953" s="281"/>
      <c r="F953" s="178"/>
      <c r="G953" s="273"/>
    </row>
    <row r="954" spans="1:8" hidden="1">
      <c r="A954" s="110"/>
      <c r="B954" s="569"/>
      <c r="C954" s="632" t="s">
        <v>1855</v>
      </c>
      <c r="D954" s="570"/>
      <c r="E954" s="281"/>
      <c r="F954" s="178"/>
      <c r="G954" s="273"/>
    </row>
    <row r="955" spans="1:8" hidden="1">
      <c r="A955" s="110"/>
      <c r="B955" s="569"/>
      <c r="C955" s="632" t="s">
        <v>1856</v>
      </c>
      <c r="D955" s="179" t="s">
        <v>77</v>
      </c>
      <c r="E955" s="281">
        <v>1.0256000000000001</v>
      </c>
      <c r="F955" s="273">
        <v>275</v>
      </c>
      <c r="G955" s="173">
        <f t="shared" ref="G955" si="11">ROUND(E955*F955,2)</f>
        <v>282.04000000000002</v>
      </c>
    </row>
    <row r="956" spans="1:8" hidden="1">
      <c r="A956" s="110"/>
      <c r="B956" s="569"/>
      <c r="C956" s="632" t="s">
        <v>1857</v>
      </c>
      <c r="D956" s="179"/>
      <c r="E956" s="188"/>
      <c r="F956" s="273"/>
      <c r="G956" s="273"/>
    </row>
    <row r="957" spans="1:8" hidden="1">
      <c r="A957" s="110"/>
      <c r="B957" s="569"/>
      <c r="C957" s="632" t="s">
        <v>1858</v>
      </c>
      <c r="D957" s="179" t="s">
        <v>82</v>
      </c>
      <c r="E957" s="281">
        <v>0.64</v>
      </c>
      <c r="F957" s="273">
        <v>78</v>
      </c>
      <c r="G957" s="173">
        <f t="shared" ref="G957:G958" si="12">ROUND(E957*F957,2)</f>
        <v>49.92</v>
      </c>
    </row>
    <row r="958" spans="1:8" hidden="1">
      <c r="A958" s="110"/>
      <c r="B958" s="569"/>
      <c r="C958" s="632" t="s">
        <v>1859</v>
      </c>
      <c r="D958" s="179" t="s">
        <v>319</v>
      </c>
      <c r="E958" s="281">
        <v>1.84</v>
      </c>
      <c r="F958" s="273">
        <v>10</v>
      </c>
      <c r="G958" s="173">
        <f t="shared" si="12"/>
        <v>18.399999999999999</v>
      </c>
    </row>
    <row r="959" spans="1:8" hidden="1">
      <c r="A959" s="110"/>
      <c r="B959" s="569"/>
      <c r="C959" s="632" t="s">
        <v>1860</v>
      </c>
      <c r="D959" s="179"/>
      <c r="E959" s="281"/>
      <c r="F959" s="273"/>
      <c r="G959" s="273"/>
    </row>
    <row r="960" spans="1:8" ht="25.5" hidden="1">
      <c r="A960" s="110"/>
      <c r="B960" s="569"/>
      <c r="C960" s="632" t="s">
        <v>1861</v>
      </c>
      <c r="D960" s="179" t="s">
        <v>82</v>
      </c>
      <c r="E960" s="281">
        <v>2.2999999999999998</v>
      </c>
      <c r="F960" s="273">
        <v>106</v>
      </c>
      <c r="G960" s="173">
        <f t="shared" ref="G960" si="13">ROUND(E960*F960,2)</f>
        <v>243.8</v>
      </c>
    </row>
    <row r="961" spans="1:7" hidden="1">
      <c r="A961" s="110"/>
      <c r="B961" s="569"/>
      <c r="C961" s="632" t="s">
        <v>1862</v>
      </c>
      <c r="D961" s="179"/>
      <c r="E961" s="281"/>
      <c r="F961" s="273"/>
      <c r="G961" s="273"/>
    </row>
    <row r="962" spans="1:7" hidden="1">
      <c r="A962" s="110"/>
      <c r="B962" s="569"/>
      <c r="C962" s="632" t="s">
        <v>1863</v>
      </c>
      <c r="D962" s="179" t="s">
        <v>82</v>
      </c>
      <c r="E962" s="281">
        <v>0.84</v>
      </c>
      <c r="F962" s="273">
        <v>78</v>
      </c>
      <c r="G962" s="173">
        <f t="shared" ref="G962" si="14">ROUND(E962*F962,2)</f>
        <v>65.52</v>
      </c>
    </row>
    <row r="963" spans="1:7" hidden="1">
      <c r="A963" s="110"/>
      <c r="B963" s="569"/>
      <c r="C963" s="632" t="s">
        <v>1864</v>
      </c>
      <c r="D963" s="179"/>
      <c r="E963" s="281"/>
      <c r="F963" s="273"/>
      <c r="G963" s="273"/>
    </row>
    <row r="964" spans="1:7" ht="25.5" hidden="1">
      <c r="A964" s="110"/>
      <c r="B964" s="569"/>
      <c r="C964" s="632" t="s">
        <v>1865</v>
      </c>
      <c r="D964" s="179" t="s">
        <v>82</v>
      </c>
      <c r="E964" s="281">
        <v>0.4</v>
      </c>
      <c r="F964" s="273">
        <v>69</v>
      </c>
      <c r="G964" s="173">
        <f t="shared" ref="G964:G970" si="15">ROUND(E964*F964,2)</f>
        <v>27.6</v>
      </c>
    </row>
    <row r="965" spans="1:7" hidden="1">
      <c r="A965" s="110"/>
      <c r="B965" s="569"/>
      <c r="C965" s="632" t="s">
        <v>1866</v>
      </c>
      <c r="D965" s="179" t="s">
        <v>319</v>
      </c>
      <c r="E965" s="281">
        <v>0.64</v>
      </c>
      <c r="F965" s="273">
        <v>4</v>
      </c>
      <c r="G965" s="173">
        <f t="shared" si="15"/>
        <v>2.56</v>
      </c>
    </row>
    <row r="966" spans="1:7" hidden="1">
      <c r="A966" s="110"/>
      <c r="B966" s="569"/>
      <c r="C966" s="632" t="s">
        <v>1867</v>
      </c>
      <c r="D966" s="179" t="s">
        <v>319</v>
      </c>
      <c r="E966" s="281">
        <v>0.64</v>
      </c>
      <c r="F966" s="273">
        <v>5</v>
      </c>
      <c r="G966" s="173">
        <f t="shared" si="15"/>
        <v>3.2</v>
      </c>
    </row>
    <row r="967" spans="1:7" hidden="1">
      <c r="A967" s="110"/>
      <c r="B967" s="569"/>
      <c r="C967" s="632" t="s">
        <v>1868</v>
      </c>
      <c r="D967" s="179" t="s">
        <v>319</v>
      </c>
      <c r="E967" s="281">
        <v>18</v>
      </c>
      <c r="F967" s="273">
        <v>4</v>
      </c>
      <c r="G967" s="173">
        <f t="shared" si="15"/>
        <v>72</v>
      </c>
    </row>
    <row r="968" spans="1:7" hidden="1">
      <c r="A968" s="110"/>
      <c r="B968" s="569"/>
      <c r="C968" s="632" t="s">
        <v>1869</v>
      </c>
      <c r="D968" s="179" t="s">
        <v>139</v>
      </c>
      <c r="E968" s="281">
        <v>0.55000000000000004</v>
      </c>
      <c r="F968" s="273">
        <v>32</v>
      </c>
      <c r="G968" s="173">
        <f t="shared" si="15"/>
        <v>17.600000000000001</v>
      </c>
    </row>
    <row r="969" spans="1:7" hidden="1">
      <c r="A969" s="110"/>
      <c r="B969" s="569"/>
      <c r="C969" s="632" t="s">
        <v>1870</v>
      </c>
      <c r="D969" s="179" t="s">
        <v>82</v>
      </c>
      <c r="E969" s="281">
        <v>1.46</v>
      </c>
      <c r="F969" s="273">
        <v>6</v>
      </c>
      <c r="G969" s="173">
        <f t="shared" si="15"/>
        <v>8.76</v>
      </c>
    </row>
    <row r="970" spans="1:7" hidden="1">
      <c r="A970" s="110"/>
      <c r="B970" s="569"/>
      <c r="C970" s="632" t="s">
        <v>1871</v>
      </c>
      <c r="D970" s="179" t="s">
        <v>1872</v>
      </c>
      <c r="E970" s="281">
        <v>0.15</v>
      </c>
      <c r="F970" s="273">
        <v>150</v>
      </c>
      <c r="G970" s="173">
        <f t="shared" si="15"/>
        <v>22.5</v>
      </c>
    </row>
    <row r="971" spans="1:7" hidden="1">
      <c r="A971" s="110"/>
      <c r="B971" s="569"/>
      <c r="C971" s="287" t="s">
        <v>955</v>
      </c>
      <c r="D971" s="179"/>
      <c r="E971" s="571"/>
      <c r="F971" s="273"/>
      <c r="G971" s="273"/>
    </row>
    <row r="972" spans="1:7" hidden="1">
      <c r="A972" s="110"/>
      <c r="B972" s="569"/>
      <c r="C972" s="632" t="s">
        <v>1873</v>
      </c>
      <c r="D972" s="179" t="s">
        <v>27</v>
      </c>
      <c r="E972" s="281">
        <v>0.4</v>
      </c>
      <c r="F972" s="273">
        <v>705</v>
      </c>
      <c r="G972" s="173">
        <f t="shared" ref="G972:G978" si="16">ROUND(E972*F972,2)</f>
        <v>282</v>
      </c>
    </row>
    <row r="973" spans="1:7" hidden="1">
      <c r="A973" s="110"/>
      <c r="B973" s="569"/>
      <c r="C973" s="632" t="s">
        <v>1874</v>
      </c>
      <c r="D973" s="179" t="s">
        <v>27</v>
      </c>
      <c r="E973" s="281">
        <v>0.4</v>
      </c>
      <c r="F973" s="273">
        <v>565</v>
      </c>
      <c r="G973" s="173">
        <f t="shared" si="16"/>
        <v>226</v>
      </c>
    </row>
    <row r="974" spans="1:7" hidden="1">
      <c r="A974" s="110"/>
      <c r="B974" s="569"/>
      <c r="C974" s="632" t="s">
        <v>1875</v>
      </c>
      <c r="D974" s="179" t="s">
        <v>27</v>
      </c>
      <c r="E974" s="281">
        <v>0.08</v>
      </c>
      <c r="F974" s="273">
        <v>705</v>
      </c>
      <c r="G974" s="173">
        <f t="shared" si="16"/>
        <v>56.4</v>
      </c>
    </row>
    <row r="975" spans="1:7" hidden="1">
      <c r="A975" s="110"/>
      <c r="B975" s="569"/>
      <c r="C975" s="632" t="s">
        <v>1876</v>
      </c>
      <c r="D975" s="179" t="s">
        <v>27</v>
      </c>
      <c r="E975" s="281">
        <v>0.08</v>
      </c>
      <c r="F975" s="273">
        <v>565</v>
      </c>
      <c r="G975" s="173">
        <f t="shared" si="16"/>
        <v>45.2</v>
      </c>
    </row>
    <row r="976" spans="1:7" hidden="1">
      <c r="A976" s="110"/>
      <c r="B976" s="569"/>
      <c r="C976" s="632" t="s">
        <v>1877</v>
      </c>
      <c r="D976" s="179" t="s">
        <v>27</v>
      </c>
      <c r="E976" s="281">
        <v>0.04</v>
      </c>
      <c r="F976" s="273">
        <v>615</v>
      </c>
      <c r="G976" s="173">
        <f t="shared" si="16"/>
        <v>24.6</v>
      </c>
    </row>
    <row r="977" spans="1:7" hidden="1">
      <c r="A977" s="110"/>
      <c r="B977" s="569"/>
      <c r="C977" s="632" t="s">
        <v>1878</v>
      </c>
      <c r="D977" s="179" t="s">
        <v>27</v>
      </c>
      <c r="E977" s="281">
        <v>0.08</v>
      </c>
      <c r="F977" s="273">
        <v>615</v>
      </c>
      <c r="G977" s="173">
        <f t="shared" si="16"/>
        <v>49.2</v>
      </c>
    </row>
    <row r="978" spans="1:7" hidden="1">
      <c r="A978" s="110"/>
      <c r="B978" s="569"/>
      <c r="C978" s="632" t="s">
        <v>1879</v>
      </c>
      <c r="D978" s="179" t="s">
        <v>27</v>
      </c>
      <c r="E978" s="281">
        <v>0.24</v>
      </c>
      <c r="F978" s="273">
        <v>525</v>
      </c>
      <c r="G978" s="173">
        <f t="shared" si="16"/>
        <v>126</v>
      </c>
    </row>
    <row r="979" spans="1:7" hidden="1">
      <c r="A979" s="110"/>
      <c r="B979" s="569"/>
      <c r="C979" s="287" t="s">
        <v>1880</v>
      </c>
      <c r="D979" s="179"/>
      <c r="E979" s="571"/>
      <c r="F979" s="273"/>
      <c r="G979" s="273"/>
    </row>
    <row r="980" spans="1:7" ht="25.5" hidden="1">
      <c r="A980" s="110"/>
      <c r="B980" s="569"/>
      <c r="C980" s="632" t="s">
        <v>1881</v>
      </c>
      <c r="D980" s="179" t="s">
        <v>957</v>
      </c>
      <c r="E980" s="281">
        <v>0.32</v>
      </c>
      <c r="F980" s="273">
        <v>132</v>
      </c>
      <c r="G980" s="173">
        <f t="shared" ref="G980:G982" si="17">ROUND(E980*F980,2)</f>
        <v>42.24</v>
      </c>
    </row>
    <row r="981" spans="1:7" ht="25.5" hidden="1">
      <c r="A981" s="110"/>
      <c r="B981" s="569"/>
      <c r="C981" s="632" t="s">
        <v>1883</v>
      </c>
      <c r="D981" s="179" t="s">
        <v>957</v>
      </c>
      <c r="E981" s="281">
        <v>0.64</v>
      </c>
      <c r="F981" s="273">
        <v>121</v>
      </c>
      <c r="G981" s="173">
        <f t="shared" si="17"/>
        <v>77.44</v>
      </c>
    </row>
    <row r="982" spans="1:7" hidden="1">
      <c r="A982" s="110"/>
      <c r="B982" s="569"/>
      <c r="C982" s="632" t="s">
        <v>1882</v>
      </c>
      <c r="D982" s="572">
        <v>0.01</v>
      </c>
      <c r="E982" s="572">
        <v>0.01</v>
      </c>
      <c r="F982" s="273">
        <f>SUM(G955:G981)</f>
        <v>1742.9800000000002</v>
      </c>
      <c r="G982" s="173">
        <f t="shared" si="17"/>
        <v>17.43</v>
      </c>
    </row>
    <row r="983" spans="1:7" hidden="1">
      <c r="A983" s="110"/>
      <c r="B983" s="569"/>
      <c r="C983" s="369" t="s">
        <v>119</v>
      </c>
      <c r="D983" s="179"/>
      <c r="E983" s="179"/>
      <c r="F983" s="178"/>
      <c r="G983" s="282">
        <f>SUM(G955:G982)</f>
        <v>1760.4100000000003</v>
      </c>
    </row>
    <row r="984" spans="1:7" ht="76.5" hidden="1">
      <c r="A984" s="179">
        <v>2</v>
      </c>
      <c r="B984" s="179"/>
      <c r="C984" s="178" t="s">
        <v>2105</v>
      </c>
      <c r="D984" s="179"/>
      <c r="E984" s="179"/>
      <c r="F984" s="178"/>
      <c r="G984" s="273"/>
    </row>
    <row r="985" spans="1:7" hidden="1">
      <c r="A985" s="110"/>
      <c r="B985" s="620" t="s">
        <v>1780</v>
      </c>
      <c r="C985" s="632" t="s">
        <v>2143</v>
      </c>
      <c r="D985" s="179" t="s">
        <v>5</v>
      </c>
      <c r="E985" s="277">
        <v>2.3699999999999999E-2</v>
      </c>
      <c r="F985" s="281">
        <v>63950</v>
      </c>
      <c r="G985" s="173">
        <f t="shared" ref="G985:G989" si="18">ROUND(E985*F985,2)</f>
        <v>1515.62</v>
      </c>
    </row>
    <row r="986" spans="1:7" hidden="1">
      <c r="A986" s="110"/>
      <c r="B986" s="620" t="s">
        <v>2096</v>
      </c>
      <c r="C986" s="632" t="s">
        <v>2095</v>
      </c>
      <c r="D986" s="179" t="s">
        <v>319</v>
      </c>
      <c r="E986" s="189">
        <v>4</v>
      </c>
      <c r="F986" s="281">
        <v>69</v>
      </c>
      <c r="G986" s="173">
        <f t="shared" si="18"/>
        <v>276</v>
      </c>
    </row>
    <row r="987" spans="1:7" hidden="1">
      <c r="A987" s="110"/>
      <c r="B987" s="620" t="s">
        <v>2098</v>
      </c>
      <c r="C987" s="369" t="s">
        <v>2097</v>
      </c>
      <c r="D987" s="179" t="s">
        <v>319</v>
      </c>
      <c r="E987" s="189">
        <v>4</v>
      </c>
      <c r="F987" s="281">
        <v>82</v>
      </c>
      <c r="G987" s="173">
        <f t="shared" si="18"/>
        <v>328</v>
      </c>
    </row>
    <row r="988" spans="1:7" hidden="1">
      <c r="A988" s="110"/>
      <c r="B988" s="620" t="s">
        <v>2100</v>
      </c>
      <c r="C988" s="369" t="s">
        <v>2099</v>
      </c>
      <c r="D988" s="179" t="s">
        <v>319</v>
      </c>
      <c r="E988" s="189">
        <v>4</v>
      </c>
      <c r="F988" s="281">
        <v>68</v>
      </c>
      <c r="G988" s="173">
        <f t="shared" si="18"/>
        <v>272</v>
      </c>
    </row>
    <row r="989" spans="1:7" hidden="1">
      <c r="A989" s="110"/>
      <c r="B989" s="620" t="s">
        <v>2102</v>
      </c>
      <c r="C989" s="369" t="s">
        <v>2101</v>
      </c>
      <c r="D989" s="179" t="s">
        <v>319</v>
      </c>
      <c r="E989" s="189">
        <v>4</v>
      </c>
      <c r="F989" s="281">
        <v>135</v>
      </c>
      <c r="G989" s="173">
        <f t="shared" si="18"/>
        <v>540</v>
      </c>
    </row>
    <row r="990" spans="1:7" hidden="1">
      <c r="A990" s="110"/>
      <c r="B990" s="620" t="s">
        <v>2103</v>
      </c>
      <c r="C990" s="369" t="s">
        <v>1190</v>
      </c>
      <c r="D990" s="179" t="s">
        <v>5</v>
      </c>
      <c r="E990" s="281">
        <f>ROUND(0.9*1.35,2)</f>
        <v>1.22</v>
      </c>
      <c r="F990" s="281">
        <v>1034</v>
      </c>
      <c r="G990" s="173">
        <f t="shared" ref="G990" si="19">ROUND(E990*F990,2)</f>
        <v>1261.48</v>
      </c>
    </row>
    <row r="991" spans="1:7" hidden="1">
      <c r="A991" s="110"/>
      <c r="B991" s="569"/>
      <c r="C991" s="632"/>
      <c r="D991" s="572"/>
      <c r="E991" s="621"/>
      <c r="F991" s="273"/>
      <c r="G991" s="173"/>
    </row>
    <row r="992" spans="1:7" hidden="1">
      <c r="A992" s="110"/>
      <c r="B992" s="569"/>
      <c r="C992" s="369" t="s">
        <v>2094</v>
      </c>
      <c r="D992" s="179"/>
      <c r="E992" s="179"/>
      <c r="F992" s="178"/>
      <c r="G992" s="282">
        <f>SUM(G985:G991)</f>
        <v>4193.1000000000004</v>
      </c>
    </row>
    <row r="993" spans="3:5" ht="15.95" customHeight="1"/>
    <row r="994" spans="3:5" ht="15.95" customHeight="1"/>
    <row r="995" spans="3:5" ht="15.95" customHeight="1">
      <c r="C995" s="21" t="str">
        <f>'lead 25-26'!$H$32</f>
        <v>Deputy Executive Engineer</v>
      </c>
      <c r="E995" s="21" t="str">
        <f>'lead 25-26'!K32</f>
        <v>Assistant  Engineer</v>
      </c>
    </row>
    <row r="996" spans="3:5">
      <c r="C996" s="21" t="str">
        <f>'lead 25-26'!$H$33</f>
        <v>PRI Sub Division</v>
      </c>
      <c r="E996" s="21" t="str">
        <f>'lead 25-26'!K33</f>
        <v>Mandal Praja parishad</v>
      </c>
    </row>
    <row r="997" spans="3:5">
      <c r="C997" s="21" t="str">
        <f>'lead 25-26'!$H$34</f>
        <v>Kanigiri</v>
      </c>
      <c r="E997" s="21" t="str">
        <f>'lead 25-26'!K34</f>
        <v>Kanigiri</v>
      </c>
    </row>
  </sheetData>
  <autoFilter ref="A5:G990" xr:uid="{00000000-0009-0000-0000-000006000000}">
    <filterColumn colId="0">
      <colorFilter dxfId="3"/>
    </filterColumn>
  </autoFilter>
  <mergeCells count="2">
    <mergeCell ref="A1:G1"/>
    <mergeCell ref="A2:G2"/>
  </mergeCells>
  <pageMargins left="0.74" right="0.23" top="0.33" bottom="0.25" header="0.2" footer="0.17"/>
  <pageSetup paperSize="9" orientation="portrait" verticalDpi="0"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filterMode="1">
    <tabColor rgb="FF7030A0"/>
  </sheetPr>
  <dimension ref="A1:H157"/>
  <sheetViews>
    <sheetView view="pageBreakPreview" zoomScale="115" zoomScaleNormal="70" zoomScaleSheetLayoutView="115" workbookViewId="0">
      <pane ySplit="3" topLeftCell="A82" activePane="bottomLeft" state="frozen"/>
      <selection activeCell="A47" sqref="A47"/>
      <selection pane="bottomLeft" activeCell="A47" sqref="A47"/>
    </sheetView>
  </sheetViews>
  <sheetFormatPr defaultColWidth="13.85546875" defaultRowHeight="12.75"/>
  <cols>
    <col min="1" max="1" width="8.7109375" style="23" customWidth="1"/>
    <col min="2" max="2" width="4.7109375" style="640" customWidth="1"/>
    <col min="3" max="3" width="48" style="77" customWidth="1"/>
    <col min="4" max="4" width="6.85546875" style="78" customWidth="1"/>
    <col min="5" max="5" width="9.28515625" style="79" customWidth="1"/>
    <col min="6" max="6" width="8.7109375" style="79" customWidth="1"/>
    <col min="7" max="7" width="9.140625" style="80" bestFit="1" customWidth="1"/>
    <col min="8" max="16384" width="13.85546875" style="25"/>
  </cols>
  <sheetData>
    <row r="1" spans="1:7" ht="15" customHeight="1">
      <c r="B1" s="997" t="s">
        <v>2270</v>
      </c>
      <c r="C1" s="997"/>
      <c r="D1" s="997"/>
      <c r="E1" s="997"/>
      <c r="F1" s="997"/>
      <c r="G1" s="24"/>
    </row>
    <row r="2" spans="1:7" s="26" customFormat="1" ht="29.25" customHeight="1">
      <c r="A2" s="589" t="s">
        <v>315</v>
      </c>
      <c r="B2" s="590" t="s">
        <v>23</v>
      </c>
      <c r="C2" s="589" t="s">
        <v>316</v>
      </c>
      <c r="D2" s="589" t="s">
        <v>16</v>
      </c>
      <c r="E2" s="591" t="s">
        <v>136</v>
      </c>
      <c r="F2" s="591" t="s">
        <v>317</v>
      </c>
      <c r="G2" s="592" t="s">
        <v>318</v>
      </c>
    </row>
    <row r="3" spans="1:7" s="26" customFormat="1" ht="15" customHeight="1">
      <c r="A3" s="589"/>
      <c r="B3" s="589">
        <v>1</v>
      </c>
      <c r="C3" s="589">
        <v>2</v>
      </c>
      <c r="D3" s="589">
        <v>3</v>
      </c>
      <c r="E3" s="593">
        <v>4</v>
      </c>
      <c r="F3" s="593">
        <v>5</v>
      </c>
      <c r="G3" s="593">
        <v>6</v>
      </c>
    </row>
    <row r="4" spans="1:7" s="700" customFormat="1" ht="72">
      <c r="A4" s="679"/>
      <c r="B4" s="685">
        <v>1</v>
      </c>
      <c r="C4" s="697" t="s">
        <v>322</v>
      </c>
      <c r="D4" s="697"/>
      <c r="E4" s="697"/>
      <c r="F4" s="697"/>
      <c r="G4" s="683"/>
    </row>
    <row r="5" spans="1:7" s="700" customFormat="1">
      <c r="A5" s="679"/>
      <c r="B5" s="685"/>
      <c r="C5" s="674" t="s">
        <v>323</v>
      </c>
      <c r="D5" s="701" t="s">
        <v>114</v>
      </c>
      <c r="E5" s="701">
        <v>1</v>
      </c>
      <c r="F5" s="702">
        <f>'MINI SSR 2025-26'!C66</f>
        <v>1995</v>
      </c>
      <c r="G5" s="683">
        <f>ROUND(E5*F5,2)</f>
        <v>1995</v>
      </c>
    </row>
    <row r="6" spans="1:7" s="700" customFormat="1">
      <c r="A6" s="679"/>
      <c r="B6" s="685"/>
      <c r="C6" s="674" t="s">
        <v>324</v>
      </c>
      <c r="D6" s="701" t="s">
        <v>114</v>
      </c>
      <c r="E6" s="701">
        <v>1</v>
      </c>
      <c r="F6" s="702">
        <f>'MINI SSR 2025-26'!C67</f>
        <v>2488</v>
      </c>
      <c r="G6" s="683">
        <f>ROUND(E6*F6,2)</f>
        <v>2488</v>
      </c>
    </row>
    <row r="7" spans="1:7" s="700" customFormat="1">
      <c r="A7" s="679"/>
      <c r="B7" s="685"/>
      <c r="C7" s="674" t="s">
        <v>325</v>
      </c>
      <c r="D7" s="701" t="s">
        <v>114</v>
      </c>
      <c r="E7" s="701">
        <v>1</v>
      </c>
      <c r="F7" s="702">
        <f>'MINI SSR 2025-26'!C68</f>
        <v>857</v>
      </c>
      <c r="G7" s="683">
        <f>ROUND(E7*F7,2)</f>
        <v>857</v>
      </c>
    </row>
    <row r="8" spans="1:7" s="690" customFormat="1">
      <c r="A8" s="679"/>
      <c r="B8" s="685"/>
      <c r="C8" s="674"/>
      <c r="D8" s="701"/>
      <c r="E8" s="701"/>
      <c r="F8" s="702"/>
      <c r="G8" s="683">
        <f>SUM(G5:G7)</f>
        <v>5340</v>
      </c>
    </row>
    <row r="9" spans="1:7" s="690" customFormat="1">
      <c r="A9" s="679"/>
      <c r="B9" s="685"/>
      <c r="C9" s="686" t="s">
        <v>326</v>
      </c>
      <c r="D9" s="687"/>
      <c r="E9" s="688"/>
      <c r="F9" s="688"/>
      <c r="G9" s="689">
        <v>0</v>
      </c>
    </row>
    <row r="10" spans="1:7" s="690" customFormat="1">
      <c r="A10" s="679"/>
      <c r="B10" s="685"/>
      <c r="C10" s="674"/>
      <c r="D10" s="701"/>
      <c r="E10" s="701"/>
      <c r="F10" s="702"/>
      <c r="G10" s="683">
        <f>SUM(G8:G9)</f>
        <v>5340</v>
      </c>
    </row>
    <row r="11" spans="1:7" s="162" customFormat="1" ht="36" hidden="1">
      <c r="A11" s="33"/>
      <c r="B11" s="34">
        <v>2</v>
      </c>
      <c r="C11" s="35" t="s">
        <v>597</v>
      </c>
      <c r="D11" s="35"/>
      <c r="E11" s="35"/>
      <c r="F11" s="35"/>
      <c r="G11" s="36"/>
    </row>
    <row r="12" spans="1:7" s="162" customFormat="1" hidden="1">
      <c r="A12" s="33"/>
      <c r="B12" s="34"/>
      <c r="C12" s="37" t="s">
        <v>598</v>
      </c>
      <c r="D12" s="38" t="s">
        <v>114</v>
      </c>
      <c r="E12" s="38">
        <v>1</v>
      </c>
      <c r="F12" s="39">
        <f>'MINI SSR 2025-26'!C69</f>
        <v>1045</v>
      </c>
      <c r="G12" s="36">
        <f>ROUND(E12*F12,2)</f>
        <v>1045</v>
      </c>
    </row>
    <row r="13" spans="1:7" hidden="1">
      <c r="A13" s="33"/>
      <c r="B13" s="34"/>
      <c r="C13" s="37"/>
      <c r="D13" s="38"/>
      <c r="E13" s="38"/>
      <c r="F13" s="39"/>
      <c r="G13" s="36">
        <f>SUM(G12)</f>
        <v>1045</v>
      </c>
    </row>
    <row r="14" spans="1:7" s="162" customFormat="1" ht="60" hidden="1">
      <c r="A14" s="33"/>
      <c r="B14" s="34">
        <v>3</v>
      </c>
      <c r="C14" s="35" t="s">
        <v>1045</v>
      </c>
      <c r="D14" s="35"/>
      <c r="E14" s="35"/>
      <c r="F14" s="35"/>
      <c r="G14" s="36"/>
    </row>
    <row r="15" spans="1:7" s="162" customFormat="1" hidden="1">
      <c r="A15" s="33"/>
      <c r="B15" s="34"/>
      <c r="C15" s="37" t="s">
        <v>1046</v>
      </c>
      <c r="D15" s="38" t="s">
        <v>114</v>
      </c>
      <c r="E15" s="38">
        <v>1</v>
      </c>
      <c r="F15" s="39">
        <f>'MINI SSR 2025-26'!C70</f>
        <v>2666</v>
      </c>
      <c r="G15" s="36">
        <f>ROUND(E15*F15,2)</f>
        <v>2666</v>
      </c>
    </row>
    <row r="16" spans="1:7" hidden="1">
      <c r="A16" s="33"/>
      <c r="B16" s="34"/>
      <c r="C16" s="37"/>
      <c r="D16" s="38"/>
      <c r="E16" s="38"/>
      <c r="F16" s="39"/>
      <c r="G16" s="36">
        <f>SUM(G15)</f>
        <v>2666</v>
      </c>
    </row>
    <row r="17" spans="1:7" s="708" customFormat="1" ht="152.25" customHeight="1">
      <c r="A17" s="703"/>
      <c r="B17" s="703">
        <v>2</v>
      </c>
      <c r="C17" s="704" t="s">
        <v>327</v>
      </c>
      <c r="D17" s="705"/>
      <c r="E17" s="704"/>
      <c r="F17" s="706"/>
      <c r="G17" s="707"/>
    </row>
    <row r="18" spans="1:7" s="708" customFormat="1">
      <c r="A18" s="703"/>
      <c r="B18" s="703"/>
      <c r="C18" s="709" t="s">
        <v>328</v>
      </c>
      <c r="D18" s="701" t="s">
        <v>114</v>
      </c>
      <c r="E18" s="701">
        <v>1</v>
      </c>
      <c r="F18" s="710">
        <f>'MINI SSR 2025-26'!C71</f>
        <v>1532</v>
      </c>
      <c r="G18" s="711">
        <f>ROUND(E18*F18,2)</f>
        <v>1532</v>
      </c>
    </row>
    <row r="19" spans="1:7" s="708" customFormat="1">
      <c r="A19" s="703"/>
      <c r="B19" s="703"/>
      <c r="C19" s="709" t="s">
        <v>329</v>
      </c>
      <c r="D19" s="701" t="s">
        <v>114</v>
      </c>
      <c r="E19" s="701">
        <v>1</v>
      </c>
      <c r="F19" s="710">
        <f>'MINI SSR 2025-26'!C72</f>
        <v>391</v>
      </c>
      <c r="G19" s="711">
        <f>ROUND(E19*F19,2)</f>
        <v>391</v>
      </c>
    </row>
    <row r="20" spans="1:7" s="708" customFormat="1" ht="24">
      <c r="A20" s="703"/>
      <c r="B20" s="703"/>
      <c r="C20" s="709" t="s">
        <v>330</v>
      </c>
      <c r="D20" s="701" t="s">
        <v>114</v>
      </c>
      <c r="E20" s="701">
        <v>1</v>
      </c>
      <c r="F20" s="710">
        <f>'MINI SSR 2025-26'!C73</f>
        <v>96</v>
      </c>
      <c r="G20" s="711">
        <f>ROUND(E20*F20,2)</f>
        <v>96</v>
      </c>
    </row>
    <row r="21" spans="1:7" s="708" customFormat="1">
      <c r="A21" s="703"/>
      <c r="B21" s="703"/>
      <c r="C21" s="709" t="s">
        <v>331</v>
      </c>
      <c r="D21" s="701" t="s">
        <v>114</v>
      </c>
      <c r="E21" s="701">
        <v>1</v>
      </c>
      <c r="F21" s="710">
        <f>'MINI SSR 2025-26'!C74</f>
        <v>25</v>
      </c>
      <c r="G21" s="711">
        <f>ROUND(E21*F21,2)</f>
        <v>25</v>
      </c>
    </row>
    <row r="22" spans="1:7" s="708" customFormat="1">
      <c r="A22" s="703"/>
      <c r="B22" s="703"/>
      <c r="C22" s="712"/>
      <c r="D22" s="701"/>
      <c r="E22" s="701"/>
      <c r="F22" s="710"/>
      <c r="G22" s="711">
        <f>SUM(G18:G21)</f>
        <v>2044</v>
      </c>
    </row>
    <row r="23" spans="1:7" s="690" customFormat="1">
      <c r="A23" s="679"/>
      <c r="B23" s="685"/>
      <c r="C23" s="686" t="s">
        <v>326</v>
      </c>
      <c r="D23" s="687"/>
      <c r="E23" s="688"/>
      <c r="F23" s="688"/>
      <c r="G23" s="689">
        <v>0</v>
      </c>
    </row>
    <row r="24" spans="1:7" s="690" customFormat="1">
      <c r="A24" s="679"/>
      <c r="B24" s="685"/>
      <c r="C24" s="674"/>
      <c r="D24" s="701"/>
      <c r="E24" s="701"/>
      <c r="F24" s="702"/>
      <c r="G24" s="683">
        <f>SUM(G22:G23)</f>
        <v>2044</v>
      </c>
    </row>
    <row r="25" spans="1:7" s="49" customFormat="1" ht="80.25" hidden="1" customHeight="1">
      <c r="A25" s="44"/>
      <c r="B25" s="44">
        <v>5</v>
      </c>
      <c r="C25" s="45" t="s">
        <v>332</v>
      </c>
      <c r="D25" s="46"/>
      <c r="E25" s="45"/>
      <c r="F25" s="47"/>
      <c r="G25" s="48"/>
    </row>
    <row r="26" spans="1:7" s="49" customFormat="1" hidden="1">
      <c r="A26" s="44"/>
      <c r="B26" s="44"/>
      <c r="C26" s="50" t="s">
        <v>333</v>
      </c>
      <c r="D26" s="38" t="s">
        <v>114</v>
      </c>
      <c r="E26" s="38">
        <v>1</v>
      </c>
      <c r="F26" s="51">
        <f>'MINI SSR 2025-26'!C75</f>
        <v>94</v>
      </c>
      <c r="G26" s="52">
        <f>ROUND(E26*F26,2)</f>
        <v>94</v>
      </c>
    </row>
    <row r="27" spans="1:7" s="49" customFormat="1" hidden="1">
      <c r="A27" s="44"/>
      <c r="B27" s="44"/>
      <c r="C27" s="50" t="s">
        <v>334</v>
      </c>
      <c r="D27" s="38" t="s">
        <v>114</v>
      </c>
      <c r="E27" s="38">
        <v>1</v>
      </c>
      <c r="F27" s="51">
        <f>'MINI SSR 2025-26'!C76</f>
        <v>33</v>
      </c>
      <c r="G27" s="52">
        <f>ROUND(E27*F27,2)</f>
        <v>33</v>
      </c>
    </row>
    <row r="28" spans="1:7" s="49" customFormat="1" hidden="1">
      <c r="A28" s="44"/>
      <c r="B28" s="44"/>
      <c r="C28" s="326"/>
      <c r="D28" s="38"/>
      <c r="E28" s="38"/>
      <c r="F28" s="51"/>
      <c r="G28" s="52">
        <f>SUM(G26:G27)</f>
        <v>127</v>
      </c>
    </row>
    <row r="29" spans="1:7" hidden="1">
      <c r="A29" s="33"/>
      <c r="B29" s="34"/>
      <c r="C29" s="40" t="s">
        <v>326</v>
      </c>
      <c r="D29" s="41"/>
      <c r="E29" s="42"/>
      <c r="F29" s="42"/>
      <c r="G29" s="43">
        <v>0</v>
      </c>
    </row>
    <row r="30" spans="1:7" hidden="1">
      <c r="A30" s="33"/>
      <c r="B30" s="34"/>
      <c r="C30" s="37"/>
      <c r="D30" s="38"/>
      <c r="E30" s="38"/>
      <c r="F30" s="39"/>
      <c r="G30" s="36">
        <f>SUM(G28:G29)</f>
        <v>127</v>
      </c>
    </row>
    <row r="31" spans="1:7" s="49" customFormat="1" ht="68.25" hidden="1" customHeight="1">
      <c r="A31" s="44"/>
      <c r="B31" s="44">
        <v>6</v>
      </c>
      <c r="C31" s="45" t="s">
        <v>335</v>
      </c>
      <c r="D31" s="46"/>
      <c r="E31" s="45"/>
      <c r="F31" s="47"/>
      <c r="G31" s="48"/>
    </row>
    <row r="32" spans="1:7" s="49" customFormat="1" hidden="1">
      <c r="A32" s="44"/>
      <c r="B32" s="44"/>
      <c r="C32" s="50" t="s">
        <v>336</v>
      </c>
      <c r="D32" s="38" t="s">
        <v>114</v>
      </c>
      <c r="E32" s="38">
        <v>1</v>
      </c>
      <c r="F32" s="51">
        <f>'MINI SSR 2025-26'!C77</f>
        <v>130</v>
      </c>
      <c r="G32" s="52">
        <f>ROUND(E32*F32,2)</f>
        <v>130</v>
      </c>
    </row>
    <row r="33" spans="1:7" hidden="1">
      <c r="A33" s="33"/>
      <c r="B33" s="34"/>
      <c r="C33" s="40" t="s">
        <v>326</v>
      </c>
      <c r="D33" s="41"/>
      <c r="E33" s="42"/>
      <c r="F33" s="42"/>
      <c r="G33" s="43">
        <v>0</v>
      </c>
    </row>
    <row r="34" spans="1:7" hidden="1">
      <c r="A34" s="33"/>
      <c r="B34" s="34"/>
      <c r="C34" s="37"/>
      <c r="D34" s="38"/>
      <c r="E34" s="38"/>
      <c r="F34" s="39"/>
      <c r="G34" s="36">
        <f>SUM(G32:G33)</f>
        <v>130</v>
      </c>
    </row>
    <row r="35" spans="1:7" s="684" customFormat="1" ht="36">
      <c r="A35" s="679"/>
      <c r="B35" s="679">
        <v>3</v>
      </c>
      <c r="C35" s="697" t="s">
        <v>337</v>
      </c>
      <c r="D35" s="697"/>
      <c r="E35" s="697"/>
      <c r="F35" s="697"/>
      <c r="G35" s="697"/>
    </row>
    <row r="36" spans="1:7" s="684" customFormat="1" ht="15">
      <c r="A36" s="679"/>
      <c r="B36" s="679"/>
      <c r="C36" s="680" t="s">
        <v>338</v>
      </c>
      <c r="D36" s="680"/>
      <c r="E36" s="681"/>
      <c r="F36" s="681"/>
      <c r="G36" s="694"/>
    </row>
    <row r="37" spans="1:7" s="684" customFormat="1" ht="15">
      <c r="A37" s="679"/>
      <c r="B37" s="679"/>
      <c r="C37" s="680" t="s">
        <v>339</v>
      </c>
      <c r="D37" s="680" t="s">
        <v>274</v>
      </c>
      <c r="E37" s="681">
        <v>1</v>
      </c>
      <c r="F37" s="681">
        <f>'MINI SSR 2025-26'!C78</f>
        <v>451</v>
      </c>
      <c r="G37" s="683">
        <f>ROUND(E37*F37,2)</f>
        <v>451</v>
      </c>
    </row>
    <row r="38" spans="1:7" s="690" customFormat="1">
      <c r="A38" s="679"/>
      <c r="B38" s="685"/>
      <c r="C38" s="686" t="s">
        <v>326</v>
      </c>
      <c r="D38" s="687"/>
      <c r="E38" s="688"/>
      <c r="F38" s="688"/>
      <c r="G38" s="689">
        <v>0</v>
      </c>
    </row>
    <row r="39" spans="1:7" s="684" customFormat="1" ht="15">
      <c r="A39" s="679"/>
      <c r="B39" s="679"/>
      <c r="C39" s="680" t="s">
        <v>340</v>
      </c>
      <c r="D39" s="680"/>
      <c r="E39" s="680"/>
      <c r="F39" s="680"/>
      <c r="G39" s="699">
        <f>SUM(G37:G38)</f>
        <v>451</v>
      </c>
    </row>
    <row r="40" spans="1:7" s="684" customFormat="1" ht="15">
      <c r="A40" s="679"/>
      <c r="B40" s="679"/>
      <c r="C40" s="680" t="s">
        <v>341</v>
      </c>
      <c r="D40" s="680"/>
      <c r="E40" s="680"/>
      <c r="F40" s="680"/>
      <c r="G40" s="699">
        <f>G39/3</f>
        <v>150.33333333333334</v>
      </c>
    </row>
    <row r="41" spans="1:7" s="53" customFormat="1" ht="36" hidden="1">
      <c r="A41" s="33"/>
      <c r="B41" s="33">
        <v>8</v>
      </c>
      <c r="C41" s="35" t="s">
        <v>342</v>
      </c>
      <c r="D41" s="35"/>
      <c r="E41" s="35"/>
      <c r="F41" s="35"/>
      <c r="G41" s="35"/>
    </row>
    <row r="42" spans="1:7" s="53" customFormat="1" ht="15" hidden="1">
      <c r="A42" s="33"/>
      <c r="B42" s="33"/>
      <c r="C42" s="54" t="s">
        <v>338</v>
      </c>
      <c r="D42" s="54"/>
      <c r="E42" s="55"/>
      <c r="F42" s="55"/>
      <c r="G42" s="56"/>
    </row>
    <row r="43" spans="1:7" s="53" customFormat="1" ht="15" hidden="1">
      <c r="A43" s="33"/>
      <c r="B43" s="33"/>
      <c r="C43" s="54" t="s">
        <v>343</v>
      </c>
      <c r="D43" s="54" t="s">
        <v>274</v>
      </c>
      <c r="E43" s="55">
        <v>1</v>
      </c>
      <c r="F43" s="55">
        <f>'MINI SSR 2025-26'!C79</f>
        <v>429</v>
      </c>
      <c r="G43" s="36">
        <f>ROUND(E43*F43,2)</f>
        <v>429</v>
      </c>
    </row>
    <row r="44" spans="1:7" hidden="1">
      <c r="A44" s="33"/>
      <c r="B44" s="34"/>
      <c r="C44" s="40" t="s">
        <v>326</v>
      </c>
      <c r="D44" s="41"/>
      <c r="E44" s="42"/>
      <c r="F44" s="42"/>
      <c r="G44" s="43">
        <v>0</v>
      </c>
    </row>
    <row r="45" spans="1:7" s="53" customFormat="1" ht="15" hidden="1">
      <c r="A45" s="33"/>
      <c r="B45" s="33"/>
      <c r="C45" s="54" t="s">
        <v>340</v>
      </c>
      <c r="D45" s="54"/>
      <c r="E45" s="54"/>
      <c r="F45" s="54"/>
      <c r="G45" s="57">
        <f>SUM(G43:G44)</f>
        <v>429</v>
      </c>
    </row>
    <row r="46" spans="1:7" s="53" customFormat="1" ht="15" hidden="1">
      <c r="A46" s="33"/>
      <c r="B46" s="33"/>
      <c r="C46" s="54" t="s">
        <v>341</v>
      </c>
      <c r="D46" s="54"/>
      <c r="E46" s="54"/>
      <c r="F46" s="54"/>
      <c r="G46" s="57">
        <f>G45/3</f>
        <v>143</v>
      </c>
    </row>
    <row r="47" spans="1:7" s="684" customFormat="1" ht="36">
      <c r="A47" s="679"/>
      <c r="B47" s="679">
        <v>4</v>
      </c>
      <c r="C47" s="697" t="s">
        <v>344</v>
      </c>
      <c r="D47" s="697"/>
      <c r="E47" s="697"/>
      <c r="F47" s="697"/>
      <c r="G47" s="697"/>
    </row>
    <row r="48" spans="1:7" s="684" customFormat="1" ht="15">
      <c r="A48" s="679"/>
      <c r="B48" s="679"/>
      <c r="C48" s="680" t="s">
        <v>338</v>
      </c>
      <c r="D48" s="680"/>
      <c r="E48" s="681"/>
      <c r="F48" s="681"/>
      <c r="G48" s="694"/>
    </row>
    <row r="49" spans="1:7" s="684" customFormat="1" ht="15">
      <c r="A49" s="679"/>
      <c r="B49" s="679"/>
      <c r="C49" s="680" t="s">
        <v>345</v>
      </c>
      <c r="D49" s="680" t="s">
        <v>274</v>
      </c>
      <c r="E49" s="681">
        <v>1</v>
      </c>
      <c r="F49" s="681">
        <f>'MINI SSR 2025-26'!C80</f>
        <v>270</v>
      </c>
      <c r="G49" s="683">
        <f>ROUND(E49*F49,2)</f>
        <v>270</v>
      </c>
    </row>
    <row r="50" spans="1:7" s="690" customFormat="1">
      <c r="A50" s="679"/>
      <c r="B50" s="685"/>
      <c r="C50" s="686" t="s">
        <v>326</v>
      </c>
      <c r="D50" s="687"/>
      <c r="E50" s="688"/>
      <c r="F50" s="688"/>
      <c r="G50" s="689">
        <v>0</v>
      </c>
    </row>
    <row r="51" spans="1:7" s="684" customFormat="1" ht="15">
      <c r="A51" s="679"/>
      <c r="B51" s="679"/>
      <c r="C51" s="680" t="s">
        <v>340</v>
      </c>
      <c r="D51" s="680"/>
      <c r="E51" s="680"/>
      <c r="F51" s="680"/>
      <c r="G51" s="699">
        <f>SUM(G49:G50)</f>
        <v>270</v>
      </c>
    </row>
    <row r="52" spans="1:7" s="684" customFormat="1" ht="15">
      <c r="A52" s="679"/>
      <c r="B52" s="679"/>
      <c r="C52" s="680" t="s">
        <v>341</v>
      </c>
      <c r="D52" s="680"/>
      <c r="E52" s="680"/>
      <c r="F52" s="680"/>
      <c r="G52" s="699">
        <f>G51/3</f>
        <v>90</v>
      </c>
    </row>
    <row r="53" spans="1:7" s="696" customFormat="1" ht="60">
      <c r="A53" s="679"/>
      <c r="B53" s="679">
        <v>5</v>
      </c>
      <c r="C53" s="674" t="s">
        <v>346</v>
      </c>
      <c r="D53" s="674"/>
      <c r="E53" s="679"/>
      <c r="F53" s="679"/>
      <c r="G53" s="695"/>
    </row>
    <row r="54" spans="1:7" s="696" customFormat="1">
      <c r="A54" s="697"/>
      <c r="B54" s="679"/>
      <c r="C54" s="692" t="s">
        <v>347</v>
      </c>
      <c r="D54" s="693" t="s">
        <v>276</v>
      </c>
      <c r="E54" s="698">
        <v>1</v>
      </c>
      <c r="F54" s="682">
        <f>'MINI SSR 2025-26'!C81</f>
        <v>85</v>
      </c>
      <c r="G54" s="683">
        <f>ROUND(E54*F54,2)</f>
        <v>85</v>
      </c>
    </row>
    <row r="55" spans="1:7" s="690" customFormat="1">
      <c r="A55" s="679"/>
      <c r="B55" s="685"/>
      <c r="C55" s="686" t="s">
        <v>326</v>
      </c>
      <c r="D55" s="687"/>
      <c r="E55" s="688"/>
      <c r="F55" s="688"/>
      <c r="G55" s="689">
        <v>0</v>
      </c>
    </row>
    <row r="56" spans="1:7" s="696" customFormat="1">
      <c r="A56" s="697"/>
      <c r="B56" s="679"/>
      <c r="C56" s="692"/>
      <c r="D56" s="693"/>
      <c r="E56" s="698"/>
      <c r="F56" s="682"/>
      <c r="G56" s="699">
        <f>SUM(G54:G55)</f>
        <v>85</v>
      </c>
    </row>
    <row r="57" spans="1:7" s="53" customFormat="1" ht="24" hidden="1">
      <c r="A57" s="33"/>
      <c r="B57" s="33">
        <v>11</v>
      </c>
      <c r="C57" s="37" t="s">
        <v>674</v>
      </c>
      <c r="D57" s="54"/>
      <c r="E57" s="61"/>
      <c r="F57" s="61"/>
      <c r="G57" s="54"/>
    </row>
    <row r="58" spans="1:7" s="53" customFormat="1" ht="15" hidden="1">
      <c r="A58" s="33"/>
      <c r="B58" s="33"/>
      <c r="C58" s="60" t="s">
        <v>675</v>
      </c>
      <c r="D58" s="61" t="s">
        <v>114</v>
      </c>
      <c r="E58" s="62">
        <v>1</v>
      </c>
      <c r="F58" s="63">
        <f>'MINI SSR 2025-26'!C82</f>
        <v>1658</v>
      </c>
      <c r="G58" s="36">
        <f>ROUND(E58*F58,2)</f>
        <v>1658</v>
      </c>
    </row>
    <row r="59" spans="1:7" hidden="1">
      <c r="A59" s="33"/>
      <c r="B59" s="34"/>
      <c r="C59" s="40" t="s">
        <v>326</v>
      </c>
      <c r="D59" s="41"/>
      <c r="E59" s="42"/>
      <c r="F59" s="42"/>
      <c r="G59" s="43">
        <v>0</v>
      </c>
    </row>
    <row r="60" spans="1:7" s="53" customFormat="1" ht="15" hidden="1">
      <c r="A60" s="33"/>
      <c r="B60" s="33"/>
      <c r="C60" s="60"/>
      <c r="D60" s="61"/>
      <c r="E60" s="62"/>
      <c r="F60" s="63"/>
      <c r="G60" s="57">
        <f>SUM(G58:G59)</f>
        <v>1658</v>
      </c>
    </row>
    <row r="61" spans="1:7" s="684" customFormat="1" ht="48">
      <c r="A61" s="679"/>
      <c r="B61" s="679">
        <v>6</v>
      </c>
      <c r="C61" s="674" t="s">
        <v>348</v>
      </c>
      <c r="D61" s="680"/>
      <c r="E61" s="693"/>
      <c r="F61" s="693"/>
      <c r="G61" s="680"/>
    </row>
    <row r="62" spans="1:7" s="684" customFormat="1" ht="15">
      <c r="A62" s="679"/>
      <c r="B62" s="679"/>
      <c r="C62" s="692" t="s">
        <v>349</v>
      </c>
      <c r="D62" s="693" t="s">
        <v>114</v>
      </c>
      <c r="E62" s="698">
        <v>1</v>
      </c>
      <c r="F62" s="682">
        <f>'MINI SSR 2025-26'!C72</f>
        <v>391</v>
      </c>
      <c r="G62" s="683">
        <f>ROUND(E62*F62,2)</f>
        <v>391</v>
      </c>
    </row>
    <row r="63" spans="1:7" s="690" customFormat="1">
      <c r="A63" s="679"/>
      <c r="B63" s="685"/>
      <c r="C63" s="686" t="s">
        <v>326</v>
      </c>
      <c r="D63" s="687"/>
      <c r="E63" s="688"/>
      <c r="F63" s="688"/>
      <c r="G63" s="689">
        <v>0</v>
      </c>
    </row>
    <row r="64" spans="1:7" s="684" customFormat="1" ht="15">
      <c r="A64" s="679"/>
      <c r="B64" s="679"/>
      <c r="C64" s="692"/>
      <c r="D64" s="693"/>
      <c r="E64" s="698"/>
      <c r="F64" s="682"/>
      <c r="G64" s="699">
        <f>SUM(G62:G63)</f>
        <v>391</v>
      </c>
    </row>
    <row r="65" spans="1:7" s="53" customFormat="1" ht="72" hidden="1">
      <c r="A65" s="33"/>
      <c r="B65" s="33">
        <v>13</v>
      </c>
      <c r="C65" s="37" t="s">
        <v>350</v>
      </c>
      <c r="D65" s="54"/>
      <c r="E65" s="61"/>
      <c r="F65" s="61"/>
      <c r="G65" s="54"/>
    </row>
    <row r="66" spans="1:7" s="53" customFormat="1" ht="15" hidden="1">
      <c r="A66" s="33"/>
      <c r="B66" s="33"/>
      <c r="C66" s="60" t="s">
        <v>351</v>
      </c>
      <c r="D66" s="61" t="s">
        <v>114</v>
      </c>
      <c r="E66" s="62">
        <v>1</v>
      </c>
      <c r="F66" s="63">
        <f>'MINI SSR 2025-26'!C83</f>
        <v>4200</v>
      </c>
      <c r="G66" s="36">
        <f>ROUND(E66*F66,2)</f>
        <v>4200</v>
      </c>
    </row>
    <row r="67" spans="1:7" hidden="1">
      <c r="A67" s="33"/>
      <c r="B67" s="34"/>
      <c r="C67" s="40" t="s">
        <v>326</v>
      </c>
      <c r="D67" s="41"/>
      <c r="E67" s="42"/>
      <c r="F67" s="42"/>
      <c r="G67" s="43">
        <v>0</v>
      </c>
    </row>
    <row r="68" spans="1:7" s="53" customFormat="1" ht="15" hidden="1">
      <c r="A68" s="33"/>
      <c r="B68" s="33"/>
      <c r="C68" s="60"/>
      <c r="D68" s="61"/>
      <c r="E68" s="62"/>
      <c r="F68" s="63"/>
      <c r="G68" s="57">
        <f>SUM(G66:G67)</f>
        <v>4200</v>
      </c>
    </row>
    <row r="69" spans="1:7" s="684" customFormat="1" ht="60">
      <c r="A69" s="679"/>
      <c r="B69" s="679">
        <v>7</v>
      </c>
      <c r="C69" s="674" t="s">
        <v>288</v>
      </c>
      <c r="D69" s="697"/>
      <c r="E69" s="679"/>
      <c r="F69" s="679"/>
      <c r="G69" s="695"/>
    </row>
    <row r="70" spans="1:7" s="684" customFormat="1" ht="15">
      <c r="A70" s="679"/>
      <c r="B70" s="679"/>
      <c r="C70" s="692" t="s">
        <v>352</v>
      </c>
      <c r="D70" s="693" t="s">
        <v>353</v>
      </c>
      <c r="E70" s="682">
        <v>1</v>
      </c>
      <c r="F70" s="682">
        <f>'MINI SSR 2025-26'!H66</f>
        <v>9</v>
      </c>
      <c r="G70" s="683">
        <f>ROUND(E70*F70,2)</f>
        <v>9</v>
      </c>
    </row>
    <row r="71" spans="1:7" s="684" customFormat="1" ht="15">
      <c r="A71" s="679"/>
      <c r="B71" s="691"/>
      <c r="C71" s="692" t="s">
        <v>354</v>
      </c>
      <c r="D71" s="693" t="s">
        <v>353</v>
      </c>
      <c r="E71" s="682">
        <v>1</v>
      </c>
      <c r="F71" s="682">
        <f>'MINI SSR 2025-26'!H67</f>
        <v>2</v>
      </c>
      <c r="G71" s="683">
        <f>ROUND(E71*F71,2)</f>
        <v>2</v>
      </c>
    </row>
    <row r="72" spans="1:7" s="684" customFormat="1" ht="15">
      <c r="A72" s="679"/>
      <c r="B72" s="691"/>
      <c r="C72" s="692"/>
      <c r="D72" s="693"/>
      <c r="E72" s="682"/>
      <c r="F72" s="682"/>
      <c r="G72" s="699">
        <f>SUM(G70:G71)</f>
        <v>11</v>
      </c>
    </row>
    <row r="73" spans="1:7" s="690" customFormat="1">
      <c r="A73" s="679"/>
      <c r="B73" s="685"/>
      <c r="C73" s="686" t="s">
        <v>326</v>
      </c>
      <c r="D73" s="687"/>
      <c r="E73" s="688"/>
      <c r="F73" s="688"/>
      <c r="G73" s="689">
        <v>0</v>
      </c>
    </row>
    <row r="74" spans="1:7" s="684" customFormat="1" ht="15">
      <c r="A74" s="679"/>
      <c r="B74" s="691"/>
      <c r="C74" s="692"/>
      <c r="D74" s="693"/>
      <c r="E74" s="682"/>
      <c r="F74" s="682"/>
      <c r="G74" s="699">
        <f>SUM(G72:G73)</f>
        <v>11</v>
      </c>
    </row>
    <row r="75" spans="1:7" s="684" customFormat="1" ht="72">
      <c r="A75" s="679"/>
      <c r="B75" s="679">
        <v>8</v>
      </c>
      <c r="C75" s="674" t="s">
        <v>273</v>
      </c>
      <c r="D75" s="674"/>
      <c r="E75" s="674"/>
      <c r="F75" s="679"/>
      <c r="G75" s="695"/>
    </row>
    <row r="76" spans="1:7" s="53" customFormat="1" ht="15" hidden="1">
      <c r="A76" s="33"/>
      <c r="B76" s="33"/>
      <c r="C76" s="37" t="s">
        <v>355</v>
      </c>
      <c r="D76" s="54" t="s">
        <v>274</v>
      </c>
      <c r="E76" s="55">
        <v>1</v>
      </c>
      <c r="F76" s="63">
        <f>'MINI SSR 2025-26'!H68</f>
        <v>159</v>
      </c>
      <c r="G76" s="36">
        <f>ROUND(E76*F76,2)</f>
        <v>159</v>
      </c>
    </row>
    <row r="77" spans="1:7" hidden="1">
      <c r="A77" s="33"/>
      <c r="B77" s="34"/>
      <c r="C77" s="40" t="s">
        <v>326</v>
      </c>
      <c r="D77" s="41"/>
      <c r="E77" s="42"/>
      <c r="F77" s="42"/>
      <c r="G77" s="43">
        <v>0</v>
      </c>
    </row>
    <row r="78" spans="1:7" s="53" customFormat="1" ht="15" hidden="1">
      <c r="A78" s="33"/>
      <c r="B78" s="64"/>
      <c r="C78" s="60"/>
      <c r="D78" s="61"/>
      <c r="E78" s="63"/>
      <c r="F78" s="63"/>
      <c r="G78" s="56">
        <f>SUM(G76:G77)</f>
        <v>159</v>
      </c>
    </row>
    <row r="79" spans="1:7" s="53" customFormat="1" ht="15" hidden="1">
      <c r="A79" s="33"/>
      <c r="B79" s="33"/>
      <c r="C79" s="37" t="s">
        <v>356</v>
      </c>
      <c r="D79" s="54" t="s">
        <v>274</v>
      </c>
      <c r="E79" s="55">
        <v>1</v>
      </c>
      <c r="F79" s="63">
        <f>'MINI SSR 2025-26'!H69</f>
        <v>186</v>
      </c>
      <c r="G79" s="36">
        <f>ROUND(E79*F79,2)</f>
        <v>186</v>
      </c>
    </row>
    <row r="80" spans="1:7" hidden="1">
      <c r="A80" s="33"/>
      <c r="B80" s="34"/>
      <c r="C80" s="40" t="s">
        <v>326</v>
      </c>
      <c r="D80" s="41"/>
      <c r="E80" s="42"/>
      <c r="F80" s="42"/>
      <c r="G80" s="43">
        <v>0</v>
      </c>
    </row>
    <row r="81" spans="1:7" s="53" customFormat="1" ht="15" hidden="1">
      <c r="A81" s="33"/>
      <c r="B81" s="64"/>
      <c r="C81" s="60"/>
      <c r="D81" s="61"/>
      <c r="E81" s="63"/>
      <c r="F81" s="63"/>
      <c r="G81" s="56">
        <f>SUM(G79:G80)</f>
        <v>186</v>
      </c>
    </row>
    <row r="82" spans="1:7" s="684" customFormat="1" ht="15">
      <c r="A82" s="679"/>
      <c r="B82" s="679"/>
      <c r="C82" s="674" t="s">
        <v>357</v>
      </c>
      <c r="D82" s="680" t="s">
        <v>274</v>
      </c>
      <c r="E82" s="681">
        <v>1</v>
      </c>
      <c r="F82" s="682">
        <f>'MINI SSR 2025-26'!H70</f>
        <v>224</v>
      </c>
      <c r="G82" s="683">
        <f>ROUND(E82*F82,2)</f>
        <v>224</v>
      </c>
    </row>
    <row r="83" spans="1:7" s="690" customFormat="1">
      <c r="A83" s="679"/>
      <c r="B83" s="685"/>
      <c r="C83" s="686" t="s">
        <v>326</v>
      </c>
      <c r="D83" s="687"/>
      <c r="E83" s="688"/>
      <c r="F83" s="688"/>
      <c r="G83" s="689">
        <v>0</v>
      </c>
    </row>
    <row r="84" spans="1:7" s="684" customFormat="1" ht="15">
      <c r="A84" s="679"/>
      <c r="B84" s="691"/>
      <c r="C84" s="692"/>
      <c r="D84" s="693"/>
      <c r="E84" s="682"/>
      <c r="F84" s="682"/>
      <c r="G84" s="694">
        <f>SUM(G82:G83)</f>
        <v>224</v>
      </c>
    </row>
    <row r="85" spans="1:7" s="53" customFormat="1" ht="15" hidden="1">
      <c r="A85" s="33"/>
      <c r="B85" s="33"/>
      <c r="C85" s="37" t="s">
        <v>358</v>
      </c>
      <c r="D85" s="54" t="s">
        <v>274</v>
      </c>
      <c r="E85" s="55">
        <v>1</v>
      </c>
      <c r="F85" s="63">
        <f>'MINI SSR 2025-26'!H71</f>
        <v>291</v>
      </c>
      <c r="G85" s="36">
        <f>ROUND(E85*F85,2)</f>
        <v>291</v>
      </c>
    </row>
    <row r="86" spans="1:7" hidden="1">
      <c r="A86" s="33"/>
      <c r="B86" s="34"/>
      <c r="C86" s="40" t="s">
        <v>326</v>
      </c>
      <c r="D86" s="41"/>
      <c r="E86" s="42"/>
      <c r="F86" s="42"/>
      <c r="G86" s="43">
        <v>0</v>
      </c>
    </row>
    <row r="87" spans="1:7" s="53" customFormat="1" ht="15" hidden="1">
      <c r="A87" s="33"/>
      <c r="B87" s="64"/>
      <c r="C87" s="60"/>
      <c r="D87" s="61"/>
      <c r="E87" s="63"/>
      <c r="F87" s="63"/>
      <c r="G87" s="56">
        <f>SUM(G85:G86)</f>
        <v>291</v>
      </c>
    </row>
    <row r="88" spans="1:7" s="59" customFormat="1" ht="48" hidden="1">
      <c r="A88" s="33"/>
      <c r="B88" s="33">
        <v>16</v>
      </c>
      <c r="C88" s="37" t="s">
        <v>1060</v>
      </c>
      <c r="D88" s="37"/>
      <c r="E88" s="33"/>
      <c r="F88" s="33"/>
      <c r="G88" s="58"/>
    </row>
    <row r="89" spans="1:7" s="59" customFormat="1" hidden="1">
      <c r="A89" s="35"/>
      <c r="B89" s="33"/>
      <c r="C89" s="60" t="s">
        <v>375</v>
      </c>
      <c r="D89" s="61" t="s">
        <v>276</v>
      </c>
      <c r="E89" s="62">
        <v>1</v>
      </c>
      <c r="F89" s="63">
        <f>'MINI SSR 2025-26'!H72</f>
        <v>25</v>
      </c>
      <c r="G89" s="36">
        <f>ROUND(E89*F89,2)</f>
        <v>25</v>
      </c>
    </row>
    <row r="90" spans="1:7" hidden="1">
      <c r="A90" s="33"/>
      <c r="B90" s="34"/>
      <c r="C90" s="40" t="s">
        <v>326</v>
      </c>
      <c r="D90" s="41"/>
      <c r="E90" s="42"/>
      <c r="F90" s="42"/>
      <c r="G90" s="43">
        <v>0</v>
      </c>
    </row>
    <row r="91" spans="1:7" s="59" customFormat="1" hidden="1">
      <c r="A91" s="35"/>
      <c r="B91" s="33"/>
      <c r="C91" s="60"/>
      <c r="D91" s="61"/>
      <c r="E91" s="62"/>
      <c r="F91" s="63"/>
      <c r="G91" s="57">
        <f>SUM(G89:G90)</f>
        <v>25</v>
      </c>
    </row>
    <row r="92" spans="1:7" s="696" customFormat="1" ht="72">
      <c r="A92" s="679"/>
      <c r="B92" s="679">
        <v>9</v>
      </c>
      <c r="C92" s="674" t="s">
        <v>359</v>
      </c>
      <c r="D92" s="674"/>
      <c r="E92" s="679"/>
      <c r="F92" s="679"/>
      <c r="G92" s="695"/>
    </row>
    <row r="93" spans="1:7" s="696" customFormat="1">
      <c r="A93" s="697"/>
      <c r="B93" s="679"/>
      <c r="C93" s="692" t="s">
        <v>360</v>
      </c>
      <c r="D93" s="693" t="s">
        <v>276</v>
      </c>
      <c r="E93" s="698">
        <v>1</v>
      </c>
      <c r="F93" s="682">
        <f>'MINI SSR 2025-26'!H73</f>
        <v>37</v>
      </c>
      <c r="G93" s="683">
        <f>ROUND(E93*F93,2)</f>
        <v>37</v>
      </c>
    </row>
    <row r="94" spans="1:7" s="690" customFormat="1">
      <c r="A94" s="679"/>
      <c r="B94" s="685"/>
      <c r="C94" s="686" t="s">
        <v>326</v>
      </c>
      <c r="D94" s="687"/>
      <c r="E94" s="688"/>
      <c r="F94" s="688"/>
      <c r="G94" s="689">
        <v>0</v>
      </c>
    </row>
    <row r="95" spans="1:7" s="696" customFormat="1">
      <c r="A95" s="697"/>
      <c r="B95" s="679"/>
      <c r="C95" s="692"/>
      <c r="D95" s="693"/>
      <c r="E95" s="698"/>
      <c r="F95" s="682"/>
      <c r="G95" s="699">
        <f>SUM(G93:G94)</f>
        <v>37</v>
      </c>
    </row>
    <row r="96" spans="1:7" s="53" customFormat="1" ht="48" hidden="1">
      <c r="A96" s="33"/>
      <c r="B96" s="33">
        <v>18</v>
      </c>
      <c r="C96" s="37" t="s">
        <v>361</v>
      </c>
      <c r="D96" s="35"/>
      <c r="E96" s="33"/>
      <c r="F96" s="33"/>
      <c r="G96" s="58"/>
    </row>
    <row r="97" spans="1:8" s="53" customFormat="1" ht="15" hidden="1">
      <c r="A97" s="33"/>
      <c r="B97" s="33"/>
      <c r="C97" s="60" t="s">
        <v>362</v>
      </c>
      <c r="D97" s="61" t="s">
        <v>114</v>
      </c>
      <c r="E97" s="63">
        <v>1</v>
      </c>
      <c r="F97" s="63">
        <f>'MINI SSR 2025-26'!H74</f>
        <v>1175</v>
      </c>
      <c r="G97" s="36">
        <f>ROUND(E97*F97,2)</f>
        <v>1175</v>
      </c>
    </row>
    <row r="98" spans="1:8" hidden="1">
      <c r="A98" s="33"/>
      <c r="B98" s="34"/>
      <c r="C98" s="40" t="s">
        <v>326</v>
      </c>
      <c r="D98" s="41"/>
      <c r="E98" s="42"/>
      <c r="F98" s="42"/>
      <c r="G98" s="43">
        <v>0</v>
      </c>
    </row>
    <row r="99" spans="1:8" s="53" customFormat="1" ht="15" hidden="1">
      <c r="A99" s="33"/>
      <c r="B99" s="64"/>
      <c r="C99" s="60"/>
      <c r="D99" s="61"/>
      <c r="E99" s="63"/>
      <c r="F99" s="63"/>
      <c r="G99" s="57">
        <f>SUM(G97:G98)</f>
        <v>1175</v>
      </c>
    </row>
    <row r="100" spans="1:8" s="59" customFormat="1" ht="108" hidden="1">
      <c r="A100" s="65"/>
      <c r="B100" s="33">
        <v>19</v>
      </c>
      <c r="C100" s="35" t="s">
        <v>363</v>
      </c>
      <c r="D100" s="35"/>
      <c r="E100" s="35"/>
      <c r="F100" s="35"/>
      <c r="G100" s="66"/>
    </row>
    <row r="101" spans="1:8" s="59" customFormat="1" hidden="1">
      <c r="A101" s="67"/>
      <c r="B101" s="64"/>
      <c r="C101" s="68" t="s">
        <v>364</v>
      </c>
      <c r="D101" s="69"/>
      <c r="E101" s="69"/>
      <c r="F101" s="70"/>
      <c r="G101" s="71"/>
    </row>
    <row r="102" spans="1:8" s="59" customFormat="1" hidden="1">
      <c r="A102" s="67"/>
      <c r="B102" s="33"/>
      <c r="C102" s="67" t="s">
        <v>365</v>
      </c>
      <c r="D102" s="70" t="s">
        <v>366</v>
      </c>
      <c r="E102" s="69">
        <v>1</v>
      </c>
      <c r="F102" s="69">
        <f>'MINI SSR 2025-26'!C78</f>
        <v>451</v>
      </c>
      <c r="G102" s="36">
        <f t="shared" ref="G102:G107" si="0">ROUND(E102*F102,2)</f>
        <v>451</v>
      </c>
    </row>
    <row r="103" spans="1:8" s="59" customFormat="1" hidden="1">
      <c r="A103" s="67"/>
      <c r="B103" s="33"/>
      <c r="C103" s="72" t="s">
        <v>367</v>
      </c>
      <c r="D103" s="70" t="s">
        <v>114</v>
      </c>
      <c r="E103" s="69">
        <v>1</v>
      </c>
      <c r="F103" s="69">
        <f>'MINI SSR 2025-26'!H75</f>
        <v>78</v>
      </c>
      <c r="G103" s="36">
        <f t="shared" si="0"/>
        <v>78</v>
      </c>
    </row>
    <row r="104" spans="1:8" s="59" customFormat="1" hidden="1">
      <c r="A104" s="67"/>
      <c r="B104" s="33"/>
      <c r="C104" s="72" t="s">
        <v>368</v>
      </c>
      <c r="D104" s="70" t="s">
        <v>114</v>
      </c>
      <c r="E104" s="69">
        <v>3</v>
      </c>
      <c r="F104" s="69">
        <f>'MINI SSR 2025-26'!H76</f>
        <v>18</v>
      </c>
      <c r="G104" s="36">
        <f t="shared" si="0"/>
        <v>54</v>
      </c>
    </row>
    <row r="105" spans="1:8" s="59" customFormat="1" hidden="1">
      <c r="A105" s="67"/>
      <c r="B105" s="33"/>
      <c r="C105" s="73" t="s">
        <v>369</v>
      </c>
      <c r="D105" s="70" t="s">
        <v>108</v>
      </c>
      <c r="E105" s="69">
        <v>0.3</v>
      </c>
      <c r="F105" s="69">
        <f>'MINI SSR 2025-26'!H13</f>
        <v>820</v>
      </c>
      <c r="G105" s="36">
        <f t="shared" si="0"/>
        <v>246</v>
      </c>
    </row>
    <row r="106" spans="1:8" s="59" customFormat="1" hidden="1">
      <c r="A106" s="67"/>
      <c r="B106" s="33"/>
      <c r="C106" s="73" t="s">
        <v>370</v>
      </c>
      <c r="D106" s="70" t="s">
        <v>108</v>
      </c>
      <c r="E106" s="69">
        <v>0.7</v>
      </c>
      <c r="F106" s="69">
        <f>'MINI SSR 2025-26'!H14</f>
        <v>665</v>
      </c>
      <c r="G106" s="36">
        <f t="shared" si="0"/>
        <v>465.5</v>
      </c>
    </row>
    <row r="107" spans="1:8" s="59" customFormat="1" hidden="1">
      <c r="A107" s="67"/>
      <c r="B107" s="33"/>
      <c r="C107" s="73" t="s">
        <v>371</v>
      </c>
      <c r="D107" s="70" t="s">
        <v>108</v>
      </c>
      <c r="E107" s="69">
        <v>1</v>
      </c>
      <c r="F107" s="281">
        <f>'MINI SSR 2025-26'!$H$5</f>
        <v>615</v>
      </c>
      <c r="G107" s="36">
        <f t="shared" si="0"/>
        <v>615</v>
      </c>
    </row>
    <row r="108" spans="1:8" s="59" customFormat="1" hidden="1">
      <c r="A108" s="67"/>
      <c r="B108" s="33"/>
      <c r="C108" s="73"/>
      <c r="D108" s="70"/>
      <c r="E108" s="69"/>
      <c r="F108" s="69"/>
      <c r="G108" s="71">
        <f>SUM(G102:G107)</f>
        <v>1909.5</v>
      </c>
    </row>
    <row r="109" spans="1:8" hidden="1">
      <c r="A109" s="33"/>
      <c r="B109" s="34"/>
      <c r="C109" s="40" t="s">
        <v>326</v>
      </c>
      <c r="D109" s="41"/>
      <c r="E109" s="42"/>
      <c r="F109" s="42"/>
      <c r="G109" s="43">
        <v>0</v>
      </c>
    </row>
    <row r="110" spans="1:8" s="59" customFormat="1" hidden="1">
      <c r="A110" s="67"/>
      <c r="B110" s="64"/>
      <c r="C110" s="73" t="s">
        <v>372</v>
      </c>
      <c r="D110" s="70"/>
      <c r="E110" s="69"/>
      <c r="F110" s="69"/>
      <c r="G110" s="71">
        <f>SUM(G108:G109)</f>
        <v>1909.5</v>
      </c>
    </row>
    <row r="111" spans="1:8" s="59" customFormat="1" hidden="1">
      <c r="A111" s="576"/>
      <c r="B111" s="577"/>
      <c r="C111" s="578" t="s">
        <v>373</v>
      </c>
      <c r="D111" s="579"/>
      <c r="E111" s="580"/>
      <c r="F111" s="580"/>
      <c r="G111" s="581">
        <f>G110/3</f>
        <v>636.5</v>
      </c>
    </row>
    <row r="112" spans="1:8" s="177" customFormat="1" ht="63.75" hidden="1">
      <c r="A112" s="622"/>
      <c r="B112" s="622">
        <v>1</v>
      </c>
      <c r="C112" s="632" t="s">
        <v>1658</v>
      </c>
      <c r="D112" s="632"/>
      <c r="E112" s="179"/>
      <c r="F112" s="179"/>
      <c r="G112" s="139"/>
      <c r="H112" s="358"/>
    </row>
    <row r="113" spans="1:8" s="177" customFormat="1" hidden="1">
      <c r="A113" s="178"/>
      <c r="B113" s="179"/>
      <c r="C113" s="180" t="s">
        <v>2144</v>
      </c>
      <c r="D113" s="110" t="s">
        <v>276</v>
      </c>
      <c r="E113" s="181">
        <v>1</v>
      </c>
      <c r="F113" s="12">
        <f>'MINI SSR 2025-26'!C86</f>
        <v>492.16</v>
      </c>
      <c r="G113" s="11">
        <f>(E113*F113)/1</f>
        <v>492.16</v>
      </c>
      <c r="H113" s="359"/>
    </row>
    <row r="114" spans="1:8" s="177" customFormat="1" hidden="1">
      <c r="A114" s="178"/>
      <c r="B114" s="179"/>
      <c r="C114" s="180"/>
      <c r="D114" s="110"/>
      <c r="E114" s="181"/>
      <c r="F114" s="12"/>
      <c r="G114" s="11"/>
      <c r="H114" s="359"/>
    </row>
    <row r="115" spans="1:8" s="177" customFormat="1" hidden="1">
      <c r="A115" s="178"/>
      <c r="B115" s="179"/>
      <c r="C115" s="180" t="s">
        <v>2145</v>
      </c>
      <c r="D115" s="110" t="s">
        <v>276</v>
      </c>
      <c r="E115" s="181">
        <v>1</v>
      </c>
      <c r="F115" s="12">
        <f>'MINI SSR 2025-26'!C87</f>
        <v>526.54999999999995</v>
      </c>
      <c r="G115" s="11">
        <f>(E115*F115)/1</f>
        <v>526.54999999999995</v>
      </c>
      <c r="H115" s="359"/>
    </row>
    <row r="116" spans="1:8" s="177" customFormat="1" hidden="1">
      <c r="A116" s="178"/>
      <c r="B116" s="179"/>
      <c r="C116" s="180"/>
      <c r="D116" s="110"/>
      <c r="E116" s="181"/>
      <c r="F116" s="12"/>
      <c r="G116" s="11"/>
      <c r="H116" s="359"/>
    </row>
    <row r="117" spans="1:8" s="177" customFormat="1" hidden="1">
      <c r="A117" s="178"/>
      <c r="B117" s="179"/>
      <c r="C117" s="180" t="s">
        <v>2107</v>
      </c>
      <c r="D117" s="110" t="s">
        <v>276</v>
      </c>
      <c r="E117" s="181">
        <v>1</v>
      </c>
      <c r="F117" s="12">
        <f>'MINI SSR 2025-26'!C88</f>
        <v>590.61</v>
      </c>
      <c r="G117" s="11">
        <f>(E117*F117)/1</f>
        <v>590.61</v>
      </c>
      <c r="H117" s="173"/>
    </row>
    <row r="118" spans="1:8" s="177" customFormat="1" hidden="1">
      <c r="A118" s="178"/>
      <c r="B118" s="179"/>
      <c r="C118" s="180"/>
      <c r="D118" s="110"/>
      <c r="E118" s="181"/>
      <c r="F118" s="12"/>
      <c r="G118" s="11"/>
      <c r="H118" s="182"/>
    </row>
    <row r="119" spans="1:8" s="177" customFormat="1" ht="51" hidden="1">
      <c r="A119" s="179"/>
      <c r="B119" s="179">
        <v>21</v>
      </c>
      <c r="C119" s="632" t="s">
        <v>583</v>
      </c>
      <c r="D119" s="632"/>
      <c r="E119" s="179"/>
      <c r="F119" s="179"/>
      <c r="G119" s="139"/>
      <c r="H119" s="147"/>
    </row>
    <row r="120" spans="1:8" s="177" customFormat="1" hidden="1">
      <c r="A120" s="178"/>
      <c r="B120" s="179"/>
      <c r="C120" s="180" t="s">
        <v>588</v>
      </c>
      <c r="D120" s="110" t="s">
        <v>271</v>
      </c>
      <c r="E120" s="181">
        <v>1</v>
      </c>
      <c r="F120" s="12">
        <f>'MINI SSR 2025-26'!C89</f>
        <v>32343</v>
      </c>
      <c r="G120" s="11">
        <f>(E120*F120)/1</f>
        <v>32343</v>
      </c>
      <c r="H120" s="173"/>
    </row>
    <row r="121" spans="1:8" s="177" customFormat="1" hidden="1">
      <c r="A121" s="582"/>
      <c r="B121" s="583"/>
      <c r="C121" s="584"/>
      <c r="D121" s="585"/>
      <c r="E121" s="586"/>
      <c r="F121" s="587"/>
      <c r="G121" s="588">
        <f>SUM(G120:G120)</f>
        <v>32343</v>
      </c>
      <c r="H121" s="182"/>
    </row>
    <row r="122" spans="1:8" s="177" customFormat="1" ht="51" hidden="1">
      <c r="A122" s="179"/>
      <c r="B122" s="179">
        <v>2</v>
      </c>
      <c r="C122" s="632" t="s">
        <v>1318</v>
      </c>
      <c r="D122" s="632"/>
      <c r="E122" s="179"/>
      <c r="F122" s="179"/>
      <c r="G122" s="139"/>
      <c r="H122" s="358"/>
    </row>
    <row r="123" spans="1:8" s="177" customFormat="1" hidden="1">
      <c r="A123" s="178"/>
      <c r="B123" s="179"/>
      <c r="C123" s="180" t="s">
        <v>1325</v>
      </c>
      <c r="D123" s="110" t="s">
        <v>271</v>
      </c>
      <c r="E123" s="181">
        <v>1</v>
      </c>
      <c r="F123" s="12">
        <f>'MINI SSR 2025-26'!C90</f>
        <v>22228</v>
      </c>
      <c r="G123" s="11">
        <f>(E123*F123)/1</f>
        <v>22228</v>
      </c>
      <c r="H123" s="359"/>
    </row>
    <row r="124" spans="1:8" s="177" customFormat="1" hidden="1">
      <c r="A124" s="178"/>
      <c r="B124" s="179"/>
      <c r="C124" s="180"/>
      <c r="D124" s="110"/>
      <c r="E124" s="181"/>
      <c r="F124" s="12"/>
      <c r="G124" s="11">
        <f>SUM(G123:G123)</f>
        <v>22228</v>
      </c>
      <c r="H124" s="623"/>
    </row>
    <row r="125" spans="1:8" s="177" customFormat="1" ht="51" hidden="1">
      <c r="A125" s="179"/>
      <c r="B125" s="179">
        <v>3</v>
      </c>
      <c r="C125" s="632" t="s">
        <v>589</v>
      </c>
      <c r="D125" s="632"/>
      <c r="E125" s="179"/>
      <c r="F125" s="179"/>
      <c r="G125" s="139"/>
      <c r="H125" s="358"/>
    </row>
    <row r="126" spans="1:8" s="177" customFormat="1" hidden="1">
      <c r="A126" s="178"/>
      <c r="B126" s="179"/>
      <c r="C126" s="624" t="s">
        <v>1657</v>
      </c>
      <c r="D126" s="110" t="s">
        <v>287</v>
      </c>
      <c r="E126" s="181">
        <v>1</v>
      </c>
      <c r="F126" s="12">
        <f>'MINI SSR 2025-26'!C91</f>
        <v>358.31</v>
      </c>
      <c r="G126" s="11">
        <f>(E126*F126)/1</f>
        <v>358.31</v>
      </c>
      <c r="H126" s="359"/>
    </row>
    <row r="127" spans="1:8" s="177" customFormat="1" hidden="1">
      <c r="A127" s="178"/>
      <c r="B127" s="179"/>
      <c r="C127" s="180"/>
      <c r="D127" s="110"/>
      <c r="E127" s="181"/>
      <c r="F127" s="12"/>
      <c r="G127" s="11">
        <f>SUM(G126:G126)</f>
        <v>358.31</v>
      </c>
      <c r="H127" s="623"/>
    </row>
    <row r="128" spans="1:8" s="177" customFormat="1" ht="38.25" hidden="1">
      <c r="A128" s="179"/>
      <c r="B128" s="179">
        <v>4</v>
      </c>
      <c r="C128" s="14" t="s">
        <v>281</v>
      </c>
      <c r="D128" s="14"/>
      <c r="E128" s="74"/>
      <c r="F128" s="74"/>
      <c r="G128" s="625"/>
      <c r="H128" s="358"/>
    </row>
    <row r="129" spans="1:8" s="177" customFormat="1" hidden="1">
      <c r="A129" s="178"/>
      <c r="B129" s="179"/>
      <c r="C129" s="17" t="s">
        <v>374</v>
      </c>
      <c r="D129" s="13" t="s">
        <v>276</v>
      </c>
      <c r="E129" s="75">
        <v>1</v>
      </c>
      <c r="F129" s="15">
        <f>'MINI SSR 2025-26'!C92</f>
        <v>80</v>
      </c>
      <c r="G129" s="16">
        <f>(E129*F129)/1</f>
        <v>80</v>
      </c>
      <c r="H129" s="359"/>
    </row>
    <row r="130" spans="1:8" s="177" customFormat="1" hidden="1">
      <c r="A130" s="178"/>
      <c r="B130" s="179"/>
      <c r="C130" s="17"/>
      <c r="D130" s="13"/>
      <c r="E130" s="75"/>
      <c r="F130" s="15"/>
      <c r="G130" s="16">
        <f>SUM(G129:G129)</f>
        <v>80</v>
      </c>
      <c r="H130" s="623"/>
    </row>
    <row r="131" spans="1:8" s="177" customFormat="1" hidden="1">
      <c r="A131" s="179"/>
      <c r="B131" s="179">
        <v>5</v>
      </c>
      <c r="C131" s="632" t="s">
        <v>285</v>
      </c>
      <c r="D131" s="632"/>
      <c r="E131" s="179"/>
      <c r="F131" s="179"/>
      <c r="G131" s="139"/>
      <c r="H131" s="358"/>
    </row>
    <row r="132" spans="1:8" s="177" customFormat="1" hidden="1">
      <c r="A132" s="178"/>
      <c r="B132" s="179"/>
      <c r="C132" s="180" t="s">
        <v>1656</v>
      </c>
      <c r="D132" s="110" t="s">
        <v>271</v>
      </c>
      <c r="E132" s="181">
        <v>1</v>
      </c>
      <c r="F132" s="12">
        <f>'MINI SSR 2025-26'!C93</f>
        <v>173</v>
      </c>
      <c r="G132" s="11">
        <f>(E132*F132)/1</f>
        <v>173</v>
      </c>
      <c r="H132" s="359"/>
    </row>
    <row r="133" spans="1:8" s="177" customFormat="1" hidden="1">
      <c r="A133" s="178"/>
      <c r="B133" s="179"/>
      <c r="C133" s="180"/>
      <c r="D133" s="110"/>
      <c r="E133" s="181"/>
      <c r="F133" s="12"/>
      <c r="G133" s="11">
        <f>SUM(G132:G132)</f>
        <v>173</v>
      </c>
      <c r="H133" s="623"/>
    </row>
    <row r="134" spans="1:8" s="177" customFormat="1" hidden="1">
      <c r="A134" s="179"/>
      <c r="B134" s="179">
        <v>6</v>
      </c>
      <c r="C134" s="632" t="s">
        <v>282</v>
      </c>
      <c r="D134" s="632"/>
      <c r="E134" s="179"/>
      <c r="F134" s="179"/>
      <c r="G134" s="139"/>
      <c r="H134" s="358"/>
    </row>
    <row r="135" spans="1:8" s="177" customFormat="1" hidden="1">
      <c r="A135" s="178"/>
      <c r="B135" s="179"/>
      <c r="C135" s="180" t="s">
        <v>1655</v>
      </c>
      <c r="D135" s="110" t="s">
        <v>271</v>
      </c>
      <c r="E135" s="181">
        <v>1</v>
      </c>
      <c r="F135" s="12">
        <f>'MINI SSR 2025-26'!C94</f>
        <v>330.75</v>
      </c>
      <c r="G135" s="11">
        <f>(E135*F135)/1</f>
        <v>330.75</v>
      </c>
      <c r="H135" s="359"/>
    </row>
    <row r="136" spans="1:8" s="177" customFormat="1" hidden="1">
      <c r="A136" s="178"/>
      <c r="B136" s="179"/>
      <c r="C136" s="180"/>
      <c r="D136" s="110"/>
      <c r="E136" s="181"/>
      <c r="F136" s="12"/>
      <c r="G136" s="11">
        <f>SUM(G135:G135)</f>
        <v>330.75</v>
      </c>
      <c r="H136" s="623"/>
    </row>
    <row r="137" spans="1:8" s="177" customFormat="1" hidden="1">
      <c r="A137" s="179"/>
      <c r="B137" s="179">
        <v>7</v>
      </c>
      <c r="C137" s="632" t="s">
        <v>1654</v>
      </c>
      <c r="D137" s="632"/>
      <c r="E137" s="179"/>
      <c r="F137" s="179"/>
      <c r="G137" s="139"/>
      <c r="H137" s="358"/>
    </row>
    <row r="138" spans="1:8" s="177" customFormat="1" hidden="1">
      <c r="A138" s="178"/>
      <c r="B138" s="179"/>
      <c r="C138" s="180" t="s">
        <v>1655</v>
      </c>
      <c r="D138" s="110" t="s">
        <v>276</v>
      </c>
      <c r="E138" s="181">
        <v>1</v>
      </c>
      <c r="F138" s="12">
        <f>'MINI SSR 2025-26'!C95</f>
        <v>400</v>
      </c>
      <c r="G138" s="11">
        <f>(E138*F138)/1</f>
        <v>400</v>
      </c>
      <c r="H138" s="359"/>
    </row>
    <row r="139" spans="1:8" s="177" customFormat="1" hidden="1">
      <c r="A139" s="178"/>
      <c r="B139" s="179"/>
      <c r="C139" s="180"/>
      <c r="D139" s="110"/>
      <c r="E139" s="181"/>
      <c r="F139" s="12"/>
      <c r="G139" s="11">
        <f>SUM(G138:G138)</f>
        <v>400</v>
      </c>
      <c r="H139" s="623"/>
    </row>
    <row r="140" spans="1:8" s="177" customFormat="1" hidden="1">
      <c r="A140" s="179"/>
      <c r="B140" s="179">
        <v>8</v>
      </c>
      <c r="C140" s="632" t="s">
        <v>1652</v>
      </c>
      <c r="D140" s="632"/>
      <c r="E140" s="179"/>
      <c r="F140" s="179"/>
      <c r="G140" s="139"/>
      <c r="H140" s="358"/>
    </row>
    <row r="141" spans="1:8" s="177" customFormat="1" hidden="1">
      <c r="A141" s="178"/>
      <c r="B141" s="179"/>
      <c r="C141" s="180" t="s">
        <v>1653</v>
      </c>
      <c r="D141" s="110" t="s">
        <v>271</v>
      </c>
      <c r="E141" s="181">
        <v>1</v>
      </c>
      <c r="F141" s="12">
        <f>'MINI SSR 2025-26'!C96</f>
        <v>78</v>
      </c>
      <c r="G141" s="11">
        <f>(E141*F141)/1</f>
        <v>78</v>
      </c>
      <c r="H141" s="359"/>
    </row>
    <row r="142" spans="1:8" s="177" customFormat="1" hidden="1">
      <c r="A142" s="178"/>
      <c r="B142" s="179"/>
      <c r="C142" s="180"/>
      <c r="D142" s="110"/>
      <c r="E142" s="181"/>
      <c r="F142" s="12"/>
      <c r="G142" s="11">
        <f>SUM(G141:G141)</f>
        <v>78</v>
      </c>
      <c r="H142" s="623"/>
    </row>
    <row r="143" spans="1:8" s="177" customFormat="1" ht="51" hidden="1">
      <c r="A143" s="179"/>
      <c r="B143" s="179">
        <v>9</v>
      </c>
      <c r="C143" s="632" t="s">
        <v>590</v>
      </c>
      <c r="D143" s="632"/>
      <c r="E143" s="179"/>
      <c r="F143" s="179"/>
      <c r="G143" s="139"/>
      <c r="H143" s="358"/>
    </row>
    <row r="144" spans="1:8" s="177" customFormat="1" hidden="1">
      <c r="A144" s="178"/>
      <c r="B144" s="179"/>
      <c r="C144" s="180" t="s">
        <v>591</v>
      </c>
      <c r="D144" s="110" t="s">
        <v>276</v>
      </c>
      <c r="E144" s="181">
        <v>1</v>
      </c>
      <c r="F144" s="12">
        <f>'MINI SSR 2025-26'!C97</f>
        <v>109</v>
      </c>
      <c r="G144" s="11">
        <f>(E144*F144)/1</f>
        <v>109</v>
      </c>
      <c r="H144" s="359"/>
    </row>
    <row r="145" spans="1:8" s="177" customFormat="1" hidden="1">
      <c r="A145" s="178"/>
      <c r="B145" s="179"/>
      <c r="C145" s="180"/>
      <c r="D145" s="110"/>
      <c r="E145" s="181"/>
      <c r="F145" s="12"/>
      <c r="G145" s="11">
        <f>SUM(G144:G144)</f>
        <v>109</v>
      </c>
      <c r="H145" s="623"/>
    </row>
    <row r="146" spans="1:8" s="177" customFormat="1" ht="102" hidden="1">
      <c r="A146" s="179"/>
      <c r="B146" s="179">
        <v>10</v>
      </c>
      <c r="C146" s="632" t="s">
        <v>376</v>
      </c>
      <c r="D146" s="632"/>
      <c r="E146" s="179"/>
      <c r="F146" s="179"/>
      <c r="G146" s="139"/>
      <c r="H146" s="358"/>
    </row>
    <row r="147" spans="1:8" s="177" customFormat="1" hidden="1">
      <c r="A147" s="178"/>
      <c r="B147" s="179"/>
      <c r="C147" s="17" t="s">
        <v>377</v>
      </c>
      <c r="D147" s="110" t="s">
        <v>114</v>
      </c>
      <c r="E147" s="181">
        <v>1</v>
      </c>
      <c r="F147" s="12">
        <f>'MINI SSR 2025-26'!C98</f>
        <v>5990</v>
      </c>
      <c r="G147" s="11">
        <f>(E147*F147)/1</f>
        <v>5990</v>
      </c>
      <c r="H147" s="359"/>
    </row>
    <row r="148" spans="1:8" s="177" customFormat="1" hidden="1">
      <c r="A148" s="178"/>
      <c r="B148" s="179"/>
      <c r="C148" s="180"/>
      <c r="D148" s="110"/>
      <c r="E148" s="181"/>
      <c r="F148" s="12"/>
      <c r="G148" s="11">
        <f>SUM(G147:G147)</f>
        <v>5990</v>
      </c>
      <c r="H148" s="623"/>
    </row>
    <row r="149" spans="1:8" s="53" customFormat="1" ht="15" hidden="1">
      <c r="A149" s="74"/>
      <c r="B149" s="74"/>
      <c r="C149" s="17"/>
      <c r="D149" s="13"/>
      <c r="E149" s="75"/>
      <c r="F149" s="15"/>
      <c r="G149" s="16"/>
    </row>
    <row r="150" spans="1:8" s="684" customFormat="1" ht="24">
      <c r="A150" s="679"/>
      <c r="B150" s="679">
        <v>10</v>
      </c>
      <c r="C150" s="674" t="s">
        <v>711</v>
      </c>
      <c r="D150" s="680"/>
      <c r="E150" s="693"/>
      <c r="F150" s="693"/>
      <c r="G150" s="680"/>
    </row>
    <row r="151" spans="1:8" s="684" customFormat="1" ht="15">
      <c r="A151" s="679"/>
      <c r="B151" s="679"/>
      <c r="C151" s="692" t="s">
        <v>712</v>
      </c>
      <c r="D151" s="693" t="s">
        <v>114</v>
      </c>
      <c r="E151" s="698">
        <v>1</v>
      </c>
      <c r="F151" s="682">
        <v>115</v>
      </c>
      <c r="G151" s="683">
        <f>ROUND(E151*F151,2)</f>
        <v>115</v>
      </c>
    </row>
    <row r="152" spans="1:8" s="684" customFormat="1" ht="15">
      <c r="A152" s="679"/>
      <c r="B152" s="679"/>
      <c r="C152" s="692"/>
      <c r="D152" s="693"/>
      <c r="E152" s="698"/>
      <c r="F152" s="682"/>
      <c r="G152" s="699">
        <f>SUM(G151:G151)</f>
        <v>115</v>
      </c>
    </row>
    <row r="153" spans="1:8" s="27" customFormat="1" ht="11.25">
      <c r="A153" s="28"/>
      <c r="B153" s="29"/>
      <c r="C153" s="111"/>
      <c r="D153" s="30"/>
      <c r="E153" s="32"/>
      <c r="F153" s="30"/>
      <c r="G153" s="31"/>
    </row>
    <row r="154" spans="1:8" s="27" customFormat="1" ht="11.25">
      <c r="A154" s="28"/>
      <c r="B154" s="29"/>
      <c r="C154" s="111"/>
      <c r="D154" s="30"/>
      <c r="E154" s="32"/>
      <c r="F154" s="30"/>
      <c r="G154" s="31"/>
    </row>
    <row r="155" spans="1:8" s="27" customFormat="1" ht="11.25">
      <c r="A155" s="28"/>
      <c r="B155" s="29"/>
      <c r="C155" s="638" t="str">
        <f>'lead 25-26'!H32</f>
        <v>Deputy Executive Engineer</v>
      </c>
      <c r="D155" s="30"/>
      <c r="E155" s="32"/>
      <c r="F155" s="30" t="str">
        <f>'lead 25-26'!K32</f>
        <v>Assistant  Engineer</v>
      </c>
      <c r="G155" s="31"/>
    </row>
    <row r="156" spans="1:8">
      <c r="A156" s="25"/>
      <c r="C156" s="638" t="str">
        <f>'lead 25-26'!H33</f>
        <v>PRI Sub Division</v>
      </c>
      <c r="D156" s="76"/>
      <c r="E156" s="76"/>
      <c r="F156" s="30" t="str">
        <f>'lead 25-26'!K33</f>
        <v>Mandal Praja parishad</v>
      </c>
      <c r="G156" s="76"/>
    </row>
    <row r="157" spans="1:8">
      <c r="A157" s="25"/>
      <c r="C157" s="638" t="str">
        <f>'lead 25-26'!H34</f>
        <v>Kanigiri</v>
      </c>
      <c r="D157" s="76"/>
      <c r="E157" s="76"/>
      <c r="F157" s="30" t="str">
        <f>'lead 25-26'!K34</f>
        <v>Kanigiri</v>
      </c>
      <c r="G157" s="76"/>
    </row>
  </sheetData>
  <autoFilter ref="A3:G152" xr:uid="{00000000-0009-0000-0000-000007000000}">
    <filterColumn colId="0">
      <colorFilter dxfId="2"/>
    </filterColumn>
  </autoFilter>
  <mergeCells count="1">
    <mergeCell ref="B1:F1"/>
  </mergeCells>
  <printOptions horizontalCentered="1"/>
  <pageMargins left="0.2" right="0.2" top="0.25" bottom="0.25" header="0.3" footer="0.3"/>
  <pageSetup paperSize="9" orientation="portrait" verticalDpi="300"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filterMode="1">
    <tabColor rgb="FF7030A0"/>
  </sheetPr>
  <dimension ref="A1:J318"/>
  <sheetViews>
    <sheetView view="pageBreakPreview" zoomScale="115" zoomScaleSheetLayoutView="115" workbookViewId="0">
      <selection activeCell="J1" sqref="J1"/>
    </sheetView>
  </sheetViews>
  <sheetFormatPr defaultRowHeight="11.25"/>
  <cols>
    <col min="1" max="1" width="9.140625" style="27"/>
    <col min="2" max="2" width="5.140625" style="30" customWidth="1"/>
    <col min="3" max="3" width="45.5703125" style="27" customWidth="1"/>
    <col min="4" max="4" width="7.7109375" style="27" customWidth="1"/>
    <col min="5" max="5" width="4.7109375" style="27" customWidth="1"/>
    <col min="6" max="6" width="3.28515625" style="27" customWidth="1"/>
    <col min="7" max="7" width="5" style="27" customWidth="1"/>
    <col min="8" max="8" width="9.5703125" style="27" bestFit="1" customWidth="1"/>
    <col min="9" max="16384" width="9.140625" style="27"/>
  </cols>
  <sheetData>
    <row r="1" spans="1:10" ht="18.75">
      <c r="A1" s="998" t="s">
        <v>2350</v>
      </c>
      <c r="B1" s="998"/>
      <c r="C1" s="998"/>
      <c r="D1" s="999"/>
      <c r="E1" s="1000"/>
      <c r="F1" s="999"/>
      <c r="G1" s="1000"/>
      <c r="H1" s="998"/>
      <c r="I1" s="998"/>
      <c r="J1" s="27">
        <f>'DATA 2025-26'!H3</f>
        <v>0.13614999999999999</v>
      </c>
    </row>
    <row r="2" spans="1:10" ht="32.25" customHeight="1">
      <c r="A2" s="728" t="s">
        <v>315</v>
      </c>
      <c r="B2" s="728" t="s">
        <v>23</v>
      </c>
      <c r="C2" s="728" t="s">
        <v>316</v>
      </c>
      <c r="D2" s="1001" t="s">
        <v>6</v>
      </c>
      <c r="E2" s="1002"/>
      <c r="F2" s="1003" t="s">
        <v>378</v>
      </c>
      <c r="G2" s="1004"/>
      <c r="H2" s="729" t="s">
        <v>317</v>
      </c>
      <c r="I2" s="729" t="s">
        <v>318</v>
      </c>
    </row>
    <row r="3" spans="1:10" s="732" customFormat="1" ht="18" customHeight="1">
      <c r="A3" s="730">
        <v>1</v>
      </c>
      <c r="B3" s="730">
        <v>2</v>
      </c>
      <c r="C3" s="730">
        <v>3</v>
      </c>
      <c r="D3" s="1005">
        <v>4</v>
      </c>
      <c r="E3" s="1006"/>
      <c r="F3" s="1007">
        <v>5</v>
      </c>
      <c r="G3" s="1008"/>
      <c r="H3" s="731">
        <v>6</v>
      </c>
      <c r="I3" s="731">
        <v>7</v>
      </c>
    </row>
    <row r="4" spans="1:10" s="861" customFormat="1" ht="33.75">
      <c r="A4" s="855" t="s">
        <v>1265</v>
      </c>
      <c r="B4" s="856">
        <v>1</v>
      </c>
      <c r="C4" s="857" t="s">
        <v>1274</v>
      </c>
      <c r="D4" s="858"/>
      <c r="E4" s="859"/>
      <c r="F4" s="858"/>
      <c r="G4" s="859"/>
      <c r="H4" s="860"/>
      <c r="I4" s="860"/>
    </row>
    <row r="5" spans="1:10" s="861" customFormat="1">
      <c r="A5" s="862"/>
      <c r="B5" s="856"/>
      <c r="C5" s="857" t="s">
        <v>1266</v>
      </c>
      <c r="D5" s="863"/>
      <c r="E5" s="864"/>
      <c r="F5" s="863"/>
      <c r="G5" s="864"/>
      <c r="H5" s="857"/>
      <c r="I5" s="857"/>
    </row>
    <row r="6" spans="1:10" s="861" customFormat="1">
      <c r="A6" s="862"/>
      <c r="B6" s="856"/>
      <c r="C6" s="865" t="s">
        <v>379</v>
      </c>
      <c r="D6" s="866"/>
      <c r="E6" s="867"/>
      <c r="F6" s="868"/>
      <c r="G6" s="869"/>
      <c r="H6" s="855"/>
      <c r="I6" s="870"/>
    </row>
    <row r="7" spans="1:10" s="861" customFormat="1">
      <c r="A7" s="862"/>
      <c r="B7" s="856"/>
      <c r="C7" s="871" t="s">
        <v>149</v>
      </c>
      <c r="D7" s="872">
        <v>2</v>
      </c>
      <c r="E7" s="873" t="s">
        <v>27</v>
      </c>
      <c r="F7" s="874">
        <v>1</v>
      </c>
      <c r="G7" s="873" t="s">
        <v>27</v>
      </c>
      <c r="H7" s="855">
        <f>'MINI SSR 2025-26'!$H$16</f>
        <v>815</v>
      </c>
      <c r="I7" s="870">
        <f>ROUND(((D7*H7)/F7),2)</f>
        <v>1630</v>
      </c>
    </row>
    <row r="8" spans="1:10" s="861" customFormat="1">
      <c r="A8" s="862"/>
      <c r="B8" s="856"/>
      <c r="C8" s="875" t="s">
        <v>1269</v>
      </c>
      <c r="D8" s="872">
        <v>2</v>
      </c>
      <c r="E8" s="873" t="s">
        <v>27</v>
      </c>
      <c r="F8" s="874">
        <v>1</v>
      </c>
      <c r="G8" s="873" t="s">
        <v>27</v>
      </c>
      <c r="H8" s="855">
        <f>'MINI SSR 2025-26'!$H$17</f>
        <v>665</v>
      </c>
      <c r="I8" s="870">
        <f>ROUND(((D8*H8)/F8),2)</f>
        <v>1330</v>
      </c>
    </row>
    <row r="9" spans="1:10" s="861" customFormat="1">
      <c r="A9" s="862"/>
      <c r="B9" s="856"/>
      <c r="C9" s="871" t="s">
        <v>1270</v>
      </c>
      <c r="D9" s="872">
        <v>2</v>
      </c>
      <c r="E9" s="873" t="s">
        <v>27</v>
      </c>
      <c r="F9" s="874">
        <v>1</v>
      </c>
      <c r="G9" s="873" t="s">
        <v>27</v>
      </c>
      <c r="H9" s="855">
        <f>'MINI SSR 2025-26'!$H$5</f>
        <v>615</v>
      </c>
      <c r="I9" s="870">
        <f>ROUND(((D9*H9)/F9),2)</f>
        <v>1230</v>
      </c>
    </row>
    <row r="10" spans="1:10" s="861" customFormat="1">
      <c r="A10" s="862"/>
      <c r="B10" s="856"/>
      <c r="C10" s="865" t="s">
        <v>321</v>
      </c>
      <c r="D10" s="872"/>
      <c r="E10" s="876"/>
      <c r="F10" s="877"/>
      <c r="G10" s="876"/>
      <c r="H10" s="855"/>
      <c r="I10" s="878"/>
    </row>
    <row r="11" spans="1:10" s="861" customFormat="1">
      <c r="A11" s="862" t="s">
        <v>1271</v>
      </c>
      <c r="B11" s="856"/>
      <c r="C11" s="857" t="s">
        <v>1267</v>
      </c>
      <c r="D11" s="872">
        <v>12</v>
      </c>
      <c r="E11" s="873" t="s">
        <v>319</v>
      </c>
      <c r="F11" s="874">
        <v>1</v>
      </c>
      <c r="G11" s="873" t="s">
        <v>114</v>
      </c>
      <c r="H11" s="855">
        <f>'MINI SSR 2025-26'!C100</f>
        <v>28</v>
      </c>
      <c r="I11" s="870">
        <f>ROUND(((D11*H11)/F11),2)</f>
        <v>336</v>
      </c>
    </row>
    <row r="12" spans="1:10" s="861" customFormat="1">
      <c r="A12" s="862" t="s">
        <v>1272</v>
      </c>
      <c r="B12" s="856"/>
      <c r="C12" s="857" t="s">
        <v>1268</v>
      </c>
      <c r="D12" s="872">
        <v>12</v>
      </c>
      <c r="E12" s="873" t="s">
        <v>319</v>
      </c>
      <c r="F12" s="874">
        <v>1</v>
      </c>
      <c r="G12" s="873" t="s">
        <v>114</v>
      </c>
      <c r="H12" s="855">
        <f>'MINI SSR 2025-26'!C101</f>
        <v>12</v>
      </c>
      <c r="I12" s="870">
        <f>ROUND(((D12*H12)/F12),2)</f>
        <v>144</v>
      </c>
    </row>
    <row r="13" spans="1:10" s="861" customFormat="1">
      <c r="A13" s="862" t="s">
        <v>1273</v>
      </c>
      <c r="B13" s="856"/>
      <c r="C13" s="857" t="s">
        <v>1277</v>
      </c>
      <c r="D13" s="872">
        <v>100</v>
      </c>
      <c r="E13" s="873" t="s">
        <v>380</v>
      </c>
      <c r="F13" s="874">
        <v>1</v>
      </c>
      <c r="G13" s="873" t="s">
        <v>380</v>
      </c>
      <c r="H13" s="855">
        <f>'MINI SSR 2025-26'!C102</f>
        <v>36</v>
      </c>
      <c r="I13" s="870">
        <f>ROUND(((D13*H13)/F13),2)</f>
        <v>3600</v>
      </c>
    </row>
    <row r="14" spans="1:10" s="861" customFormat="1">
      <c r="A14" s="862"/>
      <c r="B14" s="856"/>
      <c r="C14" s="857"/>
      <c r="D14" s="872"/>
      <c r="E14" s="873"/>
      <c r="F14" s="874"/>
      <c r="G14" s="873"/>
      <c r="H14" s="855"/>
      <c r="I14" s="878">
        <f>SUM(I7:I13)</f>
        <v>8270</v>
      </c>
    </row>
    <row r="15" spans="1:10" s="861" customFormat="1">
      <c r="A15" s="862"/>
      <c r="B15" s="856"/>
      <c r="C15" s="857" t="s">
        <v>2213</v>
      </c>
      <c r="D15" s="872"/>
      <c r="E15" s="873"/>
      <c r="F15" s="874"/>
      <c r="G15" s="873"/>
      <c r="H15" s="855"/>
      <c r="I15" s="870">
        <f>ROUND(I14*$J$1,2)</f>
        <v>1125.96</v>
      </c>
    </row>
    <row r="16" spans="1:10" s="861" customFormat="1">
      <c r="A16" s="879"/>
      <c r="B16" s="880"/>
      <c r="C16" s="860" t="s">
        <v>381</v>
      </c>
      <c r="D16" s="872"/>
      <c r="E16" s="873"/>
      <c r="F16" s="874"/>
      <c r="G16" s="873"/>
      <c r="H16" s="855"/>
      <c r="I16" s="878">
        <f>SUM(I14:I15)</f>
        <v>9395.9599999999991</v>
      </c>
    </row>
    <row r="17" spans="1:9" s="861" customFormat="1">
      <c r="A17" s="879"/>
      <c r="B17" s="880"/>
      <c r="C17" s="860" t="s">
        <v>382</v>
      </c>
      <c r="D17" s="881"/>
      <c r="E17" s="873"/>
      <c r="F17" s="874"/>
      <c r="G17" s="873"/>
      <c r="H17" s="882"/>
      <c r="I17" s="878">
        <f>ROUND(I16/100,2)</f>
        <v>93.96</v>
      </c>
    </row>
    <row r="18" spans="1:9" s="861" customFormat="1" ht="32.25" customHeight="1">
      <c r="A18" s="855" t="s">
        <v>1410</v>
      </c>
      <c r="B18" s="856">
        <v>2</v>
      </c>
      <c r="C18" s="857" t="s">
        <v>1278</v>
      </c>
      <c r="D18" s="858"/>
      <c r="E18" s="859"/>
      <c r="F18" s="858"/>
      <c r="G18" s="859"/>
      <c r="H18" s="860"/>
      <c r="I18" s="860"/>
    </row>
    <row r="19" spans="1:9" s="861" customFormat="1">
      <c r="A19" s="862"/>
      <c r="B19" s="856"/>
      <c r="C19" s="857" t="s">
        <v>1266</v>
      </c>
      <c r="D19" s="863"/>
      <c r="E19" s="864"/>
      <c r="F19" s="863"/>
      <c r="G19" s="864"/>
      <c r="H19" s="857"/>
      <c r="I19" s="857"/>
    </row>
    <row r="20" spans="1:9" s="861" customFormat="1">
      <c r="A20" s="862"/>
      <c r="B20" s="856"/>
      <c r="C20" s="865" t="s">
        <v>379</v>
      </c>
      <c r="D20" s="866"/>
      <c r="E20" s="867"/>
      <c r="F20" s="868"/>
      <c r="G20" s="869"/>
      <c r="H20" s="855"/>
      <c r="I20" s="870"/>
    </row>
    <row r="21" spans="1:9" s="861" customFormat="1">
      <c r="A21" s="862"/>
      <c r="B21" s="856"/>
      <c r="C21" s="871" t="s">
        <v>149</v>
      </c>
      <c r="D21" s="872">
        <v>2</v>
      </c>
      <c r="E21" s="873" t="s">
        <v>27</v>
      </c>
      <c r="F21" s="874">
        <v>1</v>
      </c>
      <c r="G21" s="873" t="s">
        <v>27</v>
      </c>
      <c r="H21" s="855">
        <f>'MINI SSR 2025-26'!$H$16</f>
        <v>815</v>
      </c>
      <c r="I21" s="870">
        <f t="shared" ref="I21:I24" si="0">ROUND(((D21*H21)/F21),2)</f>
        <v>1630</v>
      </c>
    </row>
    <row r="22" spans="1:9" s="861" customFormat="1">
      <c r="A22" s="862"/>
      <c r="B22" s="856"/>
      <c r="C22" s="875" t="s">
        <v>1269</v>
      </c>
      <c r="D22" s="872">
        <v>2</v>
      </c>
      <c r="E22" s="873" t="s">
        <v>27</v>
      </c>
      <c r="F22" s="874">
        <v>1</v>
      </c>
      <c r="G22" s="873" t="s">
        <v>27</v>
      </c>
      <c r="H22" s="855">
        <f>'MINI SSR 2025-26'!$H$17</f>
        <v>665</v>
      </c>
      <c r="I22" s="870">
        <f t="shared" si="0"/>
        <v>1330</v>
      </c>
    </row>
    <row r="23" spans="1:9" s="861" customFormat="1">
      <c r="A23" s="862"/>
      <c r="B23" s="856"/>
      <c r="C23" s="871" t="s">
        <v>1270</v>
      </c>
      <c r="D23" s="872">
        <v>2</v>
      </c>
      <c r="E23" s="873" t="s">
        <v>27</v>
      </c>
      <c r="F23" s="874">
        <v>1</v>
      </c>
      <c r="G23" s="873" t="s">
        <v>27</v>
      </c>
      <c r="H23" s="855">
        <f>'MINI SSR 2025-26'!$H$5</f>
        <v>615</v>
      </c>
      <c r="I23" s="870">
        <f t="shared" si="0"/>
        <v>1230</v>
      </c>
    </row>
    <row r="24" spans="1:9" s="861" customFormat="1">
      <c r="A24" s="862"/>
      <c r="B24" s="856"/>
      <c r="C24" s="871" t="s">
        <v>1276</v>
      </c>
      <c r="D24" s="872">
        <v>2</v>
      </c>
      <c r="E24" s="873" t="s">
        <v>27</v>
      </c>
      <c r="F24" s="874">
        <v>1</v>
      </c>
      <c r="G24" s="873" t="s">
        <v>27</v>
      </c>
      <c r="H24" s="855">
        <f>'MINI SSR 2025-26'!H3</f>
        <v>735</v>
      </c>
      <c r="I24" s="870">
        <f t="shared" si="0"/>
        <v>1470</v>
      </c>
    </row>
    <row r="25" spans="1:9" s="861" customFormat="1">
      <c r="A25" s="862"/>
      <c r="B25" s="856"/>
      <c r="C25" s="865" t="s">
        <v>321</v>
      </c>
      <c r="D25" s="872"/>
      <c r="E25" s="876"/>
      <c r="F25" s="877"/>
      <c r="G25" s="876"/>
      <c r="H25" s="855"/>
      <c r="I25" s="878"/>
    </row>
    <row r="26" spans="1:9" s="861" customFormat="1">
      <c r="A26" s="862" t="s">
        <v>1273</v>
      </c>
      <c r="B26" s="856"/>
      <c r="C26" s="883" t="s">
        <v>1277</v>
      </c>
      <c r="D26" s="872">
        <v>100</v>
      </c>
      <c r="E26" s="873" t="s">
        <v>319</v>
      </c>
      <c r="F26" s="874">
        <v>1</v>
      </c>
      <c r="G26" s="873" t="s">
        <v>114</v>
      </c>
      <c r="H26" s="855">
        <f>'MINI SSR 2025-26'!C102</f>
        <v>36</v>
      </c>
      <c r="I26" s="870">
        <f t="shared" ref="I26:I30" si="1">ROUND(((D26*H26)/F26),2)</f>
        <v>3600</v>
      </c>
    </row>
    <row r="27" spans="1:9" s="861" customFormat="1">
      <c r="A27" s="862" t="s">
        <v>1279</v>
      </c>
      <c r="B27" s="856"/>
      <c r="C27" s="884" t="s">
        <v>1275</v>
      </c>
      <c r="D27" s="872">
        <v>200</v>
      </c>
      <c r="E27" s="873" t="s">
        <v>319</v>
      </c>
      <c r="F27" s="874">
        <v>100</v>
      </c>
      <c r="G27" s="873" t="s">
        <v>114</v>
      </c>
      <c r="H27" s="855">
        <f>'MINI SSR 2025-26'!C103</f>
        <v>39</v>
      </c>
      <c r="I27" s="870">
        <f t="shared" si="1"/>
        <v>78</v>
      </c>
    </row>
    <row r="28" spans="1:9" s="861" customFormat="1">
      <c r="A28" s="862" t="s">
        <v>1271</v>
      </c>
      <c r="B28" s="856"/>
      <c r="C28" s="857" t="s">
        <v>1267</v>
      </c>
      <c r="D28" s="872">
        <v>12</v>
      </c>
      <c r="E28" s="873" t="s">
        <v>319</v>
      </c>
      <c r="F28" s="874">
        <v>1</v>
      </c>
      <c r="G28" s="873" t="s">
        <v>114</v>
      </c>
      <c r="H28" s="855">
        <f>'MINI SSR 2025-26'!C100</f>
        <v>28</v>
      </c>
      <c r="I28" s="870">
        <f t="shared" si="1"/>
        <v>336</v>
      </c>
    </row>
    <row r="29" spans="1:9" s="861" customFormat="1">
      <c r="A29" s="862" t="s">
        <v>1272</v>
      </c>
      <c r="B29" s="856"/>
      <c r="C29" s="857" t="s">
        <v>1268</v>
      </c>
      <c r="D29" s="872">
        <v>12</v>
      </c>
      <c r="E29" s="873" t="s">
        <v>319</v>
      </c>
      <c r="F29" s="874">
        <v>1</v>
      </c>
      <c r="G29" s="873" t="s">
        <v>114</v>
      </c>
      <c r="H29" s="855">
        <f>'MINI SSR 2025-26'!C101</f>
        <v>12</v>
      </c>
      <c r="I29" s="870">
        <f t="shared" si="1"/>
        <v>144</v>
      </c>
    </row>
    <row r="30" spans="1:9" s="861" customFormat="1">
      <c r="A30" s="862"/>
      <c r="B30" s="856"/>
      <c r="C30" s="883" t="s">
        <v>804</v>
      </c>
      <c r="D30" s="872">
        <v>50</v>
      </c>
      <c r="E30" s="873" t="s">
        <v>4</v>
      </c>
      <c r="F30" s="874">
        <v>1</v>
      </c>
      <c r="G30" s="873" t="s">
        <v>4</v>
      </c>
      <c r="H30" s="885">
        <f>'lead 25-26'!L8/1000</f>
        <v>4.2187999999999999</v>
      </c>
      <c r="I30" s="870">
        <f t="shared" si="1"/>
        <v>210.94</v>
      </c>
    </row>
    <row r="31" spans="1:9" s="861" customFormat="1">
      <c r="A31" s="862"/>
      <c r="B31" s="856"/>
      <c r="C31" s="857"/>
      <c r="D31" s="872"/>
      <c r="E31" s="873"/>
      <c r="F31" s="874"/>
      <c r="G31" s="873"/>
      <c r="H31" s="855"/>
      <c r="I31" s="878">
        <f>SUM(I21:I30)</f>
        <v>10028.94</v>
      </c>
    </row>
    <row r="32" spans="1:9" s="861" customFormat="1">
      <c r="A32" s="862"/>
      <c r="B32" s="856"/>
      <c r="C32" s="857" t="s">
        <v>2213</v>
      </c>
      <c r="D32" s="872"/>
      <c r="E32" s="873"/>
      <c r="F32" s="874"/>
      <c r="G32" s="873"/>
      <c r="H32" s="855"/>
      <c r="I32" s="870">
        <f>ROUND(I31*$J$1,2)</f>
        <v>1365.44</v>
      </c>
    </row>
    <row r="33" spans="1:9" s="861" customFormat="1">
      <c r="A33" s="879"/>
      <c r="B33" s="880"/>
      <c r="C33" s="860" t="s">
        <v>381</v>
      </c>
      <c r="D33" s="872"/>
      <c r="E33" s="873"/>
      <c r="F33" s="874"/>
      <c r="G33" s="873"/>
      <c r="H33" s="855"/>
      <c r="I33" s="878">
        <f>SUM(I31:I32)</f>
        <v>11394.380000000001</v>
      </c>
    </row>
    <row r="34" spans="1:9" s="861" customFormat="1">
      <c r="A34" s="879"/>
      <c r="B34" s="880"/>
      <c r="C34" s="860" t="s">
        <v>382</v>
      </c>
      <c r="D34" s="881"/>
      <c r="E34" s="873"/>
      <c r="F34" s="874"/>
      <c r="G34" s="873"/>
      <c r="H34" s="882"/>
      <c r="I34" s="878">
        <f>ROUND(I33/100,2)</f>
        <v>113.94</v>
      </c>
    </row>
    <row r="35" spans="1:9" hidden="1">
      <c r="A35" s="657"/>
      <c r="B35" s="658"/>
      <c r="C35" s="641"/>
      <c r="D35" s="733"/>
      <c r="E35" s="734"/>
      <c r="F35" s="733"/>
      <c r="G35" s="734"/>
      <c r="H35" s="735"/>
      <c r="I35" s="735"/>
    </row>
    <row r="36" spans="1:9" hidden="1">
      <c r="A36" s="659"/>
      <c r="B36" s="660">
        <v>3</v>
      </c>
      <c r="C36" s="607" t="s">
        <v>384</v>
      </c>
      <c r="D36" s="608"/>
      <c r="E36" s="609"/>
      <c r="F36" s="608"/>
      <c r="G36" s="609"/>
      <c r="H36" s="610"/>
      <c r="I36" s="610"/>
    </row>
    <row r="37" spans="1:9" hidden="1">
      <c r="A37" s="653"/>
      <c r="B37" s="654"/>
      <c r="C37" s="92" t="s">
        <v>385</v>
      </c>
      <c r="D37" s="93">
        <v>1</v>
      </c>
      <c r="E37" s="94" t="s">
        <v>274</v>
      </c>
      <c r="F37" s="95">
        <v>1</v>
      </c>
      <c r="G37" s="94" t="s">
        <v>274</v>
      </c>
      <c r="H37" s="81">
        <f>'MINI SSR 2025-26'!C104</f>
        <v>78</v>
      </c>
      <c r="I37" s="91">
        <f>ROUND(((D37*H37)/F37),2)</f>
        <v>78</v>
      </c>
    </row>
    <row r="38" spans="1:9" hidden="1">
      <c r="A38" s="655"/>
      <c r="B38" s="656"/>
      <c r="C38" s="594"/>
      <c r="D38" s="595"/>
      <c r="E38" s="596"/>
      <c r="F38" s="597"/>
      <c r="G38" s="596"/>
      <c r="H38" s="598"/>
      <c r="I38" s="599">
        <f>SUM(I37)</f>
        <v>78</v>
      </c>
    </row>
    <row r="39" spans="1:9" s="861" customFormat="1" ht="22.5">
      <c r="A39" s="879"/>
      <c r="B39" s="880">
        <v>3</v>
      </c>
      <c r="C39" s="857" t="s">
        <v>417</v>
      </c>
      <c r="D39" s="858"/>
      <c r="E39" s="859"/>
      <c r="F39" s="858"/>
      <c r="G39" s="859"/>
      <c r="H39" s="860"/>
      <c r="I39" s="860"/>
    </row>
    <row r="40" spans="1:9" s="861" customFormat="1">
      <c r="A40" s="879"/>
      <c r="B40" s="880"/>
      <c r="C40" s="871" t="s">
        <v>425</v>
      </c>
      <c r="D40" s="872">
        <v>1</v>
      </c>
      <c r="E40" s="873" t="s">
        <v>319</v>
      </c>
      <c r="F40" s="874">
        <v>1</v>
      </c>
      <c r="G40" s="873" t="s">
        <v>319</v>
      </c>
      <c r="H40" s="855">
        <f>'MINI SSR 2025-26'!C106</f>
        <v>245</v>
      </c>
      <c r="I40" s="870">
        <f>ROUND(((D40*H40)/F40),2)</f>
        <v>245</v>
      </c>
    </row>
    <row r="41" spans="1:9" s="861" customFormat="1">
      <c r="A41" s="879"/>
      <c r="B41" s="880"/>
      <c r="C41" s="857" t="s">
        <v>2213</v>
      </c>
      <c r="D41" s="872"/>
      <c r="E41" s="873"/>
      <c r="F41" s="874"/>
      <c r="G41" s="873"/>
      <c r="H41" s="855"/>
      <c r="I41" s="870">
        <f>ROUND(I40*$J$1,2)</f>
        <v>33.36</v>
      </c>
    </row>
    <row r="42" spans="1:9" s="861" customFormat="1">
      <c r="A42" s="879"/>
      <c r="B42" s="880"/>
      <c r="C42" s="875"/>
      <c r="D42" s="872"/>
      <c r="E42" s="873"/>
      <c r="F42" s="874"/>
      <c r="G42" s="873"/>
      <c r="H42" s="855"/>
      <c r="I42" s="870">
        <f>SUM(I40:I41)</f>
        <v>278.36</v>
      </c>
    </row>
    <row r="43" spans="1:9" ht="22.5" hidden="1">
      <c r="A43" s="717"/>
      <c r="B43" s="718">
        <v>2</v>
      </c>
      <c r="C43" s="719" t="s">
        <v>599</v>
      </c>
      <c r="D43" s="720"/>
      <c r="E43" s="721"/>
      <c r="F43" s="720"/>
      <c r="G43" s="721"/>
      <c r="H43" s="722"/>
      <c r="I43" s="722"/>
    </row>
    <row r="44" spans="1:9" hidden="1">
      <c r="A44" s="657"/>
      <c r="B44" s="658"/>
      <c r="C44" s="627" t="s">
        <v>600</v>
      </c>
      <c r="D44" s="635">
        <v>1</v>
      </c>
      <c r="E44" s="636" t="s">
        <v>319</v>
      </c>
      <c r="F44" s="637">
        <v>1</v>
      </c>
      <c r="G44" s="636" t="s">
        <v>319</v>
      </c>
      <c r="H44" s="628">
        <f>'MINI SSR 2025-26'!C107</f>
        <v>203</v>
      </c>
      <c r="I44" s="629">
        <f>ROUND(((D44*H44)/F44),2)</f>
        <v>203</v>
      </c>
    </row>
    <row r="45" spans="1:9" hidden="1">
      <c r="A45" s="657"/>
      <c r="B45" s="658"/>
      <c r="C45" s="666" t="s">
        <v>2213</v>
      </c>
      <c r="D45" s="635"/>
      <c r="E45" s="636"/>
      <c r="F45" s="637"/>
      <c r="G45" s="636"/>
      <c r="H45" s="669"/>
      <c r="I45" s="670">
        <f>ROUND(SUM(I44)*13.615%,2)</f>
        <v>27.64</v>
      </c>
    </row>
    <row r="46" spans="1:9" hidden="1">
      <c r="A46" s="657"/>
      <c r="B46" s="658"/>
      <c r="C46" s="630"/>
      <c r="D46" s="635"/>
      <c r="E46" s="636"/>
      <c r="F46" s="637"/>
      <c r="G46" s="636"/>
      <c r="H46" s="628"/>
      <c r="I46" s="629">
        <f>SUM(I44:I45)</f>
        <v>230.64</v>
      </c>
    </row>
    <row r="47" spans="1:9" ht="22.5" hidden="1">
      <c r="A47" s="657"/>
      <c r="B47" s="658">
        <v>3</v>
      </c>
      <c r="C47" s="362" t="s">
        <v>679</v>
      </c>
      <c r="D47" s="633"/>
      <c r="E47" s="634"/>
      <c r="F47" s="633"/>
      <c r="G47" s="634"/>
      <c r="H47" s="626"/>
      <c r="I47" s="626"/>
    </row>
    <row r="48" spans="1:9" hidden="1">
      <c r="A48" s="657"/>
      <c r="B48" s="658"/>
      <c r="C48" s="627" t="s">
        <v>680</v>
      </c>
      <c r="D48" s="635">
        <v>1</v>
      </c>
      <c r="E48" s="636" t="s">
        <v>319</v>
      </c>
      <c r="F48" s="637">
        <v>1</v>
      </c>
      <c r="G48" s="636" t="s">
        <v>319</v>
      </c>
      <c r="H48" s="628">
        <f>'MINI SSR 2025-26'!C108</f>
        <v>155</v>
      </c>
      <c r="I48" s="629">
        <f>ROUND(((D48*H48)/F48),2)</f>
        <v>155</v>
      </c>
    </row>
    <row r="49" spans="1:9" hidden="1">
      <c r="A49" s="657"/>
      <c r="B49" s="658"/>
      <c r="C49" s="630"/>
      <c r="D49" s="635"/>
      <c r="E49" s="636"/>
      <c r="F49" s="637"/>
      <c r="G49" s="636"/>
      <c r="H49" s="628"/>
      <c r="I49" s="629">
        <f>SUM(I48)</f>
        <v>155</v>
      </c>
    </row>
    <row r="50" spans="1:9" ht="22.5" hidden="1">
      <c r="A50" s="657"/>
      <c r="B50" s="658">
        <v>4</v>
      </c>
      <c r="C50" s="362" t="s">
        <v>736</v>
      </c>
      <c r="D50" s="633"/>
      <c r="E50" s="634"/>
      <c r="F50" s="633"/>
      <c r="G50" s="634"/>
      <c r="H50" s="626"/>
      <c r="I50" s="626"/>
    </row>
    <row r="51" spans="1:9" hidden="1">
      <c r="A51" s="657"/>
      <c r="B51" s="658"/>
      <c r="C51" s="627" t="s">
        <v>737</v>
      </c>
      <c r="D51" s="635">
        <v>1</v>
      </c>
      <c r="E51" s="636" t="s">
        <v>319</v>
      </c>
      <c r="F51" s="637">
        <v>1</v>
      </c>
      <c r="G51" s="636" t="s">
        <v>319</v>
      </c>
      <c r="H51" s="628">
        <f>'MINI SSR 2025-26'!C109</f>
        <v>114</v>
      </c>
      <c r="I51" s="629">
        <f>ROUND(((D51*H51)/F51),2)</f>
        <v>114</v>
      </c>
    </row>
    <row r="52" spans="1:9" hidden="1">
      <c r="A52" s="657"/>
      <c r="B52" s="658"/>
      <c r="C52" s="630"/>
      <c r="D52" s="635"/>
      <c r="E52" s="636"/>
      <c r="F52" s="637"/>
      <c r="G52" s="636"/>
      <c r="H52" s="628"/>
      <c r="I52" s="629">
        <f>SUM(I51)</f>
        <v>114</v>
      </c>
    </row>
    <row r="53" spans="1:9" ht="22.5" hidden="1">
      <c r="A53" s="659"/>
      <c r="B53" s="660">
        <v>8</v>
      </c>
      <c r="C53" s="607" t="s">
        <v>601</v>
      </c>
      <c r="D53" s="608"/>
      <c r="E53" s="609"/>
      <c r="F53" s="608"/>
      <c r="G53" s="609"/>
      <c r="H53" s="610"/>
      <c r="I53" s="610"/>
    </row>
    <row r="54" spans="1:9" hidden="1">
      <c r="A54" s="653"/>
      <c r="B54" s="654"/>
      <c r="C54" s="92" t="s">
        <v>603</v>
      </c>
      <c r="D54" s="93">
        <v>1</v>
      </c>
      <c r="E54" s="94" t="s">
        <v>319</v>
      </c>
      <c r="F54" s="95">
        <v>1</v>
      </c>
      <c r="G54" s="94" t="s">
        <v>319</v>
      </c>
      <c r="H54" s="81">
        <f>H40</f>
        <v>245</v>
      </c>
      <c r="I54" s="91">
        <f t="shared" ref="I54:I55" si="2">ROUND(((D54*H54)/F54),2)</f>
        <v>245</v>
      </c>
    </row>
    <row r="55" spans="1:9" hidden="1">
      <c r="A55" s="653"/>
      <c r="B55" s="654"/>
      <c r="C55" s="92" t="s">
        <v>602</v>
      </c>
      <c r="D55" s="93">
        <v>1</v>
      </c>
      <c r="E55" s="94" t="s">
        <v>319</v>
      </c>
      <c r="F55" s="95">
        <v>1</v>
      </c>
      <c r="G55" s="94" t="s">
        <v>319</v>
      </c>
      <c r="H55" s="81">
        <f>H48</f>
        <v>155</v>
      </c>
      <c r="I55" s="91">
        <f t="shared" si="2"/>
        <v>155</v>
      </c>
    </row>
    <row r="56" spans="1:9" hidden="1">
      <c r="A56" s="653"/>
      <c r="B56" s="654"/>
      <c r="C56" s="96"/>
      <c r="D56" s="93"/>
      <c r="E56" s="94"/>
      <c r="F56" s="95"/>
      <c r="G56" s="94"/>
      <c r="H56" s="81"/>
      <c r="I56" s="91">
        <f>SUM(I54:I55)</f>
        <v>400</v>
      </c>
    </row>
    <row r="57" spans="1:9" ht="22.5" hidden="1">
      <c r="A57" s="653"/>
      <c r="B57" s="654">
        <v>9</v>
      </c>
      <c r="C57" s="83" t="s">
        <v>1280</v>
      </c>
      <c r="D57" s="84"/>
      <c r="E57" s="85"/>
      <c r="F57" s="84"/>
      <c r="G57" s="85"/>
      <c r="H57" s="86"/>
      <c r="I57" s="86"/>
    </row>
    <row r="58" spans="1:9" hidden="1">
      <c r="A58" s="653"/>
      <c r="B58" s="654"/>
      <c r="C58" s="92" t="s">
        <v>603</v>
      </c>
      <c r="D58" s="93">
        <v>1</v>
      </c>
      <c r="E58" s="94" t="s">
        <v>319</v>
      </c>
      <c r="F58" s="95">
        <v>1</v>
      </c>
      <c r="G58" s="94" t="s">
        <v>319</v>
      </c>
      <c r="H58" s="81">
        <f>H54</f>
        <v>245</v>
      </c>
      <c r="I58" s="91">
        <f t="shared" ref="I58:I59" si="3">ROUND(((D58*H58)/F58),2)</f>
        <v>245</v>
      </c>
    </row>
    <row r="59" spans="1:9" hidden="1">
      <c r="A59" s="653"/>
      <c r="B59" s="654"/>
      <c r="C59" s="92" t="s">
        <v>1281</v>
      </c>
      <c r="D59" s="93">
        <v>1</v>
      </c>
      <c r="E59" s="94" t="s">
        <v>319</v>
      </c>
      <c r="F59" s="95">
        <v>1</v>
      </c>
      <c r="G59" s="94" t="s">
        <v>319</v>
      </c>
      <c r="H59" s="81">
        <f>H51</f>
        <v>114</v>
      </c>
      <c r="I59" s="91">
        <f t="shared" si="3"/>
        <v>114</v>
      </c>
    </row>
    <row r="60" spans="1:9" hidden="1">
      <c r="A60" s="655"/>
      <c r="B60" s="656"/>
      <c r="C60" s="594"/>
      <c r="D60" s="595"/>
      <c r="E60" s="596"/>
      <c r="F60" s="597"/>
      <c r="G60" s="596"/>
      <c r="H60" s="598"/>
      <c r="I60" s="599">
        <f>SUM(I58:I59)</f>
        <v>359</v>
      </c>
    </row>
    <row r="61" spans="1:9" ht="22.5" hidden="1">
      <c r="A61" s="657"/>
      <c r="B61" s="658">
        <v>10</v>
      </c>
      <c r="C61" s="362" t="s">
        <v>418</v>
      </c>
      <c r="D61" s="633"/>
      <c r="E61" s="634"/>
      <c r="F61" s="633"/>
      <c r="G61" s="634"/>
      <c r="H61" s="626"/>
      <c r="I61" s="626"/>
    </row>
    <row r="62" spans="1:9" hidden="1">
      <c r="A62" s="657"/>
      <c r="B62" s="658"/>
      <c r="C62" s="627" t="s">
        <v>426</v>
      </c>
      <c r="D62" s="635">
        <v>1</v>
      </c>
      <c r="E62" s="636" t="s">
        <v>319</v>
      </c>
      <c r="F62" s="637">
        <v>1</v>
      </c>
      <c r="G62" s="636" t="s">
        <v>319</v>
      </c>
      <c r="H62" s="628">
        <f>'MINI SSR 2025-26'!C112</f>
        <v>68</v>
      </c>
      <c r="I62" s="629">
        <f>ROUND(((D62*H62)/F62),2)</f>
        <v>68</v>
      </c>
    </row>
    <row r="63" spans="1:9" hidden="1">
      <c r="A63" s="657"/>
      <c r="B63" s="658"/>
      <c r="C63" s="630"/>
      <c r="D63" s="635"/>
      <c r="E63" s="636"/>
      <c r="F63" s="637"/>
      <c r="G63" s="636"/>
      <c r="H63" s="628"/>
      <c r="I63" s="629">
        <f>SUM(I62)</f>
        <v>68</v>
      </c>
    </row>
    <row r="64" spans="1:9" s="861" customFormat="1">
      <c r="A64" s="879"/>
      <c r="B64" s="880">
        <v>4</v>
      </c>
      <c r="C64" s="857" t="s">
        <v>429</v>
      </c>
      <c r="D64" s="858"/>
      <c r="E64" s="859"/>
      <c r="F64" s="858"/>
      <c r="G64" s="859"/>
      <c r="H64" s="860"/>
      <c r="I64" s="860"/>
    </row>
    <row r="65" spans="1:9" s="861" customFormat="1">
      <c r="A65" s="879"/>
      <c r="B65" s="880"/>
      <c r="C65" s="871" t="s">
        <v>430</v>
      </c>
      <c r="D65" s="872">
        <v>1</v>
      </c>
      <c r="E65" s="873" t="s">
        <v>319</v>
      </c>
      <c r="F65" s="874">
        <v>1</v>
      </c>
      <c r="G65" s="873" t="s">
        <v>319</v>
      </c>
      <c r="H65" s="855">
        <f>'MINI SSR 2025-26'!E106</f>
        <v>240</v>
      </c>
      <c r="I65" s="870">
        <f>ROUND(((D65*H65)/F65),2)</f>
        <v>240</v>
      </c>
    </row>
    <row r="66" spans="1:9" s="861" customFormat="1">
      <c r="A66" s="879"/>
      <c r="B66" s="880"/>
      <c r="C66" s="857" t="s">
        <v>2213</v>
      </c>
      <c r="D66" s="872"/>
      <c r="E66" s="873"/>
      <c r="F66" s="874"/>
      <c r="G66" s="873"/>
      <c r="H66" s="855"/>
      <c r="I66" s="870">
        <f>ROUND(I65*$J$1,2)</f>
        <v>32.68</v>
      </c>
    </row>
    <row r="67" spans="1:9" s="861" customFormat="1">
      <c r="A67" s="879"/>
      <c r="B67" s="880"/>
      <c r="C67" s="875"/>
      <c r="D67" s="872"/>
      <c r="E67" s="873"/>
      <c r="F67" s="874"/>
      <c r="G67" s="873"/>
      <c r="H67" s="855"/>
      <c r="I67" s="870">
        <f>SUM(I65:I66)</f>
        <v>272.68</v>
      </c>
    </row>
    <row r="68" spans="1:9" hidden="1">
      <c r="A68" s="717"/>
      <c r="B68" s="718">
        <v>3</v>
      </c>
      <c r="C68" s="719" t="s">
        <v>604</v>
      </c>
      <c r="D68" s="720"/>
      <c r="E68" s="721"/>
      <c r="F68" s="720"/>
      <c r="G68" s="721"/>
      <c r="H68" s="722"/>
      <c r="I68" s="722"/>
    </row>
    <row r="69" spans="1:9" hidden="1">
      <c r="A69" s="657"/>
      <c r="B69" s="658"/>
      <c r="C69" s="627" t="s">
        <v>605</v>
      </c>
      <c r="D69" s="635">
        <v>1</v>
      </c>
      <c r="E69" s="636" t="s">
        <v>319</v>
      </c>
      <c r="F69" s="637">
        <v>1</v>
      </c>
      <c r="G69" s="636" t="s">
        <v>319</v>
      </c>
      <c r="H69" s="628">
        <f>'MINI SSR 2025-26'!E107</f>
        <v>197</v>
      </c>
      <c r="I69" s="629">
        <f>ROUND(((D69*H69)/F69),2)</f>
        <v>197</v>
      </c>
    </row>
    <row r="70" spans="1:9" hidden="1">
      <c r="A70" s="657"/>
      <c r="B70" s="658"/>
      <c r="C70" s="666" t="s">
        <v>2213</v>
      </c>
      <c r="D70" s="635"/>
      <c r="E70" s="636"/>
      <c r="F70" s="637"/>
      <c r="G70" s="636"/>
      <c r="H70" s="669"/>
      <c r="I70" s="670">
        <f>ROUND(SUM(I69)*13.615%,2)</f>
        <v>26.82</v>
      </c>
    </row>
    <row r="71" spans="1:9" hidden="1">
      <c r="A71" s="657"/>
      <c r="B71" s="658"/>
      <c r="C71" s="630"/>
      <c r="D71" s="635"/>
      <c r="E71" s="636"/>
      <c r="F71" s="637"/>
      <c r="G71" s="636"/>
      <c r="H71" s="628"/>
      <c r="I71" s="629">
        <f>SUM(I69:I70)</f>
        <v>223.82</v>
      </c>
    </row>
    <row r="72" spans="1:9" hidden="1">
      <c r="A72" s="657"/>
      <c r="B72" s="658">
        <v>7</v>
      </c>
      <c r="C72" s="362" t="s">
        <v>683</v>
      </c>
      <c r="D72" s="633"/>
      <c r="E72" s="634"/>
      <c r="F72" s="633"/>
      <c r="G72" s="634"/>
      <c r="H72" s="626"/>
      <c r="I72" s="626"/>
    </row>
    <row r="73" spans="1:9" hidden="1">
      <c r="A73" s="657"/>
      <c r="B73" s="658"/>
      <c r="C73" s="627" t="s">
        <v>608</v>
      </c>
      <c r="D73" s="635">
        <v>1</v>
      </c>
      <c r="E73" s="636" t="s">
        <v>319</v>
      </c>
      <c r="F73" s="637">
        <v>1</v>
      </c>
      <c r="G73" s="636" t="s">
        <v>319</v>
      </c>
      <c r="H73" s="628">
        <f>'MINI SSR 2025-26'!E108</f>
        <v>152</v>
      </c>
      <c r="I73" s="629">
        <f>ROUND(((D73*H73)/F73),2)</f>
        <v>152</v>
      </c>
    </row>
    <row r="74" spans="1:9" hidden="1">
      <c r="A74" s="657"/>
      <c r="B74" s="658"/>
      <c r="C74" s="630"/>
      <c r="D74" s="635"/>
      <c r="E74" s="636"/>
      <c r="F74" s="637"/>
      <c r="G74" s="636"/>
      <c r="H74" s="628"/>
      <c r="I74" s="629">
        <f>SUM(I73)</f>
        <v>152</v>
      </c>
    </row>
    <row r="75" spans="1:9" hidden="1">
      <c r="A75" s="657"/>
      <c r="B75" s="658">
        <v>8</v>
      </c>
      <c r="C75" s="362" t="s">
        <v>738</v>
      </c>
      <c r="D75" s="633"/>
      <c r="E75" s="634"/>
      <c r="F75" s="633"/>
      <c r="G75" s="634"/>
      <c r="H75" s="626"/>
      <c r="I75" s="626"/>
    </row>
    <row r="76" spans="1:9" hidden="1">
      <c r="A76" s="657"/>
      <c r="B76" s="658"/>
      <c r="C76" s="627" t="s">
        <v>739</v>
      </c>
      <c r="D76" s="635">
        <v>1</v>
      </c>
      <c r="E76" s="636" t="s">
        <v>319</v>
      </c>
      <c r="F76" s="637">
        <v>1</v>
      </c>
      <c r="G76" s="636" t="s">
        <v>319</v>
      </c>
      <c r="H76" s="628">
        <f>'MINI SSR 2025-26'!E109</f>
        <v>101</v>
      </c>
      <c r="I76" s="629">
        <f>ROUND(((D76*H76)/F76),2)</f>
        <v>101</v>
      </c>
    </row>
    <row r="77" spans="1:9" hidden="1">
      <c r="A77" s="657"/>
      <c r="B77" s="658"/>
      <c r="C77" s="630"/>
      <c r="D77" s="635"/>
      <c r="E77" s="636"/>
      <c r="F77" s="637"/>
      <c r="G77" s="636"/>
      <c r="H77" s="628"/>
      <c r="I77" s="629">
        <f>SUM(I76)</f>
        <v>101</v>
      </c>
    </row>
    <row r="78" spans="1:9" hidden="1">
      <c r="A78" s="659"/>
      <c r="B78" s="660">
        <v>15</v>
      </c>
      <c r="C78" s="607" t="s">
        <v>606</v>
      </c>
      <c r="D78" s="608"/>
      <c r="E78" s="609"/>
      <c r="F78" s="608"/>
      <c r="G78" s="609"/>
      <c r="H78" s="610"/>
      <c r="I78" s="610"/>
    </row>
    <row r="79" spans="1:9" hidden="1">
      <c r="A79" s="653"/>
      <c r="B79" s="654"/>
      <c r="C79" s="92" t="s">
        <v>607</v>
      </c>
      <c r="D79" s="93">
        <v>1</v>
      </c>
      <c r="E79" s="94" t="s">
        <v>319</v>
      </c>
      <c r="F79" s="95">
        <v>1</v>
      </c>
      <c r="G79" s="94" t="s">
        <v>319</v>
      </c>
      <c r="H79" s="81">
        <f>H65</f>
        <v>240</v>
      </c>
      <c r="I79" s="91">
        <f>ROUND(((D79*H79)/F79),2)</f>
        <v>240</v>
      </c>
    </row>
    <row r="80" spans="1:9" hidden="1">
      <c r="A80" s="653"/>
      <c r="B80" s="654"/>
      <c r="C80" s="92" t="s">
        <v>608</v>
      </c>
      <c r="D80" s="93">
        <v>1</v>
      </c>
      <c r="E80" s="94" t="s">
        <v>319</v>
      </c>
      <c r="F80" s="95">
        <v>1</v>
      </c>
      <c r="G80" s="94" t="s">
        <v>319</v>
      </c>
      <c r="H80" s="81">
        <f>H73</f>
        <v>152</v>
      </c>
      <c r="I80" s="91">
        <f>ROUND(((D80*H80)/F80),2)</f>
        <v>152</v>
      </c>
    </row>
    <row r="81" spans="1:9" hidden="1">
      <c r="A81" s="655"/>
      <c r="B81" s="656"/>
      <c r="C81" s="594"/>
      <c r="D81" s="595"/>
      <c r="E81" s="596"/>
      <c r="F81" s="597"/>
      <c r="G81" s="596"/>
      <c r="H81" s="598"/>
      <c r="I81" s="599">
        <f>SUM(I79:I80)</f>
        <v>392</v>
      </c>
    </row>
    <row r="82" spans="1:9" hidden="1">
      <c r="A82" s="657"/>
      <c r="B82" s="658">
        <v>16</v>
      </c>
      <c r="C82" s="362" t="s">
        <v>431</v>
      </c>
      <c r="D82" s="633"/>
      <c r="E82" s="634"/>
      <c r="F82" s="633"/>
      <c r="G82" s="634"/>
      <c r="H82" s="626"/>
      <c r="I82" s="626"/>
    </row>
    <row r="83" spans="1:9" hidden="1">
      <c r="A83" s="657"/>
      <c r="B83" s="658"/>
      <c r="C83" s="627" t="s">
        <v>432</v>
      </c>
      <c r="D83" s="635">
        <v>1</v>
      </c>
      <c r="E83" s="636" t="s">
        <v>319</v>
      </c>
      <c r="F83" s="637">
        <v>1</v>
      </c>
      <c r="G83" s="636" t="s">
        <v>319</v>
      </c>
      <c r="H83" s="628">
        <f>'MINI SSR 2025-26'!E112</f>
        <v>76</v>
      </c>
      <c r="I83" s="629">
        <f>ROUND(((D83*H83)/F83),2)</f>
        <v>76</v>
      </c>
    </row>
    <row r="84" spans="1:9" hidden="1">
      <c r="A84" s="657"/>
      <c r="B84" s="658"/>
      <c r="C84" s="630"/>
      <c r="D84" s="635"/>
      <c r="E84" s="636"/>
      <c r="F84" s="637"/>
      <c r="G84" s="636"/>
      <c r="H84" s="628"/>
      <c r="I84" s="629">
        <f>SUM(I83)</f>
        <v>76</v>
      </c>
    </row>
    <row r="85" spans="1:9" hidden="1">
      <c r="A85" s="657"/>
      <c r="B85" s="658"/>
      <c r="C85" s="657"/>
      <c r="D85" s="733"/>
      <c r="E85" s="734"/>
      <c r="F85" s="733"/>
      <c r="G85" s="734"/>
      <c r="H85" s="657"/>
      <c r="I85" s="657"/>
    </row>
    <row r="86" spans="1:9" s="861" customFormat="1">
      <c r="A86" s="879"/>
      <c r="B86" s="880">
        <v>5</v>
      </c>
      <c r="C86" s="857" t="s">
        <v>613</v>
      </c>
      <c r="D86" s="858"/>
      <c r="E86" s="859"/>
      <c r="F86" s="858"/>
      <c r="G86" s="859"/>
      <c r="H86" s="860"/>
      <c r="I86" s="860"/>
    </row>
    <row r="87" spans="1:9" s="861" customFormat="1">
      <c r="A87" s="879"/>
      <c r="B87" s="880"/>
      <c r="C87" s="871" t="s">
        <v>614</v>
      </c>
      <c r="D87" s="872">
        <v>1</v>
      </c>
      <c r="E87" s="873" t="s">
        <v>319</v>
      </c>
      <c r="F87" s="874">
        <v>1</v>
      </c>
      <c r="G87" s="873" t="s">
        <v>319</v>
      </c>
      <c r="H87" s="855">
        <f>'MINI SSR 2025-26'!C114</f>
        <v>21</v>
      </c>
      <c r="I87" s="870">
        <f>ROUND(((D87*H87)/F87),2)</f>
        <v>21</v>
      </c>
    </row>
    <row r="88" spans="1:9" s="861" customFormat="1">
      <c r="A88" s="879"/>
      <c r="B88" s="880"/>
      <c r="C88" s="857" t="s">
        <v>2213</v>
      </c>
      <c r="D88" s="872"/>
      <c r="E88" s="873"/>
      <c r="F88" s="874"/>
      <c r="G88" s="873"/>
      <c r="H88" s="855"/>
      <c r="I88" s="870">
        <f>ROUND(I87*$J$1,2)</f>
        <v>2.86</v>
      </c>
    </row>
    <row r="89" spans="1:9" s="861" customFormat="1">
      <c r="A89" s="879"/>
      <c r="B89" s="880"/>
      <c r="C89" s="875"/>
      <c r="D89" s="872"/>
      <c r="E89" s="873"/>
      <c r="F89" s="874"/>
      <c r="G89" s="873"/>
      <c r="H89" s="855"/>
      <c r="I89" s="870">
        <f>SUM(I87:I88)</f>
        <v>23.86</v>
      </c>
    </row>
    <row r="90" spans="1:9" ht="22.5" hidden="1">
      <c r="A90" s="659"/>
      <c r="B90" s="660">
        <v>18</v>
      </c>
      <c r="C90" s="607" t="s">
        <v>740</v>
      </c>
      <c r="D90" s="608"/>
      <c r="E90" s="609"/>
      <c r="F90" s="608"/>
      <c r="G90" s="609"/>
      <c r="H90" s="610"/>
      <c r="I90" s="610"/>
    </row>
    <row r="91" spans="1:9" hidden="1">
      <c r="A91" s="653"/>
      <c r="B91" s="654"/>
      <c r="C91" s="92" t="s">
        <v>741</v>
      </c>
      <c r="D91" s="93">
        <v>1</v>
      </c>
      <c r="E91" s="94" t="s">
        <v>319</v>
      </c>
      <c r="F91" s="95">
        <v>1</v>
      </c>
      <c r="G91" s="94" t="s">
        <v>319</v>
      </c>
      <c r="H91" s="81">
        <f>'MINI SSR 2025-26'!C115</f>
        <v>1552</v>
      </c>
      <c r="I91" s="91">
        <f>ROUND(((D91*H91)/F91),2)</f>
        <v>1552</v>
      </c>
    </row>
    <row r="92" spans="1:9" hidden="1">
      <c r="A92" s="655"/>
      <c r="B92" s="656"/>
      <c r="C92" s="594"/>
      <c r="D92" s="595"/>
      <c r="E92" s="596"/>
      <c r="F92" s="597"/>
      <c r="G92" s="596"/>
      <c r="H92" s="598"/>
      <c r="I92" s="599">
        <f>SUM(I91)</f>
        <v>1552</v>
      </c>
    </row>
    <row r="93" spans="1:9" s="861" customFormat="1" ht="67.5">
      <c r="A93" s="886" t="s">
        <v>714</v>
      </c>
      <c r="B93" s="862">
        <v>6</v>
      </c>
      <c r="C93" s="857" t="s">
        <v>428</v>
      </c>
      <c r="D93" s="863"/>
      <c r="E93" s="864"/>
      <c r="F93" s="863"/>
      <c r="G93" s="864"/>
      <c r="H93" s="857"/>
      <c r="I93" s="857"/>
    </row>
    <row r="94" spans="1:9" s="861" customFormat="1">
      <c r="A94" s="855"/>
      <c r="B94" s="856"/>
      <c r="C94" s="857" t="s">
        <v>379</v>
      </c>
      <c r="D94" s="872"/>
      <c r="E94" s="876"/>
      <c r="F94" s="874"/>
      <c r="G94" s="876"/>
      <c r="H94" s="855"/>
      <c r="I94" s="887"/>
    </row>
    <row r="95" spans="1:9" s="861" customFormat="1">
      <c r="A95" s="855"/>
      <c r="B95" s="856"/>
      <c r="C95" s="857" t="s">
        <v>690</v>
      </c>
      <c r="D95" s="872">
        <v>0.6</v>
      </c>
      <c r="E95" s="873" t="s">
        <v>27</v>
      </c>
      <c r="F95" s="874">
        <v>1</v>
      </c>
      <c r="G95" s="873" t="s">
        <v>27</v>
      </c>
      <c r="H95" s="855">
        <f>'MINI SSR 2025-26'!$H$16</f>
        <v>815</v>
      </c>
      <c r="I95" s="870">
        <f t="shared" ref="I95:I97" si="4">ROUND(((D95*H95)/F95),2)</f>
        <v>489</v>
      </c>
    </row>
    <row r="96" spans="1:9" s="861" customFormat="1">
      <c r="A96" s="855"/>
      <c r="B96" s="856"/>
      <c r="C96" s="857" t="s">
        <v>1755</v>
      </c>
      <c r="D96" s="872">
        <v>1.2</v>
      </c>
      <c r="E96" s="873" t="s">
        <v>27</v>
      </c>
      <c r="F96" s="874">
        <v>1</v>
      </c>
      <c r="G96" s="873" t="s">
        <v>27</v>
      </c>
      <c r="H96" s="855">
        <f>'MINI SSR 2025-26'!$H$17</f>
        <v>665</v>
      </c>
      <c r="I96" s="870">
        <f t="shared" si="4"/>
        <v>798</v>
      </c>
    </row>
    <row r="97" spans="1:9" s="861" customFormat="1">
      <c r="A97" s="855"/>
      <c r="B97" s="856"/>
      <c r="C97" s="857" t="s">
        <v>1270</v>
      </c>
      <c r="D97" s="872">
        <v>0.6</v>
      </c>
      <c r="E97" s="873" t="s">
        <v>27</v>
      </c>
      <c r="F97" s="874">
        <v>1</v>
      </c>
      <c r="G97" s="873" t="s">
        <v>27</v>
      </c>
      <c r="H97" s="855">
        <f>'MINI SSR 2025-26'!$H$5</f>
        <v>615</v>
      </c>
      <c r="I97" s="870">
        <f t="shared" si="4"/>
        <v>369</v>
      </c>
    </row>
    <row r="98" spans="1:9" s="861" customFormat="1">
      <c r="A98" s="855"/>
      <c r="B98" s="856"/>
      <c r="C98" s="857" t="s">
        <v>321</v>
      </c>
      <c r="D98" s="872"/>
      <c r="E98" s="873"/>
      <c r="F98" s="874"/>
      <c r="G98" s="873"/>
      <c r="H98" s="855"/>
      <c r="I98" s="887"/>
    </row>
    <row r="99" spans="1:9" s="861" customFormat="1">
      <c r="A99" s="855"/>
      <c r="B99" s="856"/>
      <c r="C99" s="888" t="s">
        <v>610</v>
      </c>
      <c r="D99" s="889">
        <v>6</v>
      </c>
      <c r="E99" s="876" t="s">
        <v>319</v>
      </c>
      <c r="F99" s="874">
        <v>1</v>
      </c>
      <c r="G99" s="876" t="s">
        <v>114</v>
      </c>
      <c r="H99" s="855">
        <f>'MINI SSR 2025-26'!C116</f>
        <v>18</v>
      </c>
      <c r="I99" s="870">
        <f t="shared" ref="I99:I100" si="5">ROUND(((D99*H99)/F99),2)</f>
        <v>108</v>
      </c>
    </row>
    <row r="100" spans="1:9" s="861" customFormat="1">
      <c r="A100" s="855"/>
      <c r="B100" s="856"/>
      <c r="C100" s="888" t="s">
        <v>1753</v>
      </c>
      <c r="D100" s="872">
        <v>100</v>
      </c>
      <c r="E100" s="873" t="s">
        <v>388</v>
      </c>
      <c r="F100" s="874">
        <v>100</v>
      </c>
      <c r="G100" s="873" t="s">
        <v>388</v>
      </c>
      <c r="H100" s="855">
        <f>'MINI SSR 2025-26'!C119</f>
        <v>1424</v>
      </c>
      <c r="I100" s="870">
        <f t="shared" si="5"/>
        <v>1424</v>
      </c>
    </row>
    <row r="101" spans="1:9" s="861" customFormat="1">
      <c r="A101" s="855"/>
      <c r="B101" s="856"/>
      <c r="C101" s="888"/>
      <c r="D101" s="872"/>
      <c r="E101" s="873"/>
      <c r="F101" s="874"/>
      <c r="G101" s="873"/>
      <c r="H101" s="855"/>
      <c r="I101" s="870">
        <f>SUM(I95:I100)</f>
        <v>3188</v>
      </c>
    </row>
    <row r="102" spans="1:9" s="861" customFormat="1">
      <c r="A102" s="855"/>
      <c r="B102" s="856"/>
      <c r="C102" s="883" t="s">
        <v>2213</v>
      </c>
      <c r="D102" s="872"/>
      <c r="E102" s="873"/>
      <c r="F102" s="874"/>
      <c r="G102" s="873"/>
      <c r="H102" s="885"/>
      <c r="I102" s="870">
        <f>ROUND(I101*$J$1,2)</f>
        <v>434.05</v>
      </c>
    </row>
    <row r="103" spans="1:9" s="861" customFormat="1">
      <c r="A103" s="855"/>
      <c r="B103" s="856"/>
      <c r="C103" s="857" t="s">
        <v>389</v>
      </c>
      <c r="D103" s="872"/>
      <c r="E103" s="876"/>
      <c r="F103" s="874"/>
      <c r="G103" s="876"/>
      <c r="H103" s="855"/>
      <c r="I103" s="887">
        <f>SUM(I101:I102)</f>
        <v>3622.05</v>
      </c>
    </row>
    <row r="104" spans="1:9" s="861" customFormat="1">
      <c r="A104" s="855"/>
      <c r="B104" s="856"/>
      <c r="C104" s="857" t="s">
        <v>390</v>
      </c>
      <c r="D104" s="872"/>
      <c r="E104" s="876"/>
      <c r="F104" s="874"/>
      <c r="G104" s="876"/>
      <c r="H104" s="855"/>
      <c r="I104" s="887">
        <f>ROUND(I103/6,2)</f>
        <v>603.67999999999995</v>
      </c>
    </row>
    <row r="105" spans="1:9" s="861" customFormat="1" ht="67.5">
      <c r="A105" s="886" t="s">
        <v>714</v>
      </c>
      <c r="B105" s="862">
        <v>7</v>
      </c>
      <c r="C105" s="857" t="s">
        <v>427</v>
      </c>
      <c r="D105" s="863"/>
      <c r="E105" s="864"/>
      <c r="F105" s="863"/>
      <c r="G105" s="864"/>
      <c r="H105" s="857"/>
      <c r="I105" s="857"/>
    </row>
    <row r="106" spans="1:9" s="861" customFormat="1" ht="22.5">
      <c r="A106" s="855"/>
      <c r="B106" s="856"/>
      <c r="C106" s="857" t="s">
        <v>386</v>
      </c>
      <c r="D106" s="872"/>
      <c r="E106" s="876"/>
      <c r="F106" s="874"/>
      <c r="G106" s="876"/>
      <c r="H106" s="855"/>
      <c r="I106" s="887"/>
    </row>
    <row r="107" spans="1:9" s="861" customFormat="1" ht="33.75">
      <c r="A107" s="855"/>
      <c r="B107" s="856"/>
      <c r="C107" s="857" t="s">
        <v>387</v>
      </c>
      <c r="D107" s="863"/>
      <c r="E107" s="864"/>
      <c r="F107" s="863"/>
      <c r="G107" s="864"/>
      <c r="H107" s="857"/>
      <c r="I107" s="857"/>
    </row>
    <row r="108" spans="1:9" s="861" customFormat="1">
      <c r="A108" s="855"/>
      <c r="B108" s="856"/>
      <c r="C108" s="857" t="s">
        <v>379</v>
      </c>
      <c r="D108" s="872"/>
      <c r="E108" s="876"/>
      <c r="F108" s="874"/>
      <c r="G108" s="876"/>
      <c r="H108" s="855"/>
      <c r="I108" s="887"/>
    </row>
    <row r="109" spans="1:9" s="861" customFormat="1">
      <c r="A109" s="855"/>
      <c r="B109" s="856"/>
      <c r="C109" s="857" t="s">
        <v>690</v>
      </c>
      <c r="D109" s="872">
        <v>0.6</v>
      </c>
      <c r="E109" s="873" t="s">
        <v>27</v>
      </c>
      <c r="F109" s="874">
        <v>1</v>
      </c>
      <c r="G109" s="873" t="s">
        <v>27</v>
      </c>
      <c r="H109" s="855">
        <f>'MINI SSR 2025-26'!$H$16</f>
        <v>815</v>
      </c>
      <c r="I109" s="870">
        <f t="shared" ref="I109:I111" si="6">ROUND(((D109*H109)/F109),2)</f>
        <v>489</v>
      </c>
    </row>
    <row r="110" spans="1:9" s="861" customFormat="1">
      <c r="A110" s="855"/>
      <c r="B110" s="856"/>
      <c r="C110" s="857" t="s">
        <v>1755</v>
      </c>
      <c r="D110" s="872">
        <v>1.2</v>
      </c>
      <c r="E110" s="873" t="s">
        <v>27</v>
      </c>
      <c r="F110" s="874">
        <v>1</v>
      </c>
      <c r="G110" s="873" t="s">
        <v>27</v>
      </c>
      <c r="H110" s="855">
        <f>'MINI SSR 2025-26'!$H$17</f>
        <v>665</v>
      </c>
      <c r="I110" s="870">
        <f t="shared" si="6"/>
        <v>798</v>
      </c>
    </row>
    <row r="111" spans="1:9" s="861" customFormat="1">
      <c r="A111" s="855"/>
      <c r="B111" s="856"/>
      <c r="C111" s="857" t="s">
        <v>691</v>
      </c>
      <c r="D111" s="872">
        <v>0.6</v>
      </c>
      <c r="E111" s="873" t="s">
        <v>27</v>
      </c>
      <c r="F111" s="874">
        <v>1</v>
      </c>
      <c r="G111" s="873" t="s">
        <v>27</v>
      </c>
      <c r="H111" s="855">
        <f>'MINI SSR 2025-26'!$H$5</f>
        <v>615</v>
      </c>
      <c r="I111" s="870">
        <f t="shared" si="6"/>
        <v>369</v>
      </c>
    </row>
    <row r="112" spans="1:9" s="861" customFormat="1">
      <c r="A112" s="855"/>
      <c r="B112" s="856"/>
      <c r="C112" s="857" t="s">
        <v>321</v>
      </c>
      <c r="D112" s="872"/>
      <c r="E112" s="873"/>
      <c r="F112" s="874"/>
      <c r="G112" s="873"/>
      <c r="H112" s="855"/>
      <c r="I112" s="887"/>
    </row>
    <row r="113" spans="1:9" s="861" customFormat="1">
      <c r="A113" s="855"/>
      <c r="B113" s="856"/>
      <c r="C113" s="888" t="s">
        <v>610</v>
      </c>
      <c r="D113" s="889">
        <v>6</v>
      </c>
      <c r="E113" s="876" t="s">
        <v>319</v>
      </c>
      <c r="F113" s="874">
        <v>1</v>
      </c>
      <c r="G113" s="876" t="s">
        <v>114</v>
      </c>
      <c r="H113" s="855">
        <f>'MINI SSR 2025-26'!C116</f>
        <v>18</v>
      </c>
      <c r="I113" s="870">
        <f t="shared" ref="I113:I115" si="7">ROUND(((D113*H113)/F113),2)</f>
        <v>108</v>
      </c>
    </row>
    <row r="114" spans="1:9" s="861" customFormat="1">
      <c r="A114" s="855"/>
      <c r="B114" s="856"/>
      <c r="C114" s="890" t="s">
        <v>1754</v>
      </c>
      <c r="D114" s="889">
        <v>6</v>
      </c>
      <c r="E114" s="876" t="s">
        <v>319</v>
      </c>
      <c r="F114" s="874">
        <v>1</v>
      </c>
      <c r="G114" s="876" t="s">
        <v>114</v>
      </c>
      <c r="H114" s="855">
        <f>'MINI SSR 2025-26'!C120</f>
        <v>22</v>
      </c>
      <c r="I114" s="870">
        <f t="shared" si="7"/>
        <v>132</v>
      </c>
    </row>
    <row r="115" spans="1:9" s="861" customFormat="1">
      <c r="A115" s="855"/>
      <c r="B115" s="856"/>
      <c r="C115" s="888" t="s">
        <v>1753</v>
      </c>
      <c r="D115" s="872">
        <v>100</v>
      </c>
      <c r="E115" s="873" t="s">
        <v>388</v>
      </c>
      <c r="F115" s="874">
        <v>100</v>
      </c>
      <c r="G115" s="873" t="s">
        <v>388</v>
      </c>
      <c r="H115" s="855">
        <f>'MINI SSR 2025-26'!C119</f>
        <v>1424</v>
      </c>
      <c r="I115" s="870">
        <f t="shared" si="7"/>
        <v>1424</v>
      </c>
    </row>
    <row r="116" spans="1:9" s="861" customFormat="1">
      <c r="A116" s="855"/>
      <c r="B116" s="856"/>
      <c r="C116" s="888"/>
      <c r="D116" s="872"/>
      <c r="E116" s="873"/>
      <c r="F116" s="874"/>
      <c r="G116" s="873"/>
      <c r="H116" s="855"/>
      <c r="I116" s="870">
        <f>SUM(I109:I115)</f>
        <v>3320</v>
      </c>
    </row>
    <row r="117" spans="1:9" s="861" customFormat="1">
      <c r="A117" s="855"/>
      <c r="B117" s="856"/>
      <c r="C117" s="883" t="s">
        <v>2213</v>
      </c>
      <c r="D117" s="872"/>
      <c r="E117" s="873"/>
      <c r="F117" s="874"/>
      <c r="G117" s="873"/>
      <c r="H117" s="885"/>
      <c r="I117" s="870">
        <f>ROUND(I116*$J$1,2)</f>
        <v>452.02</v>
      </c>
    </row>
    <row r="118" spans="1:9" s="861" customFormat="1">
      <c r="A118" s="855"/>
      <c r="B118" s="856"/>
      <c r="C118" s="857" t="s">
        <v>389</v>
      </c>
      <c r="D118" s="872"/>
      <c r="E118" s="876"/>
      <c r="F118" s="874"/>
      <c r="G118" s="876"/>
      <c r="H118" s="855"/>
      <c r="I118" s="887">
        <f>SUM(I116:I117)</f>
        <v>3772.02</v>
      </c>
    </row>
    <row r="119" spans="1:9" s="861" customFormat="1">
      <c r="A119" s="855"/>
      <c r="B119" s="856"/>
      <c r="C119" s="857" t="s">
        <v>390</v>
      </c>
      <c r="D119" s="872"/>
      <c r="E119" s="876"/>
      <c r="F119" s="874"/>
      <c r="G119" s="876"/>
      <c r="H119" s="855"/>
      <c r="I119" s="887">
        <f>ROUND(I118/6,2)</f>
        <v>628.66999999999996</v>
      </c>
    </row>
    <row r="120" spans="1:9" s="861" customFormat="1" ht="45">
      <c r="A120" s="886" t="s">
        <v>715</v>
      </c>
      <c r="B120" s="862">
        <v>8</v>
      </c>
      <c r="C120" s="857" t="s">
        <v>423</v>
      </c>
      <c r="D120" s="863"/>
      <c r="E120" s="864"/>
      <c r="F120" s="863"/>
      <c r="G120" s="864"/>
      <c r="H120" s="857"/>
      <c r="I120" s="857"/>
    </row>
    <row r="121" spans="1:9" s="861" customFormat="1">
      <c r="A121" s="855"/>
      <c r="B121" s="856"/>
      <c r="C121" s="857" t="s">
        <v>379</v>
      </c>
      <c r="D121" s="872"/>
      <c r="E121" s="876"/>
      <c r="F121" s="874"/>
      <c r="G121" s="876"/>
      <c r="H121" s="855"/>
      <c r="I121" s="887"/>
    </row>
    <row r="122" spans="1:9" s="861" customFormat="1">
      <c r="A122" s="855"/>
      <c r="B122" s="856"/>
      <c r="C122" s="857" t="s">
        <v>690</v>
      </c>
      <c r="D122" s="891">
        <v>6.7000000000000004E-2</v>
      </c>
      <c r="E122" s="873" t="s">
        <v>27</v>
      </c>
      <c r="F122" s="874">
        <v>1</v>
      </c>
      <c r="G122" s="873" t="s">
        <v>27</v>
      </c>
      <c r="H122" s="855">
        <f>'MINI SSR 2025-26'!$H$16</f>
        <v>815</v>
      </c>
      <c r="I122" s="870">
        <f t="shared" ref="I122:I123" si="8">ROUND(((D122*H122)/F122),2)</f>
        <v>54.61</v>
      </c>
    </row>
    <row r="123" spans="1:9" s="861" customFormat="1">
      <c r="A123" s="855"/>
      <c r="B123" s="856"/>
      <c r="C123" s="857" t="s">
        <v>691</v>
      </c>
      <c r="D123" s="891">
        <v>6.7000000000000004E-2</v>
      </c>
      <c r="E123" s="873" t="s">
        <v>27</v>
      </c>
      <c r="F123" s="874">
        <v>1</v>
      </c>
      <c r="G123" s="873" t="s">
        <v>27</v>
      </c>
      <c r="H123" s="855">
        <f>'MINI SSR 2025-26'!$H$5</f>
        <v>615</v>
      </c>
      <c r="I123" s="870">
        <f t="shared" si="8"/>
        <v>41.21</v>
      </c>
    </row>
    <row r="124" spans="1:9" s="861" customFormat="1">
      <c r="A124" s="855"/>
      <c r="B124" s="856"/>
      <c r="C124" s="857" t="s">
        <v>321</v>
      </c>
      <c r="D124" s="872"/>
      <c r="E124" s="873"/>
      <c r="F124" s="874"/>
      <c r="G124" s="873"/>
      <c r="H124" s="855"/>
      <c r="I124" s="887"/>
    </row>
    <row r="125" spans="1:9" s="861" customFormat="1">
      <c r="A125" s="855"/>
      <c r="B125" s="856"/>
      <c r="C125" s="888" t="s">
        <v>610</v>
      </c>
      <c r="D125" s="889">
        <v>1</v>
      </c>
      <c r="E125" s="876" t="s">
        <v>319</v>
      </c>
      <c r="F125" s="874">
        <v>1</v>
      </c>
      <c r="G125" s="876" t="s">
        <v>114</v>
      </c>
      <c r="H125" s="855">
        <f>'MINI SSR 2025-26'!C116</f>
        <v>18</v>
      </c>
      <c r="I125" s="870">
        <f t="shared" ref="I125:I126" si="9">ROUND(((D125*H125)/F125),2)</f>
        <v>18</v>
      </c>
    </row>
    <row r="126" spans="1:9" s="861" customFormat="1">
      <c r="A126" s="855"/>
      <c r="B126" s="856"/>
      <c r="C126" s="888" t="s">
        <v>611</v>
      </c>
      <c r="D126" s="889">
        <v>1</v>
      </c>
      <c r="E126" s="876" t="s">
        <v>114</v>
      </c>
      <c r="F126" s="874">
        <v>1</v>
      </c>
      <c r="G126" s="876" t="s">
        <v>114</v>
      </c>
      <c r="H126" s="855">
        <f>'MINI SSR 2025-26'!C118</f>
        <v>27</v>
      </c>
      <c r="I126" s="870">
        <f t="shared" si="9"/>
        <v>27</v>
      </c>
    </row>
    <row r="127" spans="1:9" s="861" customFormat="1">
      <c r="A127" s="855"/>
      <c r="B127" s="856"/>
      <c r="C127" s="888"/>
      <c r="D127" s="889"/>
      <c r="E127" s="876"/>
      <c r="F127" s="874"/>
      <c r="G127" s="876"/>
      <c r="H127" s="855"/>
      <c r="I127" s="870">
        <f>SUM(I122:I126)</f>
        <v>140.82</v>
      </c>
    </row>
    <row r="128" spans="1:9" s="861" customFormat="1">
      <c r="A128" s="855"/>
      <c r="B128" s="856"/>
      <c r="C128" s="883" t="s">
        <v>2213</v>
      </c>
      <c r="D128" s="872"/>
      <c r="E128" s="873"/>
      <c r="F128" s="874"/>
      <c r="G128" s="873"/>
      <c r="H128" s="885"/>
      <c r="I128" s="870">
        <f>ROUND(I127*$J$1,2)</f>
        <v>19.170000000000002</v>
      </c>
    </row>
    <row r="129" spans="1:9" s="861" customFormat="1">
      <c r="A129" s="855"/>
      <c r="B129" s="856"/>
      <c r="C129" s="865" t="s">
        <v>383</v>
      </c>
      <c r="D129" s="881"/>
      <c r="E129" s="876"/>
      <c r="F129" s="892"/>
      <c r="G129" s="893"/>
      <c r="H129" s="894"/>
      <c r="I129" s="887">
        <f>SUM(I127:I128)</f>
        <v>159.99</v>
      </c>
    </row>
    <row r="130" spans="1:9" ht="45" hidden="1">
      <c r="A130" s="723" t="s">
        <v>1061</v>
      </c>
      <c r="B130" s="724">
        <v>7</v>
      </c>
      <c r="C130" s="719" t="s">
        <v>1026</v>
      </c>
      <c r="D130" s="725"/>
      <c r="E130" s="726"/>
      <c r="F130" s="725"/>
      <c r="G130" s="726"/>
      <c r="H130" s="719"/>
      <c r="I130" s="719"/>
    </row>
    <row r="131" spans="1:9" hidden="1">
      <c r="A131" s="628"/>
      <c r="B131" s="370"/>
      <c r="C131" s="362" t="s">
        <v>379</v>
      </c>
      <c r="D131" s="635"/>
      <c r="E131" s="642"/>
      <c r="F131" s="637"/>
      <c r="G131" s="642"/>
      <c r="H131" s="628"/>
      <c r="I131" s="631"/>
    </row>
    <row r="132" spans="1:9" hidden="1">
      <c r="A132" s="628"/>
      <c r="B132" s="370"/>
      <c r="C132" s="362" t="s">
        <v>690</v>
      </c>
      <c r="D132" s="645">
        <v>0.1</v>
      </c>
      <c r="E132" s="636" t="s">
        <v>27</v>
      </c>
      <c r="F132" s="637">
        <v>1</v>
      </c>
      <c r="G132" s="636" t="s">
        <v>27</v>
      </c>
      <c r="H132" s="628">
        <f>'MINI SSR 2025-26'!$H$16</f>
        <v>815</v>
      </c>
      <c r="I132" s="629">
        <f t="shared" ref="I132:I133" si="10">ROUND(((D132*H132)/F132),2)</f>
        <v>81.5</v>
      </c>
    </row>
    <row r="133" spans="1:9" hidden="1">
      <c r="A133" s="628"/>
      <c r="B133" s="370"/>
      <c r="C133" s="362" t="s">
        <v>1270</v>
      </c>
      <c r="D133" s="645">
        <v>0.1</v>
      </c>
      <c r="E133" s="636" t="s">
        <v>27</v>
      </c>
      <c r="F133" s="637">
        <v>1</v>
      </c>
      <c r="G133" s="636" t="s">
        <v>27</v>
      </c>
      <c r="H133" s="628">
        <f>'MINI SSR 2025-26'!$H$5</f>
        <v>615</v>
      </c>
      <c r="I133" s="629">
        <f t="shared" si="10"/>
        <v>61.5</v>
      </c>
    </row>
    <row r="134" spans="1:9" hidden="1">
      <c r="A134" s="628"/>
      <c r="B134" s="370"/>
      <c r="C134" s="362" t="s">
        <v>321</v>
      </c>
      <c r="D134" s="635"/>
      <c r="E134" s="636"/>
      <c r="F134" s="637"/>
      <c r="G134" s="636"/>
      <c r="H134" s="628"/>
      <c r="I134" s="631"/>
    </row>
    <row r="135" spans="1:9" hidden="1">
      <c r="A135" s="628"/>
      <c r="B135" s="370"/>
      <c r="C135" s="364" t="s">
        <v>1062</v>
      </c>
      <c r="D135" s="644">
        <v>1</v>
      </c>
      <c r="E135" s="642" t="s">
        <v>319</v>
      </c>
      <c r="F135" s="637">
        <v>1</v>
      </c>
      <c r="G135" s="642" t="s">
        <v>114</v>
      </c>
      <c r="H135" s="628">
        <f>'MINI SSR 2025-26'!C121</f>
        <v>51</v>
      </c>
      <c r="I135" s="629">
        <f t="shared" ref="I135:I137" si="11">ROUND(((D135*H135)/F135),2)</f>
        <v>51</v>
      </c>
    </row>
    <row r="136" spans="1:9" hidden="1">
      <c r="A136" s="628"/>
      <c r="B136" s="370"/>
      <c r="C136" s="364" t="s">
        <v>1063</v>
      </c>
      <c r="D136" s="644">
        <v>1</v>
      </c>
      <c r="E136" s="642" t="s">
        <v>114</v>
      </c>
      <c r="F136" s="637">
        <v>1</v>
      </c>
      <c r="G136" s="642" t="s">
        <v>114</v>
      </c>
      <c r="H136" s="628">
        <f>'MINI SSR 2025-26'!C122</f>
        <v>124</v>
      </c>
      <c r="I136" s="629">
        <f t="shared" si="11"/>
        <v>124</v>
      </c>
    </row>
    <row r="137" spans="1:9" hidden="1">
      <c r="A137" s="628"/>
      <c r="B137" s="370"/>
      <c r="C137" s="364" t="s">
        <v>1756</v>
      </c>
      <c r="D137" s="644">
        <v>1</v>
      </c>
      <c r="E137" s="642" t="s">
        <v>114</v>
      </c>
      <c r="F137" s="637">
        <v>1</v>
      </c>
      <c r="G137" s="642" t="s">
        <v>114</v>
      </c>
      <c r="H137" s="628">
        <f>'MINI SSR 2025-26'!C123</f>
        <v>124</v>
      </c>
      <c r="I137" s="629">
        <f t="shared" si="11"/>
        <v>124</v>
      </c>
    </row>
    <row r="138" spans="1:9" hidden="1">
      <c r="A138" s="628"/>
      <c r="B138" s="370"/>
      <c r="C138" s="641" t="s">
        <v>383</v>
      </c>
      <c r="D138" s="643"/>
      <c r="E138" s="642"/>
      <c r="F138" s="646"/>
      <c r="G138" s="647"/>
      <c r="H138" s="648"/>
      <c r="I138" s="631">
        <f>SUM(I132:I137)</f>
        <v>442</v>
      </c>
    </row>
    <row r="139" spans="1:9" ht="45" hidden="1">
      <c r="A139" s="606" t="s">
        <v>433</v>
      </c>
      <c r="B139" s="611">
        <v>27</v>
      </c>
      <c r="C139" s="607" t="s">
        <v>609</v>
      </c>
      <c r="D139" s="612"/>
      <c r="E139" s="613"/>
      <c r="F139" s="612"/>
      <c r="G139" s="613"/>
      <c r="H139" s="607"/>
      <c r="I139" s="607"/>
    </row>
    <row r="140" spans="1:9" hidden="1">
      <c r="A140" s="81"/>
      <c r="B140" s="82"/>
      <c r="C140" s="83" t="s">
        <v>379</v>
      </c>
      <c r="D140" s="93"/>
      <c r="E140" s="97"/>
      <c r="F140" s="95"/>
      <c r="G140" s="97"/>
      <c r="H140" s="81"/>
      <c r="I140" s="100"/>
    </row>
    <row r="141" spans="1:9" hidden="1">
      <c r="A141" s="81"/>
      <c r="B141" s="82"/>
      <c r="C141" s="83" t="s">
        <v>690</v>
      </c>
      <c r="D141" s="106">
        <v>6.7000000000000004E-2</v>
      </c>
      <c r="E141" s="94" t="s">
        <v>27</v>
      </c>
      <c r="F141" s="95">
        <v>1</v>
      </c>
      <c r="G141" s="94" t="s">
        <v>27</v>
      </c>
      <c r="H141" s="81">
        <f>'MINI SSR 2025-26'!$H$16</f>
        <v>815</v>
      </c>
      <c r="I141" s="91">
        <f t="shared" ref="I141:I142" si="12">ROUND(((D141*H141)/F141),2)</f>
        <v>54.61</v>
      </c>
    </row>
    <row r="142" spans="1:9" hidden="1">
      <c r="A142" s="81"/>
      <c r="B142" s="82"/>
      <c r="C142" s="83" t="s">
        <v>1270</v>
      </c>
      <c r="D142" s="106">
        <v>6.7000000000000004E-2</v>
      </c>
      <c r="E142" s="94" t="s">
        <v>27</v>
      </c>
      <c r="F142" s="95">
        <v>1</v>
      </c>
      <c r="G142" s="94" t="s">
        <v>27</v>
      </c>
      <c r="H142" s="81">
        <f>'MINI SSR 2025-26'!$H$5</f>
        <v>615</v>
      </c>
      <c r="I142" s="91">
        <f t="shared" si="12"/>
        <v>41.21</v>
      </c>
    </row>
    <row r="143" spans="1:9" hidden="1">
      <c r="A143" s="81"/>
      <c r="B143" s="82"/>
      <c r="C143" s="83" t="s">
        <v>321</v>
      </c>
      <c r="D143" s="93"/>
      <c r="E143" s="94"/>
      <c r="F143" s="95"/>
      <c r="G143" s="94"/>
      <c r="H143" s="81"/>
      <c r="I143" s="100"/>
    </row>
    <row r="144" spans="1:9" hidden="1">
      <c r="A144" s="81"/>
      <c r="B144" s="82"/>
      <c r="C144" s="102" t="s">
        <v>610</v>
      </c>
      <c r="D144" s="101">
        <v>1</v>
      </c>
      <c r="E144" s="97" t="s">
        <v>319</v>
      </c>
      <c r="F144" s="95">
        <v>1</v>
      </c>
      <c r="G144" s="97" t="s">
        <v>114</v>
      </c>
      <c r="H144" s="81">
        <f>'MINI SSR 2025-26'!C116</f>
        <v>18</v>
      </c>
      <c r="I144" s="91">
        <f t="shared" ref="I144:I145" si="13">ROUND(((D144*H144)/F144),2)</f>
        <v>18</v>
      </c>
    </row>
    <row r="145" spans="1:9" hidden="1">
      <c r="A145" s="81"/>
      <c r="B145" s="82"/>
      <c r="C145" s="102" t="s">
        <v>612</v>
      </c>
      <c r="D145" s="101">
        <v>1</v>
      </c>
      <c r="E145" s="97" t="s">
        <v>114</v>
      </c>
      <c r="F145" s="95">
        <v>1</v>
      </c>
      <c r="G145" s="97" t="s">
        <v>114</v>
      </c>
      <c r="H145" s="81">
        <f>'MINI SSR 2025-26'!C117</f>
        <v>21</v>
      </c>
      <c r="I145" s="91">
        <f t="shared" si="13"/>
        <v>21</v>
      </c>
    </row>
    <row r="146" spans="1:9" hidden="1">
      <c r="A146" s="81"/>
      <c r="B146" s="82"/>
      <c r="C146" s="83" t="s">
        <v>894</v>
      </c>
      <c r="D146" s="99"/>
      <c r="E146" s="97"/>
      <c r="F146" s="103"/>
      <c r="G146" s="104"/>
      <c r="H146" s="105"/>
      <c r="I146" s="100">
        <f>SUM(I141:I145)</f>
        <v>134.82</v>
      </c>
    </row>
    <row r="147" spans="1:9" ht="56.25" hidden="1">
      <c r="A147" s="81"/>
      <c r="B147" s="87">
        <v>28</v>
      </c>
      <c r="C147" s="83" t="s">
        <v>391</v>
      </c>
      <c r="D147" s="88"/>
      <c r="E147" s="89"/>
      <c r="F147" s="88"/>
      <c r="G147" s="89"/>
      <c r="H147" s="83"/>
      <c r="I147" s="83"/>
    </row>
    <row r="148" spans="1:9" ht="33.75" hidden="1">
      <c r="A148" s="81"/>
      <c r="B148" s="82"/>
      <c r="C148" s="83" t="s">
        <v>392</v>
      </c>
      <c r="D148" s="88"/>
      <c r="E148" s="89"/>
      <c r="F148" s="88"/>
      <c r="G148" s="89"/>
      <c r="H148" s="83"/>
      <c r="I148" s="83"/>
    </row>
    <row r="149" spans="1:9" hidden="1">
      <c r="A149" s="81"/>
      <c r="B149" s="82"/>
      <c r="C149" s="83" t="s">
        <v>379</v>
      </c>
      <c r="D149" s="93"/>
      <c r="E149" s="97"/>
      <c r="F149" s="95"/>
      <c r="G149" s="97"/>
      <c r="H149" s="81"/>
      <c r="I149" s="100"/>
    </row>
    <row r="150" spans="1:9" hidden="1">
      <c r="A150" s="81"/>
      <c r="B150" s="82"/>
      <c r="C150" s="83" t="s">
        <v>690</v>
      </c>
      <c r="D150" s="106">
        <v>6.7000000000000004E-2</v>
      </c>
      <c r="E150" s="94" t="s">
        <v>27</v>
      </c>
      <c r="F150" s="95">
        <v>1</v>
      </c>
      <c r="G150" s="94" t="s">
        <v>27</v>
      </c>
      <c r="H150" s="81">
        <f>'MINI SSR 2025-26'!$H$16</f>
        <v>815</v>
      </c>
      <c r="I150" s="91">
        <f t="shared" ref="I150:I151" si="14">ROUND(((D150*H150)/F150),2)</f>
        <v>54.61</v>
      </c>
    </row>
    <row r="151" spans="1:9" hidden="1">
      <c r="A151" s="81"/>
      <c r="B151" s="82"/>
      <c r="C151" s="83" t="s">
        <v>1270</v>
      </c>
      <c r="D151" s="106">
        <v>6.7000000000000004E-2</v>
      </c>
      <c r="E151" s="94" t="s">
        <v>27</v>
      </c>
      <c r="F151" s="95">
        <v>1</v>
      </c>
      <c r="G151" s="94" t="s">
        <v>27</v>
      </c>
      <c r="H151" s="81">
        <f>'MINI SSR 2025-26'!$H$5</f>
        <v>615</v>
      </c>
      <c r="I151" s="91">
        <f t="shared" si="14"/>
        <v>41.21</v>
      </c>
    </row>
    <row r="152" spans="1:9" hidden="1">
      <c r="A152" s="81"/>
      <c r="B152" s="82"/>
      <c r="C152" s="83" t="s">
        <v>321</v>
      </c>
      <c r="D152" s="93"/>
      <c r="E152" s="94"/>
      <c r="F152" s="95"/>
      <c r="G152" s="94"/>
      <c r="H152" s="81"/>
      <c r="I152" s="100"/>
    </row>
    <row r="153" spans="1:9" hidden="1">
      <c r="A153" s="81"/>
      <c r="B153" s="82"/>
      <c r="C153" s="102" t="s">
        <v>1760</v>
      </c>
      <c r="D153" s="101">
        <v>1</v>
      </c>
      <c r="E153" s="97" t="s">
        <v>114</v>
      </c>
      <c r="F153" s="95">
        <v>1</v>
      </c>
      <c r="G153" s="97" t="s">
        <v>114</v>
      </c>
      <c r="H153" s="81">
        <f>'MINI SSR 2025-26'!C124</f>
        <v>72</v>
      </c>
      <c r="I153" s="91">
        <f t="shared" ref="I153:I156" si="15">ROUND(((D153*H153)/F153),2)</f>
        <v>72</v>
      </c>
    </row>
    <row r="154" spans="1:9" hidden="1">
      <c r="A154" s="81"/>
      <c r="B154" s="82"/>
      <c r="C154" s="102" t="s">
        <v>1761</v>
      </c>
      <c r="D154" s="101">
        <v>1</v>
      </c>
      <c r="E154" s="97" t="s">
        <v>114</v>
      </c>
      <c r="F154" s="95">
        <v>1</v>
      </c>
      <c r="G154" s="97" t="s">
        <v>114</v>
      </c>
      <c r="H154" s="81">
        <f>'MINI SSR 2025-26'!C125</f>
        <v>122</v>
      </c>
      <c r="I154" s="91">
        <f t="shared" si="15"/>
        <v>122</v>
      </c>
    </row>
    <row r="155" spans="1:9" hidden="1">
      <c r="A155" s="81"/>
      <c r="B155" s="82"/>
      <c r="C155" s="102" t="s">
        <v>1762</v>
      </c>
      <c r="D155" s="101">
        <v>1</v>
      </c>
      <c r="E155" s="97" t="s">
        <v>114</v>
      </c>
      <c r="F155" s="95">
        <v>1</v>
      </c>
      <c r="G155" s="97" t="s">
        <v>114</v>
      </c>
      <c r="H155" s="81">
        <f>'MINI SSR 2025-26'!C126</f>
        <v>95</v>
      </c>
      <c r="I155" s="91">
        <f t="shared" si="15"/>
        <v>95</v>
      </c>
    </row>
    <row r="156" spans="1:9" hidden="1">
      <c r="A156" s="81"/>
      <c r="B156" s="82"/>
      <c r="C156" s="102" t="s">
        <v>1763</v>
      </c>
      <c r="D156" s="101">
        <v>1</v>
      </c>
      <c r="E156" s="97" t="s">
        <v>114</v>
      </c>
      <c r="F156" s="95">
        <v>1</v>
      </c>
      <c r="G156" s="97" t="s">
        <v>114</v>
      </c>
      <c r="H156" s="81">
        <f>'MINI SSR 2025-26'!C127</f>
        <v>89</v>
      </c>
      <c r="I156" s="91">
        <f t="shared" si="15"/>
        <v>89</v>
      </c>
    </row>
    <row r="157" spans="1:9" hidden="1">
      <c r="A157" s="81"/>
      <c r="B157" s="82"/>
      <c r="C157" s="83" t="s">
        <v>894</v>
      </c>
      <c r="D157" s="99"/>
      <c r="E157" s="97"/>
      <c r="F157" s="103"/>
      <c r="G157" s="104"/>
      <c r="H157" s="105"/>
      <c r="I157" s="100">
        <f>SUM(I150:I156)</f>
        <v>473.82</v>
      </c>
    </row>
    <row r="158" spans="1:9" ht="33.75" hidden="1">
      <c r="A158" s="81" t="s">
        <v>1412</v>
      </c>
      <c r="B158" s="87">
        <v>29</v>
      </c>
      <c r="C158" s="83" t="s">
        <v>1411</v>
      </c>
      <c r="D158" s="84"/>
      <c r="E158" s="85"/>
      <c r="F158" s="84"/>
      <c r="G158" s="85"/>
      <c r="H158" s="82"/>
      <c r="I158" s="86"/>
    </row>
    <row r="159" spans="1:9" ht="22.5" hidden="1">
      <c r="A159" s="87"/>
      <c r="B159" s="82"/>
      <c r="C159" s="83" t="s">
        <v>386</v>
      </c>
      <c r="D159" s="93"/>
      <c r="E159" s="97"/>
      <c r="F159" s="95"/>
      <c r="G159" s="97"/>
      <c r="H159" s="81"/>
      <c r="I159" s="100"/>
    </row>
    <row r="160" spans="1:9" hidden="1">
      <c r="A160" s="87"/>
      <c r="B160" s="82"/>
      <c r="C160" s="83" t="s">
        <v>379</v>
      </c>
      <c r="D160" s="93"/>
      <c r="E160" s="97"/>
      <c r="F160" s="95"/>
      <c r="G160" s="97"/>
      <c r="H160" s="81"/>
      <c r="I160" s="100"/>
    </row>
    <row r="161" spans="1:9" hidden="1">
      <c r="A161" s="87"/>
      <c r="B161" s="82"/>
      <c r="C161" s="92" t="s">
        <v>690</v>
      </c>
      <c r="D161" s="93">
        <v>0.67</v>
      </c>
      <c r="E161" s="94" t="s">
        <v>27</v>
      </c>
      <c r="F161" s="95">
        <v>1</v>
      </c>
      <c r="G161" s="94" t="s">
        <v>27</v>
      </c>
      <c r="H161" s="81">
        <f>'MINI SSR 2025-26'!$H$16</f>
        <v>815</v>
      </c>
      <c r="I161" s="91">
        <f t="shared" ref="I161:I163" si="16">ROUND(((D161*H161)/F161),2)</f>
        <v>546.04999999999995</v>
      </c>
    </row>
    <row r="162" spans="1:9" hidden="1">
      <c r="A162" s="87"/>
      <c r="B162" s="82"/>
      <c r="C162" s="92" t="s">
        <v>840</v>
      </c>
      <c r="D162" s="93">
        <v>2</v>
      </c>
      <c r="E162" s="94" t="s">
        <v>27</v>
      </c>
      <c r="F162" s="95">
        <v>1</v>
      </c>
      <c r="G162" s="94" t="s">
        <v>27</v>
      </c>
      <c r="H162" s="81">
        <f>'MINI SSR 2025-26'!$H$17</f>
        <v>665</v>
      </c>
      <c r="I162" s="91">
        <f t="shared" si="16"/>
        <v>1330</v>
      </c>
    </row>
    <row r="163" spans="1:9" hidden="1">
      <c r="A163" s="87"/>
      <c r="B163" s="82"/>
      <c r="C163" s="92" t="s">
        <v>1270</v>
      </c>
      <c r="D163" s="93">
        <v>0.67</v>
      </c>
      <c r="E163" s="94" t="s">
        <v>27</v>
      </c>
      <c r="F163" s="95">
        <v>1</v>
      </c>
      <c r="G163" s="94" t="s">
        <v>27</v>
      </c>
      <c r="H163" s="81">
        <f>'MINI SSR 2025-26'!$H$5</f>
        <v>615</v>
      </c>
      <c r="I163" s="91">
        <f t="shared" si="16"/>
        <v>412.05</v>
      </c>
    </row>
    <row r="164" spans="1:9" hidden="1">
      <c r="A164" s="87"/>
      <c r="B164" s="82"/>
      <c r="C164" s="102" t="s">
        <v>1764</v>
      </c>
      <c r="D164" s="93">
        <v>200</v>
      </c>
      <c r="E164" s="97" t="s">
        <v>388</v>
      </c>
      <c r="F164" s="95">
        <v>100</v>
      </c>
      <c r="G164" s="97" t="s">
        <v>388</v>
      </c>
      <c r="H164" s="81">
        <f>'MINI SSR 2025-26'!C128</f>
        <v>2046</v>
      </c>
      <c r="I164" s="91">
        <f>ROUND(((D164*H164)/F164),2)</f>
        <v>4092</v>
      </c>
    </row>
    <row r="165" spans="1:9" hidden="1">
      <c r="A165" s="87"/>
      <c r="B165" s="82"/>
      <c r="C165" s="83" t="s">
        <v>393</v>
      </c>
      <c r="D165" s="93"/>
      <c r="E165" s="97"/>
      <c r="F165" s="95"/>
      <c r="G165" s="97"/>
      <c r="H165" s="81"/>
      <c r="I165" s="100">
        <f>SUM(I161:I164)</f>
        <v>6380.1</v>
      </c>
    </row>
    <row r="166" spans="1:9" hidden="1">
      <c r="A166" s="604"/>
      <c r="B166" s="600"/>
      <c r="C166" s="601" t="s">
        <v>1771</v>
      </c>
      <c r="D166" s="595"/>
      <c r="E166" s="602"/>
      <c r="F166" s="597"/>
      <c r="G166" s="602"/>
      <c r="H166" s="605"/>
      <c r="I166" s="603">
        <f>ROUND(I165/100,2)</f>
        <v>63.8</v>
      </c>
    </row>
    <row r="167" spans="1:9" s="861" customFormat="1" ht="46.5" customHeight="1">
      <c r="A167" s="886" t="s">
        <v>716</v>
      </c>
      <c r="B167" s="862">
        <v>9</v>
      </c>
      <c r="C167" s="857" t="s">
        <v>2310</v>
      </c>
      <c r="D167" s="858"/>
      <c r="E167" s="859"/>
      <c r="F167" s="858"/>
      <c r="G167" s="859"/>
      <c r="H167" s="856"/>
      <c r="I167" s="887"/>
    </row>
    <row r="168" spans="1:9" s="861" customFormat="1">
      <c r="A168" s="862"/>
      <c r="B168" s="856"/>
      <c r="C168" s="857" t="s">
        <v>379</v>
      </c>
      <c r="D168" s="872"/>
      <c r="E168" s="876"/>
      <c r="F168" s="874"/>
      <c r="G168" s="876"/>
      <c r="H168" s="855"/>
      <c r="I168" s="887"/>
    </row>
    <row r="169" spans="1:9" s="861" customFormat="1">
      <c r="A169" s="862"/>
      <c r="B169" s="856"/>
      <c r="C169" s="871" t="s">
        <v>690</v>
      </c>
      <c r="D169" s="872">
        <v>0.67</v>
      </c>
      <c r="E169" s="873" t="s">
        <v>27</v>
      </c>
      <c r="F169" s="874">
        <v>1</v>
      </c>
      <c r="G169" s="873" t="s">
        <v>27</v>
      </c>
      <c r="H169" s="855">
        <f>'MINI SSR 2025-26'!$H$16</f>
        <v>815</v>
      </c>
      <c r="I169" s="870">
        <f t="shared" ref="I169:I171" si="17">ROUND(((D169*H169)/F169),2)</f>
        <v>546.04999999999995</v>
      </c>
    </row>
    <row r="170" spans="1:9" s="861" customFormat="1">
      <c r="A170" s="862"/>
      <c r="B170" s="856"/>
      <c r="C170" s="871" t="s">
        <v>840</v>
      </c>
      <c r="D170" s="872">
        <v>2</v>
      </c>
      <c r="E170" s="873" t="s">
        <v>27</v>
      </c>
      <c r="F170" s="874">
        <v>1</v>
      </c>
      <c r="G170" s="873" t="s">
        <v>27</v>
      </c>
      <c r="H170" s="855">
        <f>'MINI SSR 2025-26'!$H$17</f>
        <v>665</v>
      </c>
      <c r="I170" s="870">
        <f t="shared" si="17"/>
        <v>1330</v>
      </c>
    </row>
    <row r="171" spans="1:9" s="861" customFormat="1">
      <c r="A171" s="862"/>
      <c r="B171" s="856"/>
      <c r="C171" s="871" t="s">
        <v>1270</v>
      </c>
      <c r="D171" s="872">
        <v>0.67</v>
      </c>
      <c r="E171" s="873" t="s">
        <v>27</v>
      </c>
      <c r="F171" s="874">
        <v>1</v>
      </c>
      <c r="G171" s="873" t="s">
        <v>27</v>
      </c>
      <c r="H171" s="855">
        <f>'MINI SSR 2025-26'!$H$5</f>
        <v>615</v>
      </c>
      <c r="I171" s="870">
        <f t="shared" si="17"/>
        <v>412.05</v>
      </c>
    </row>
    <row r="172" spans="1:9" s="861" customFormat="1">
      <c r="A172" s="862"/>
      <c r="B172" s="856"/>
      <c r="C172" s="857" t="s">
        <v>321</v>
      </c>
      <c r="D172" s="872"/>
      <c r="E172" s="873"/>
      <c r="F172" s="874"/>
      <c r="G172" s="873"/>
      <c r="H172" s="855"/>
      <c r="I172" s="887"/>
    </row>
    <row r="173" spans="1:9" s="861" customFormat="1">
      <c r="A173" s="862"/>
      <c r="B173" s="856"/>
      <c r="C173" s="888" t="s">
        <v>1765</v>
      </c>
      <c r="D173" s="872">
        <v>200</v>
      </c>
      <c r="E173" s="876" t="s">
        <v>388</v>
      </c>
      <c r="F173" s="874">
        <v>100</v>
      </c>
      <c r="G173" s="876" t="s">
        <v>388</v>
      </c>
      <c r="H173" s="855">
        <f>'MINI SSR 2025-26'!C129</f>
        <v>3305</v>
      </c>
      <c r="I173" s="870">
        <f>ROUND(((D173*H173)/F173),2)</f>
        <v>6610</v>
      </c>
    </row>
    <row r="174" spans="1:9" s="861" customFormat="1">
      <c r="A174" s="862"/>
      <c r="B174" s="856"/>
      <c r="C174" s="888"/>
      <c r="D174" s="872"/>
      <c r="E174" s="876"/>
      <c r="F174" s="874"/>
      <c r="G174" s="876"/>
      <c r="H174" s="855"/>
      <c r="I174" s="870">
        <f>SUM(I169:I173)</f>
        <v>8898.1</v>
      </c>
    </row>
    <row r="175" spans="1:9" s="861" customFormat="1">
      <c r="A175" s="862"/>
      <c r="B175" s="856"/>
      <c r="C175" s="883" t="s">
        <v>2213</v>
      </c>
      <c r="D175" s="872"/>
      <c r="E175" s="873"/>
      <c r="F175" s="874"/>
      <c r="G175" s="873"/>
      <c r="H175" s="885"/>
      <c r="I175" s="870">
        <f>ROUND(I174*$J$1,2)</f>
        <v>1211.48</v>
      </c>
    </row>
    <row r="176" spans="1:9" s="861" customFormat="1">
      <c r="A176" s="862"/>
      <c r="B176" s="856"/>
      <c r="C176" s="857" t="s">
        <v>393</v>
      </c>
      <c r="D176" s="872"/>
      <c r="E176" s="876"/>
      <c r="F176" s="874"/>
      <c r="G176" s="876"/>
      <c r="H176" s="855"/>
      <c r="I176" s="887">
        <f>SUM(I174:I175)</f>
        <v>10109.58</v>
      </c>
    </row>
    <row r="177" spans="1:9" s="861" customFormat="1">
      <c r="A177" s="862"/>
      <c r="B177" s="856"/>
      <c r="C177" s="857" t="s">
        <v>394</v>
      </c>
      <c r="D177" s="872"/>
      <c r="E177" s="876"/>
      <c r="F177" s="874"/>
      <c r="G177" s="876"/>
      <c r="H177" s="855"/>
      <c r="I177" s="887">
        <f>ROUND(I176/100,2)</f>
        <v>101.1</v>
      </c>
    </row>
    <row r="178" spans="1:9" s="861" customFormat="1" ht="45">
      <c r="A178" s="886" t="s">
        <v>717</v>
      </c>
      <c r="B178" s="862">
        <v>10</v>
      </c>
      <c r="C178" s="857" t="s">
        <v>395</v>
      </c>
      <c r="D178" s="858"/>
      <c r="E178" s="859"/>
      <c r="F178" s="858"/>
      <c r="G178" s="859"/>
      <c r="H178" s="856"/>
      <c r="I178" s="887"/>
    </row>
    <row r="179" spans="1:9" s="861" customFormat="1" ht="22.5">
      <c r="A179" s="855"/>
      <c r="B179" s="856"/>
      <c r="C179" s="857" t="s">
        <v>396</v>
      </c>
      <c r="D179" s="872"/>
      <c r="E179" s="876"/>
      <c r="F179" s="874"/>
      <c r="G179" s="876"/>
      <c r="H179" s="855"/>
      <c r="I179" s="887"/>
    </row>
    <row r="180" spans="1:9" s="861" customFormat="1">
      <c r="A180" s="855"/>
      <c r="B180" s="856"/>
      <c r="C180" s="857" t="s">
        <v>379</v>
      </c>
      <c r="D180" s="872"/>
      <c r="E180" s="876"/>
      <c r="F180" s="874"/>
      <c r="G180" s="876"/>
      <c r="H180" s="855"/>
      <c r="I180" s="887"/>
    </row>
    <row r="181" spans="1:9" s="861" customFormat="1">
      <c r="A181" s="855"/>
      <c r="B181" s="856"/>
      <c r="C181" s="871" t="s">
        <v>690</v>
      </c>
      <c r="D181" s="872">
        <v>1</v>
      </c>
      <c r="E181" s="873" t="s">
        <v>27</v>
      </c>
      <c r="F181" s="874">
        <v>1</v>
      </c>
      <c r="G181" s="873" t="s">
        <v>27</v>
      </c>
      <c r="H181" s="855">
        <f>'MINI SSR 2025-26'!$H$16</f>
        <v>815</v>
      </c>
      <c r="I181" s="870">
        <f t="shared" ref="I181:I183" si="18">ROUND(((D181*H181)/F181),2)</f>
        <v>815</v>
      </c>
    </row>
    <row r="182" spans="1:9" s="861" customFormat="1">
      <c r="A182" s="855"/>
      <c r="B182" s="856"/>
      <c r="C182" s="871" t="s">
        <v>840</v>
      </c>
      <c r="D182" s="872">
        <v>3</v>
      </c>
      <c r="E182" s="873" t="s">
        <v>27</v>
      </c>
      <c r="F182" s="874">
        <v>1</v>
      </c>
      <c r="G182" s="873" t="s">
        <v>27</v>
      </c>
      <c r="H182" s="855">
        <f>'MINI SSR 2025-26'!$H$17</f>
        <v>665</v>
      </c>
      <c r="I182" s="870">
        <f t="shared" si="18"/>
        <v>1995</v>
      </c>
    </row>
    <row r="183" spans="1:9" s="861" customFormat="1">
      <c r="A183" s="855"/>
      <c r="B183" s="856"/>
      <c r="C183" s="871" t="s">
        <v>1270</v>
      </c>
      <c r="D183" s="872">
        <v>1</v>
      </c>
      <c r="E183" s="873" t="s">
        <v>27</v>
      </c>
      <c r="F183" s="874">
        <v>1</v>
      </c>
      <c r="G183" s="873" t="s">
        <v>27</v>
      </c>
      <c r="H183" s="855">
        <f>'MINI SSR 2025-26'!$H$5</f>
        <v>615</v>
      </c>
      <c r="I183" s="870">
        <f t="shared" si="18"/>
        <v>615</v>
      </c>
    </row>
    <row r="184" spans="1:9" s="861" customFormat="1">
      <c r="A184" s="855"/>
      <c r="B184" s="856"/>
      <c r="C184" s="857" t="s">
        <v>321</v>
      </c>
      <c r="D184" s="872"/>
      <c r="E184" s="873"/>
      <c r="F184" s="874"/>
      <c r="G184" s="873"/>
      <c r="H184" s="855"/>
      <c r="I184" s="887"/>
    </row>
    <row r="185" spans="1:9" s="861" customFormat="1">
      <c r="A185" s="855"/>
      <c r="B185" s="856"/>
      <c r="C185" s="888" t="s">
        <v>1766</v>
      </c>
      <c r="D185" s="872">
        <v>200</v>
      </c>
      <c r="E185" s="876" t="s">
        <v>388</v>
      </c>
      <c r="F185" s="874">
        <v>100</v>
      </c>
      <c r="G185" s="876" t="s">
        <v>388</v>
      </c>
      <c r="H185" s="855">
        <f>'MINI SSR 2025-26'!C130</f>
        <v>5046</v>
      </c>
      <c r="I185" s="870">
        <f>ROUND(((D185*H185)/F185),2)</f>
        <v>10092</v>
      </c>
    </row>
    <row r="186" spans="1:9" s="861" customFormat="1">
      <c r="A186" s="855"/>
      <c r="B186" s="856"/>
      <c r="C186" s="888"/>
      <c r="D186" s="872"/>
      <c r="E186" s="876"/>
      <c r="F186" s="874"/>
      <c r="G186" s="876"/>
      <c r="H186" s="855"/>
      <c r="I186" s="870">
        <f>SUM(I181:I185)</f>
        <v>13517</v>
      </c>
    </row>
    <row r="187" spans="1:9" s="861" customFormat="1">
      <c r="A187" s="855"/>
      <c r="B187" s="856"/>
      <c r="C187" s="883" t="s">
        <v>2213</v>
      </c>
      <c r="D187" s="872"/>
      <c r="E187" s="873"/>
      <c r="F187" s="874"/>
      <c r="G187" s="873"/>
      <c r="H187" s="885"/>
      <c r="I187" s="870">
        <f>ROUND(I186*$J$1,2)</f>
        <v>1840.34</v>
      </c>
    </row>
    <row r="188" spans="1:9" s="861" customFormat="1">
      <c r="A188" s="855"/>
      <c r="B188" s="856"/>
      <c r="C188" s="857" t="s">
        <v>393</v>
      </c>
      <c r="D188" s="872"/>
      <c r="E188" s="876"/>
      <c r="F188" s="874"/>
      <c r="G188" s="876"/>
      <c r="H188" s="855"/>
      <c r="I188" s="887">
        <f>SUM(I186:I187)</f>
        <v>15357.34</v>
      </c>
    </row>
    <row r="189" spans="1:9" s="861" customFormat="1">
      <c r="A189" s="855"/>
      <c r="B189" s="856"/>
      <c r="C189" s="857" t="s">
        <v>394</v>
      </c>
      <c r="D189" s="872"/>
      <c r="E189" s="876"/>
      <c r="F189" s="874"/>
      <c r="G189" s="876"/>
      <c r="H189" s="855"/>
      <c r="I189" s="887">
        <f>SUM(I188/100)</f>
        <v>153.57339999999999</v>
      </c>
    </row>
    <row r="190" spans="1:9" s="861" customFormat="1" ht="45">
      <c r="A190" s="886" t="s">
        <v>835</v>
      </c>
      <c r="B190" s="862">
        <v>11</v>
      </c>
      <c r="C190" s="857" t="s">
        <v>836</v>
      </c>
      <c r="D190" s="858"/>
      <c r="E190" s="859"/>
      <c r="F190" s="858"/>
      <c r="G190" s="859"/>
      <c r="H190" s="856"/>
      <c r="I190" s="887"/>
    </row>
    <row r="191" spans="1:9" s="861" customFormat="1">
      <c r="A191" s="855"/>
      <c r="B191" s="856"/>
      <c r="C191" s="857" t="s">
        <v>379</v>
      </c>
      <c r="D191" s="872"/>
      <c r="E191" s="876"/>
      <c r="F191" s="874"/>
      <c r="G191" s="876"/>
      <c r="H191" s="855"/>
      <c r="I191" s="887"/>
    </row>
    <row r="192" spans="1:9" s="861" customFormat="1">
      <c r="A192" s="855"/>
      <c r="B192" s="856"/>
      <c r="C192" s="871" t="s">
        <v>149</v>
      </c>
      <c r="D192" s="872">
        <v>1</v>
      </c>
      <c r="E192" s="873" t="s">
        <v>27</v>
      </c>
      <c r="F192" s="874">
        <v>1</v>
      </c>
      <c r="G192" s="873" t="s">
        <v>27</v>
      </c>
      <c r="H192" s="855">
        <f>'MINI SSR 2025-26'!$H$16</f>
        <v>815</v>
      </c>
      <c r="I192" s="870">
        <f t="shared" ref="I192:I194" si="19">ROUND(((D192*H192)/F192),2)</f>
        <v>815</v>
      </c>
    </row>
    <row r="193" spans="1:9" s="861" customFormat="1">
      <c r="A193" s="855"/>
      <c r="B193" s="856"/>
      <c r="C193" s="871" t="s">
        <v>840</v>
      </c>
      <c r="D193" s="872">
        <v>1</v>
      </c>
      <c r="E193" s="873" t="s">
        <v>27</v>
      </c>
      <c r="F193" s="874">
        <v>1</v>
      </c>
      <c r="G193" s="873" t="s">
        <v>27</v>
      </c>
      <c r="H193" s="855">
        <f>'MINI SSR 2025-26'!$H$17</f>
        <v>665</v>
      </c>
      <c r="I193" s="870">
        <f t="shared" si="19"/>
        <v>665</v>
      </c>
    </row>
    <row r="194" spans="1:9" s="861" customFormat="1">
      <c r="A194" s="855"/>
      <c r="B194" s="856"/>
      <c r="C194" s="871" t="s">
        <v>691</v>
      </c>
      <c r="D194" s="872">
        <v>1</v>
      </c>
      <c r="E194" s="873" t="s">
        <v>27</v>
      </c>
      <c r="F194" s="874">
        <v>1</v>
      </c>
      <c r="G194" s="873" t="s">
        <v>27</v>
      </c>
      <c r="H194" s="855">
        <f>'MINI SSR 2025-26'!$H$5</f>
        <v>615</v>
      </c>
      <c r="I194" s="870">
        <f t="shared" si="19"/>
        <v>615</v>
      </c>
    </row>
    <row r="195" spans="1:9" s="861" customFormat="1">
      <c r="A195" s="855"/>
      <c r="B195" s="856"/>
      <c r="C195" s="857" t="s">
        <v>321</v>
      </c>
      <c r="D195" s="872"/>
      <c r="E195" s="873"/>
      <c r="F195" s="874"/>
      <c r="G195" s="873"/>
      <c r="H195" s="855"/>
      <c r="I195" s="887"/>
    </row>
    <row r="196" spans="1:9" s="861" customFormat="1">
      <c r="A196" s="855"/>
      <c r="B196" s="856"/>
      <c r="C196" s="888" t="s">
        <v>837</v>
      </c>
      <c r="D196" s="872">
        <v>200</v>
      </c>
      <c r="E196" s="876" t="s">
        <v>388</v>
      </c>
      <c r="F196" s="874">
        <v>100</v>
      </c>
      <c r="G196" s="876" t="s">
        <v>388</v>
      </c>
      <c r="H196" s="855">
        <f>'MINI SSR 2025-26'!C131</f>
        <v>1816</v>
      </c>
      <c r="I196" s="870">
        <f t="shared" ref="I196:I198" si="20">ROUND(((D196*H196)/F196),2)</f>
        <v>3632</v>
      </c>
    </row>
    <row r="197" spans="1:9" s="861" customFormat="1">
      <c r="A197" s="855"/>
      <c r="B197" s="856"/>
      <c r="C197" s="888" t="s">
        <v>838</v>
      </c>
      <c r="D197" s="872">
        <v>6.7</v>
      </c>
      <c r="E197" s="876" t="s">
        <v>4</v>
      </c>
      <c r="F197" s="874">
        <v>1</v>
      </c>
      <c r="G197" s="876" t="s">
        <v>4</v>
      </c>
      <c r="H197" s="855">
        <f>'MINI SSR 2025-26'!C132</f>
        <v>94</v>
      </c>
      <c r="I197" s="870">
        <f t="shared" si="20"/>
        <v>629.79999999999995</v>
      </c>
    </row>
    <row r="198" spans="1:9" s="861" customFormat="1">
      <c r="A198" s="855"/>
      <c r="B198" s="856"/>
      <c r="C198" s="888" t="s">
        <v>839</v>
      </c>
      <c r="D198" s="872">
        <v>100</v>
      </c>
      <c r="E198" s="876" t="s">
        <v>319</v>
      </c>
      <c r="F198" s="874">
        <v>100</v>
      </c>
      <c r="G198" s="876" t="s">
        <v>114</v>
      </c>
      <c r="H198" s="855">
        <f>'MINI SSR 2025-26'!C133</f>
        <v>556</v>
      </c>
      <c r="I198" s="870">
        <f t="shared" si="20"/>
        <v>556</v>
      </c>
    </row>
    <row r="199" spans="1:9" s="861" customFormat="1">
      <c r="A199" s="855"/>
      <c r="B199" s="856"/>
      <c r="C199" s="888"/>
      <c r="D199" s="872"/>
      <c r="E199" s="876"/>
      <c r="F199" s="874"/>
      <c r="G199" s="876"/>
      <c r="H199" s="855"/>
      <c r="I199" s="870">
        <f>SUM(I192:I198)</f>
        <v>6912.8</v>
      </c>
    </row>
    <row r="200" spans="1:9" s="861" customFormat="1">
      <c r="A200" s="855"/>
      <c r="B200" s="856"/>
      <c r="C200" s="883" t="s">
        <v>2213</v>
      </c>
      <c r="D200" s="872"/>
      <c r="E200" s="873"/>
      <c r="F200" s="874"/>
      <c r="G200" s="873"/>
      <c r="H200" s="885"/>
      <c r="I200" s="870">
        <f>ROUND(I199*$J$1,2)</f>
        <v>941.18</v>
      </c>
    </row>
    <row r="201" spans="1:9" s="861" customFormat="1">
      <c r="A201" s="855"/>
      <c r="B201" s="856"/>
      <c r="C201" s="857" t="s">
        <v>393</v>
      </c>
      <c r="D201" s="872"/>
      <c r="E201" s="876"/>
      <c r="F201" s="874"/>
      <c r="G201" s="876"/>
      <c r="H201" s="855"/>
      <c r="I201" s="887">
        <f>SUM(I199:I200)</f>
        <v>7853.9800000000005</v>
      </c>
    </row>
    <row r="202" spans="1:9" s="861" customFormat="1">
      <c r="A202" s="855"/>
      <c r="B202" s="856"/>
      <c r="C202" s="857" t="s">
        <v>394</v>
      </c>
      <c r="D202" s="872"/>
      <c r="E202" s="876"/>
      <c r="F202" s="874"/>
      <c r="G202" s="876"/>
      <c r="H202" s="855"/>
      <c r="I202" s="887">
        <f>SUM(I201/100)</f>
        <v>78.5398</v>
      </c>
    </row>
    <row r="203" spans="1:9" s="861" customFormat="1" ht="33.75">
      <c r="A203" s="886" t="s">
        <v>718</v>
      </c>
      <c r="B203" s="862">
        <v>12</v>
      </c>
      <c r="C203" s="857" t="s">
        <v>1065</v>
      </c>
      <c r="D203" s="863"/>
      <c r="E203" s="864"/>
      <c r="F203" s="863"/>
      <c r="G203" s="864"/>
      <c r="H203" s="857"/>
      <c r="I203" s="857"/>
    </row>
    <row r="204" spans="1:9" s="861" customFormat="1" ht="22.5">
      <c r="A204" s="862"/>
      <c r="B204" s="856"/>
      <c r="C204" s="857" t="s">
        <v>397</v>
      </c>
      <c r="D204" s="863"/>
      <c r="E204" s="864"/>
      <c r="F204" s="863"/>
      <c r="G204" s="864"/>
      <c r="H204" s="857"/>
      <c r="I204" s="857"/>
    </row>
    <row r="205" spans="1:9" s="861" customFormat="1">
      <c r="A205" s="862"/>
      <c r="B205" s="856"/>
      <c r="C205" s="857" t="s">
        <v>379</v>
      </c>
      <c r="D205" s="872"/>
      <c r="E205" s="876"/>
      <c r="F205" s="874"/>
      <c r="G205" s="876"/>
      <c r="H205" s="855"/>
      <c r="I205" s="887"/>
    </row>
    <row r="206" spans="1:9" s="861" customFormat="1">
      <c r="A206" s="862"/>
      <c r="B206" s="856"/>
      <c r="C206" s="871" t="s">
        <v>690</v>
      </c>
      <c r="D206" s="872">
        <v>0.05</v>
      </c>
      <c r="E206" s="873" t="s">
        <v>27</v>
      </c>
      <c r="F206" s="874">
        <v>1</v>
      </c>
      <c r="G206" s="873" t="s">
        <v>27</v>
      </c>
      <c r="H206" s="855">
        <f>'MINI SSR 2025-26'!$H$16</f>
        <v>815</v>
      </c>
      <c r="I206" s="870">
        <f t="shared" ref="I206:I207" si="21">ROUND(((D206*H206)/F206),2)</f>
        <v>40.75</v>
      </c>
    </row>
    <row r="207" spans="1:9" s="861" customFormat="1">
      <c r="A207" s="862"/>
      <c r="B207" s="856"/>
      <c r="C207" s="871" t="s">
        <v>1270</v>
      </c>
      <c r="D207" s="872">
        <v>0.05</v>
      </c>
      <c r="E207" s="873" t="s">
        <v>27</v>
      </c>
      <c r="F207" s="874">
        <v>1</v>
      </c>
      <c r="G207" s="873" t="s">
        <v>27</v>
      </c>
      <c r="H207" s="855">
        <f>'MINI SSR 2025-26'!$H$5</f>
        <v>615</v>
      </c>
      <c r="I207" s="870">
        <f t="shared" si="21"/>
        <v>30.75</v>
      </c>
    </row>
    <row r="208" spans="1:9" s="861" customFormat="1">
      <c r="A208" s="862"/>
      <c r="B208" s="856"/>
      <c r="C208" s="857" t="s">
        <v>321</v>
      </c>
      <c r="D208" s="872"/>
      <c r="E208" s="873"/>
      <c r="F208" s="874"/>
      <c r="G208" s="873"/>
      <c r="H208" s="855"/>
      <c r="I208" s="887"/>
    </row>
    <row r="209" spans="1:9" s="861" customFormat="1">
      <c r="A209" s="862"/>
      <c r="B209" s="856"/>
      <c r="C209" s="857" t="s">
        <v>1767</v>
      </c>
      <c r="D209" s="889">
        <v>1</v>
      </c>
      <c r="E209" s="876" t="s">
        <v>319</v>
      </c>
      <c r="F209" s="874">
        <v>1</v>
      </c>
      <c r="G209" s="876" t="s">
        <v>114</v>
      </c>
      <c r="H209" s="855">
        <f>'MINI SSR 2025-26'!G114</f>
        <v>21</v>
      </c>
      <c r="I209" s="870">
        <f t="shared" ref="I209:I210" si="22">ROUND(((D209*H209)/F209),2)</f>
        <v>21</v>
      </c>
    </row>
    <row r="210" spans="1:9" s="861" customFormat="1">
      <c r="A210" s="862"/>
      <c r="B210" s="856"/>
      <c r="C210" s="857" t="s">
        <v>1064</v>
      </c>
      <c r="D210" s="889">
        <v>1</v>
      </c>
      <c r="E210" s="876" t="s">
        <v>319</v>
      </c>
      <c r="F210" s="874">
        <v>1</v>
      </c>
      <c r="G210" s="876" t="s">
        <v>114</v>
      </c>
      <c r="H210" s="855">
        <f>'MINI SSR 2025-26'!G115</f>
        <v>46</v>
      </c>
      <c r="I210" s="870">
        <f t="shared" si="22"/>
        <v>46</v>
      </c>
    </row>
    <row r="211" spans="1:9" s="861" customFormat="1">
      <c r="A211" s="862"/>
      <c r="B211" s="856"/>
      <c r="C211" s="857"/>
      <c r="D211" s="889"/>
      <c r="E211" s="876"/>
      <c r="F211" s="874"/>
      <c r="G211" s="876"/>
      <c r="H211" s="855"/>
      <c r="I211" s="870">
        <f>SUM(I206:I210)</f>
        <v>138.5</v>
      </c>
    </row>
    <row r="212" spans="1:9" s="861" customFormat="1">
      <c r="A212" s="855"/>
      <c r="B212" s="856"/>
      <c r="C212" s="883" t="s">
        <v>2213</v>
      </c>
      <c r="D212" s="872"/>
      <c r="E212" s="873"/>
      <c r="F212" s="874"/>
      <c r="G212" s="873"/>
      <c r="H212" s="885"/>
      <c r="I212" s="870">
        <f>ROUND(I211*$J$1,2)</f>
        <v>18.86</v>
      </c>
    </row>
    <row r="213" spans="1:9" s="861" customFormat="1">
      <c r="A213" s="862"/>
      <c r="B213" s="856"/>
      <c r="C213" s="857" t="s">
        <v>398</v>
      </c>
      <c r="D213" s="872"/>
      <c r="E213" s="873"/>
      <c r="F213" s="874"/>
      <c r="G213" s="873"/>
      <c r="H213" s="855"/>
      <c r="I213" s="887">
        <f>SUM(I211:I212)</f>
        <v>157.36000000000001</v>
      </c>
    </row>
    <row r="214" spans="1:9" s="861" customFormat="1" ht="45">
      <c r="A214" s="855" t="s">
        <v>1413</v>
      </c>
      <c r="B214" s="862">
        <v>13</v>
      </c>
      <c r="C214" s="857" t="s">
        <v>399</v>
      </c>
      <c r="D214" s="863"/>
      <c r="E214" s="864"/>
      <c r="F214" s="863"/>
      <c r="G214" s="864"/>
      <c r="H214" s="857"/>
      <c r="I214" s="857"/>
    </row>
    <row r="215" spans="1:9" s="861" customFormat="1" ht="33.75">
      <c r="A215" s="862"/>
      <c r="B215" s="862"/>
      <c r="C215" s="857" t="s">
        <v>400</v>
      </c>
      <c r="D215" s="895"/>
      <c r="E215" s="864"/>
      <c r="F215" s="863"/>
      <c r="G215" s="864"/>
      <c r="H215" s="857"/>
      <c r="I215" s="857"/>
    </row>
    <row r="216" spans="1:9" s="861" customFormat="1">
      <c r="A216" s="862"/>
      <c r="B216" s="856"/>
      <c r="C216" s="896" t="s">
        <v>401</v>
      </c>
      <c r="D216" s="872"/>
      <c r="E216" s="876"/>
      <c r="F216" s="874"/>
      <c r="G216" s="876"/>
      <c r="H216" s="855"/>
      <c r="I216" s="887"/>
    </row>
    <row r="217" spans="1:9" s="861" customFormat="1">
      <c r="A217" s="862"/>
      <c r="B217" s="856"/>
      <c r="C217" s="871" t="s">
        <v>690</v>
      </c>
      <c r="D217" s="891">
        <v>0.125</v>
      </c>
      <c r="E217" s="873" t="s">
        <v>27</v>
      </c>
      <c r="F217" s="874">
        <v>1</v>
      </c>
      <c r="G217" s="873" t="s">
        <v>27</v>
      </c>
      <c r="H217" s="855">
        <f>'MINI SSR 2025-26'!$H$16</f>
        <v>815</v>
      </c>
      <c r="I217" s="870">
        <f t="shared" ref="I217:I218" si="23">ROUND(((D217*H217)/F217),2)</f>
        <v>101.88</v>
      </c>
    </row>
    <row r="218" spans="1:9" s="861" customFormat="1">
      <c r="A218" s="862"/>
      <c r="B218" s="856"/>
      <c r="C218" s="871" t="s">
        <v>1270</v>
      </c>
      <c r="D218" s="891">
        <v>0.125</v>
      </c>
      <c r="E218" s="873" t="s">
        <v>27</v>
      </c>
      <c r="F218" s="874">
        <v>1</v>
      </c>
      <c r="G218" s="873" t="s">
        <v>27</v>
      </c>
      <c r="H218" s="855">
        <f>'MINI SSR 2025-26'!$H$5</f>
        <v>615</v>
      </c>
      <c r="I218" s="870">
        <f t="shared" si="23"/>
        <v>76.88</v>
      </c>
    </row>
    <row r="219" spans="1:9" s="861" customFormat="1">
      <c r="A219" s="862"/>
      <c r="B219" s="856"/>
      <c r="C219" s="857" t="s">
        <v>402</v>
      </c>
      <c r="D219" s="872"/>
      <c r="E219" s="873"/>
      <c r="F219" s="874"/>
      <c r="G219" s="873"/>
      <c r="H219" s="855"/>
      <c r="I219" s="887"/>
    </row>
    <row r="220" spans="1:9" s="861" customFormat="1">
      <c r="A220" s="862"/>
      <c r="B220" s="856"/>
      <c r="C220" s="888" t="s">
        <v>1414</v>
      </c>
      <c r="D220" s="872">
        <v>1</v>
      </c>
      <c r="E220" s="876" t="s">
        <v>380</v>
      </c>
      <c r="F220" s="874">
        <v>100</v>
      </c>
      <c r="G220" s="876" t="s">
        <v>388</v>
      </c>
      <c r="H220" s="855">
        <f>'MINI SSR 2025-26'!G116</f>
        <v>1288</v>
      </c>
      <c r="I220" s="870">
        <f t="shared" ref="I220:I222" si="24">ROUND(((D220*H220)/F220),2)</f>
        <v>12.88</v>
      </c>
    </row>
    <row r="221" spans="1:9" s="861" customFormat="1">
      <c r="A221" s="862"/>
      <c r="B221" s="856"/>
      <c r="C221" s="888" t="s">
        <v>1416</v>
      </c>
      <c r="D221" s="872">
        <v>1</v>
      </c>
      <c r="E221" s="876" t="s">
        <v>114</v>
      </c>
      <c r="F221" s="874">
        <v>1</v>
      </c>
      <c r="G221" s="876" t="s">
        <v>114</v>
      </c>
      <c r="H221" s="855">
        <f>'MINI SSR 2025-26'!G117</f>
        <v>208</v>
      </c>
      <c r="I221" s="870">
        <f t="shared" si="24"/>
        <v>208</v>
      </c>
    </row>
    <row r="222" spans="1:9" s="861" customFormat="1" ht="22.5">
      <c r="A222" s="862"/>
      <c r="B222" s="856"/>
      <c r="C222" s="888" t="s">
        <v>1415</v>
      </c>
      <c r="D222" s="872">
        <v>1</v>
      </c>
      <c r="E222" s="876" t="s">
        <v>319</v>
      </c>
      <c r="F222" s="874">
        <v>1</v>
      </c>
      <c r="G222" s="876" t="s">
        <v>319</v>
      </c>
      <c r="H222" s="855">
        <f>'MINI SSR 2025-26'!G118</f>
        <v>2904</v>
      </c>
      <c r="I222" s="870">
        <f t="shared" si="24"/>
        <v>2904</v>
      </c>
    </row>
    <row r="223" spans="1:9" s="861" customFormat="1">
      <c r="A223" s="862"/>
      <c r="B223" s="856"/>
      <c r="C223" s="857" t="s">
        <v>403</v>
      </c>
      <c r="D223" s="872"/>
      <c r="E223" s="876"/>
      <c r="F223" s="874"/>
      <c r="G223" s="876"/>
      <c r="H223" s="897">
        <v>0.01</v>
      </c>
      <c r="I223" s="887">
        <f>SUM(I222*H223)</f>
        <v>29.04</v>
      </c>
    </row>
    <row r="224" spans="1:9" s="861" customFormat="1">
      <c r="A224" s="862"/>
      <c r="B224" s="856"/>
      <c r="C224" s="857"/>
      <c r="D224" s="872"/>
      <c r="E224" s="876"/>
      <c r="F224" s="874"/>
      <c r="G224" s="876"/>
      <c r="H224" s="897"/>
      <c r="I224" s="887">
        <f>SUM(I217:I223)</f>
        <v>3332.68</v>
      </c>
    </row>
    <row r="225" spans="1:9" s="861" customFormat="1">
      <c r="A225" s="862"/>
      <c r="B225" s="856"/>
      <c r="C225" s="883" t="s">
        <v>2213</v>
      </c>
      <c r="D225" s="872"/>
      <c r="E225" s="873"/>
      <c r="F225" s="874"/>
      <c r="G225" s="873"/>
      <c r="H225" s="885"/>
      <c r="I225" s="870">
        <f>ROUND(I224*$J$1,2)</f>
        <v>453.74</v>
      </c>
    </row>
    <row r="226" spans="1:9" s="861" customFormat="1">
      <c r="A226" s="862"/>
      <c r="B226" s="856"/>
      <c r="C226" s="865" t="s">
        <v>383</v>
      </c>
      <c r="D226" s="858"/>
      <c r="E226" s="859"/>
      <c r="F226" s="858"/>
      <c r="G226" s="898"/>
      <c r="H226" s="894"/>
      <c r="I226" s="887">
        <f>SUM(I224:I225)</f>
        <v>3786.42</v>
      </c>
    </row>
    <row r="227" spans="1:9" ht="33.75" hidden="1">
      <c r="A227" s="606" t="s">
        <v>1419</v>
      </c>
      <c r="B227" s="611">
        <v>36</v>
      </c>
      <c r="C227" s="607" t="s">
        <v>895</v>
      </c>
      <c r="D227" s="612"/>
      <c r="E227" s="613"/>
      <c r="F227" s="612"/>
      <c r="G227" s="613"/>
      <c r="H227" s="607"/>
      <c r="I227" s="607"/>
    </row>
    <row r="228" spans="1:9" hidden="1">
      <c r="A228" s="87"/>
      <c r="B228" s="82"/>
      <c r="C228" s="102" t="s">
        <v>927</v>
      </c>
      <c r="D228" s="93">
        <v>1</v>
      </c>
      <c r="E228" s="97" t="s">
        <v>319</v>
      </c>
      <c r="F228" s="95">
        <v>1</v>
      </c>
      <c r="G228" s="97" t="s">
        <v>319</v>
      </c>
      <c r="H228" s="81">
        <f>'MINI SSR 2025-26'!G118</f>
        <v>2904</v>
      </c>
      <c r="I228" s="91">
        <f>ROUND(((D228*H228)/F228),2)</f>
        <v>2904</v>
      </c>
    </row>
    <row r="229" spans="1:9" hidden="1">
      <c r="A229" s="87"/>
      <c r="B229" s="82"/>
      <c r="C229" s="83" t="s">
        <v>403</v>
      </c>
      <c r="D229" s="93"/>
      <c r="E229" s="97"/>
      <c r="F229" s="95"/>
      <c r="G229" s="97"/>
      <c r="H229" s="98">
        <v>0.01</v>
      </c>
      <c r="I229" s="100">
        <f>SUM(I228*H229)</f>
        <v>29.04</v>
      </c>
    </row>
    <row r="230" spans="1:9" hidden="1">
      <c r="A230" s="87"/>
      <c r="B230" s="82"/>
      <c r="C230" s="90" t="s">
        <v>383</v>
      </c>
      <c r="D230" s="84"/>
      <c r="E230" s="85"/>
      <c r="F230" s="84"/>
      <c r="G230" s="108"/>
      <c r="H230" s="105"/>
      <c r="I230" s="100">
        <f>SUM(I228:I229)</f>
        <v>2933.04</v>
      </c>
    </row>
    <row r="231" spans="1:9" ht="22.5" hidden="1">
      <c r="A231" s="81" t="s">
        <v>1418</v>
      </c>
      <c r="B231" s="87">
        <v>37</v>
      </c>
      <c r="C231" s="83" t="s">
        <v>1417</v>
      </c>
      <c r="D231" s="88"/>
      <c r="E231" s="89"/>
      <c r="F231" s="88"/>
      <c r="G231" s="89"/>
      <c r="H231" s="83"/>
      <c r="I231" s="83"/>
    </row>
    <row r="232" spans="1:9" hidden="1">
      <c r="A232" s="87"/>
      <c r="B232" s="82"/>
      <c r="C232" s="102" t="s">
        <v>1416</v>
      </c>
      <c r="D232" s="93">
        <v>1</v>
      </c>
      <c r="E232" s="97" t="s">
        <v>319</v>
      </c>
      <c r="F232" s="95">
        <v>1</v>
      </c>
      <c r="G232" s="97" t="s">
        <v>319</v>
      </c>
      <c r="H232" s="81">
        <f>'MINI SSR 2025-26'!G117</f>
        <v>208</v>
      </c>
      <c r="I232" s="91">
        <f t="shared" ref="I232:I233" si="25">ROUND(((D232*H232)/F232),2)</f>
        <v>208</v>
      </c>
    </row>
    <row r="233" spans="1:9" hidden="1">
      <c r="A233" s="87"/>
      <c r="B233" s="82"/>
      <c r="C233" s="92" t="s">
        <v>690</v>
      </c>
      <c r="D233" s="106">
        <v>0.1</v>
      </c>
      <c r="E233" s="94" t="s">
        <v>27</v>
      </c>
      <c r="F233" s="95">
        <v>1</v>
      </c>
      <c r="G233" s="94" t="s">
        <v>27</v>
      </c>
      <c r="H233" s="81">
        <f>'MINI SSR 2025-26'!$H$16</f>
        <v>815</v>
      </c>
      <c r="I233" s="91">
        <f t="shared" si="25"/>
        <v>81.5</v>
      </c>
    </row>
    <row r="234" spans="1:9" hidden="1">
      <c r="A234" s="87"/>
      <c r="B234" s="82"/>
      <c r="C234" s="83"/>
      <c r="D234" s="93"/>
      <c r="E234" s="97"/>
      <c r="F234" s="95"/>
      <c r="G234" s="97"/>
      <c r="H234" s="98"/>
      <c r="I234" s="100"/>
    </row>
    <row r="235" spans="1:9" hidden="1">
      <c r="A235" s="87"/>
      <c r="B235" s="82"/>
      <c r="C235" s="90" t="s">
        <v>383</v>
      </c>
      <c r="D235" s="84"/>
      <c r="E235" s="85"/>
      <c r="F235" s="84"/>
      <c r="G235" s="108"/>
      <c r="H235" s="105"/>
      <c r="I235" s="100">
        <f>SUM(I232:I234)</f>
        <v>289.5</v>
      </c>
    </row>
    <row r="236" spans="1:9" ht="22.5" hidden="1">
      <c r="A236" s="81" t="s">
        <v>1413</v>
      </c>
      <c r="B236" s="87">
        <v>38</v>
      </c>
      <c r="C236" s="83" t="s">
        <v>900</v>
      </c>
      <c r="D236" s="88"/>
      <c r="E236" s="89"/>
      <c r="F236" s="88"/>
      <c r="G236" s="89"/>
      <c r="H236" s="83"/>
      <c r="I236" s="83"/>
    </row>
    <row r="237" spans="1:9" hidden="1">
      <c r="A237" s="87"/>
      <c r="B237" s="82"/>
      <c r="C237" s="107" t="s">
        <v>401</v>
      </c>
      <c r="D237" s="93"/>
      <c r="E237" s="97"/>
      <c r="F237" s="95"/>
      <c r="G237" s="97"/>
      <c r="H237" s="81"/>
      <c r="I237" s="100"/>
    </row>
    <row r="238" spans="1:9" hidden="1">
      <c r="A238" s="87"/>
      <c r="B238" s="82"/>
      <c r="C238" s="92" t="s">
        <v>690</v>
      </c>
      <c r="D238" s="106">
        <v>0.125</v>
      </c>
      <c r="E238" s="94" t="s">
        <v>27</v>
      </c>
      <c r="F238" s="95">
        <v>1</v>
      </c>
      <c r="G238" s="94" t="s">
        <v>27</v>
      </c>
      <c r="H238" s="81">
        <f>'MINI SSR 2025-26'!$H$16</f>
        <v>815</v>
      </c>
      <c r="I238" s="91">
        <f t="shared" ref="I238:I239" si="26">ROUND(((D238*H238)/F238),2)</f>
        <v>101.88</v>
      </c>
    </row>
    <row r="239" spans="1:9" hidden="1">
      <c r="A239" s="87"/>
      <c r="B239" s="82"/>
      <c r="C239" s="92" t="s">
        <v>1270</v>
      </c>
      <c r="D239" s="106">
        <v>0.125</v>
      </c>
      <c r="E239" s="94" t="s">
        <v>27</v>
      </c>
      <c r="F239" s="95">
        <v>1</v>
      </c>
      <c r="G239" s="94" t="s">
        <v>27</v>
      </c>
      <c r="H239" s="81">
        <f>'MINI SSR 2025-26'!$H$5</f>
        <v>615</v>
      </c>
      <c r="I239" s="91">
        <f t="shared" si="26"/>
        <v>76.88</v>
      </c>
    </row>
    <row r="240" spans="1:9" hidden="1">
      <c r="A240" s="87"/>
      <c r="B240" s="82"/>
      <c r="C240" s="83" t="s">
        <v>402</v>
      </c>
      <c r="D240" s="93"/>
      <c r="E240" s="94"/>
      <c r="F240" s="95"/>
      <c r="G240" s="94"/>
      <c r="H240" s="81"/>
      <c r="I240" s="100"/>
    </row>
    <row r="241" spans="1:9" hidden="1">
      <c r="A241" s="87"/>
      <c r="B241" s="82"/>
      <c r="C241" s="102" t="s">
        <v>1414</v>
      </c>
      <c r="D241" s="93">
        <v>1</v>
      </c>
      <c r="E241" s="97" t="s">
        <v>380</v>
      </c>
      <c r="F241" s="95">
        <v>100</v>
      </c>
      <c r="G241" s="97" t="s">
        <v>388</v>
      </c>
      <c r="H241" s="81">
        <f>'MINI SSR 2025-26'!G116</f>
        <v>1288</v>
      </c>
      <c r="I241" s="91">
        <f>ROUND(((D241*H241)/F241),2)</f>
        <v>12.88</v>
      </c>
    </row>
    <row r="242" spans="1:9" hidden="1">
      <c r="A242" s="87"/>
      <c r="B242" s="82"/>
      <c r="C242" s="90" t="s">
        <v>383</v>
      </c>
      <c r="D242" s="84"/>
      <c r="E242" s="85"/>
      <c r="F242" s="84"/>
      <c r="G242" s="108"/>
      <c r="H242" s="105"/>
      <c r="I242" s="100">
        <f>SUM(I238:I241)</f>
        <v>191.64</v>
      </c>
    </row>
    <row r="243" spans="1:9" ht="33.75" hidden="1">
      <c r="A243" s="81" t="s">
        <v>1420</v>
      </c>
      <c r="B243" s="87">
        <v>39</v>
      </c>
      <c r="C243" s="83" t="s">
        <v>901</v>
      </c>
      <c r="D243" s="88"/>
      <c r="E243" s="89"/>
      <c r="F243" s="88"/>
      <c r="G243" s="89"/>
      <c r="H243" s="83"/>
      <c r="I243" s="83"/>
    </row>
    <row r="244" spans="1:9" hidden="1">
      <c r="A244" s="87"/>
      <c r="B244" s="82"/>
      <c r="C244" s="107" t="s">
        <v>401</v>
      </c>
      <c r="D244" s="93"/>
      <c r="E244" s="97"/>
      <c r="F244" s="95"/>
      <c r="G244" s="97"/>
      <c r="H244" s="81"/>
      <c r="I244" s="100"/>
    </row>
    <row r="245" spans="1:9" hidden="1">
      <c r="A245" s="87"/>
      <c r="B245" s="82"/>
      <c r="C245" s="92" t="s">
        <v>1270</v>
      </c>
      <c r="D245" s="106">
        <v>0.1</v>
      </c>
      <c r="E245" s="94" t="s">
        <v>27</v>
      </c>
      <c r="F245" s="95">
        <v>1</v>
      </c>
      <c r="G245" s="94" t="s">
        <v>27</v>
      </c>
      <c r="H245" s="81">
        <f>'MINI SSR 2025-26'!$H$5</f>
        <v>615</v>
      </c>
      <c r="I245" s="91">
        <f>ROUND(((D245*H245)/F245),2)</f>
        <v>61.5</v>
      </c>
    </row>
    <row r="246" spans="1:9" hidden="1">
      <c r="A246" s="87"/>
      <c r="B246" s="82"/>
      <c r="C246" s="83" t="s">
        <v>402</v>
      </c>
      <c r="D246" s="93"/>
      <c r="E246" s="94"/>
      <c r="F246" s="95"/>
      <c r="G246" s="94"/>
      <c r="H246" s="81"/>
      <c r="I246" s="100"/>
    </row>
    <row r="247" spans="1:9" ht="22.5" hidden="1">
      <c r="A247" s="87"/>
      <c r="B247" s="82"/>
      <c r="C247" s="102" t="s">
        <v>902</v>
      </c>
      <c r="D247" s="93">
        <v>1</v>
      </c>
      <c r="E247" s="97" t="s">
        <v>114</v>
      </c>
      <c r="F247" s="95">
        <v>1</v>
      </c>
      <c r="G247" s="97" t="s">
        <v>114</v>
      </c>
      <c r="H247" s="81">
        <f>'MINI SSR 2025-26'!G119</f>
        <v>119</v>
      </c>
      <c r="I247" s="91">
        <f>ROUND(((D247*H247)/F247),2)</f>
        <v>119</v>
      </c>
    </row>
    <row r="248" spans="1:9" hidden="1">
      <c r="A248" s="604"/>
      <c r="B248" s="600"/>
      <c r="C248" s="713" t="s">
        <v>383</v>
      </c>
      <c r="D248" s="714"/>
      <c r="E248" s="715"/>
      <c r="F248" s="714"/>
      <c r="G248" s="716"/>
      <c r="H248" s="605"/>
      <c r="I248" s="603">
        <f>SUM(I245:I247)</f>
        <v>180.5</v>
      </c>
    </row>
    <row r="249" spans="1:9" s="861" customFormat="1" ht="22.5">
      <c r="A249" s="855" t="s">
        <v>1422</v>
      </c>
      <c r="B249" s="880">
        <v>14</v>
      </c>
      <c r="C249" s="857" t="s">
        <v>1421</v>
      </c>
      <c r="D249" s="858"/>
      <c r="E249" s="859"/>
      <c r="F249" s="858"/>
      <c r="G249" s="859"/>
      <c r="H249" s="860"/>
      <c r="I249" s="860"/>
    </row>
    <row r="250" spans="1:9" s="861" customFormat="1">
      <c r="A250" s="879"/>
      <c r="B250" s="880"/>
      <c r="C250" s="871" t="s">
        <v>1327</v>
      </c>
      <c r="D250" s="872">
        <v>1</v>
      </c>
      <c r="E250" s="873" t="s">
        <v>319</v>
      </c>
      <c r="F250" s="874">
        <v>1</v>
      </c>
      <c r="G250" s="873" t="s">
        <v>319</v>
      </c>
      <c r="H250" s="855">
        <f>'MINI SSR 2025-26'!G120</f>
        <v>42</v>
      </c>
      <c r="I250" s="870">
        <f t="shared" ref="I250:I252" si="27">ROUND(((D250*H250)/F250),2)</f>
        <v>42</v>
      </c>
    </row>
    <row r="251" spans="1:9" s="861" customFormat="1">
      <c r="A251" s="862"/>
      <c r="B251" s="856"/>
      <c r="C251" s="871" t="s">
        <v>1423</v>
      </c>
      <c r="D251" s="891">
        <v>0.16600000000000001</v>
      </c>
      <c r="E251" s="873" t="s">
        <v>27</v>
      </c>
      <c r="F251" s="874">
        <v>1</v>
      </c>
      <c r="G251" s="873" t="s">
        <v>27</v>
      </c>
      <c r="H251" s="855">
        <f>'MINI SSR 2025-26'!H3</f>
        <v>735</v>
      </c>
      <c r="I251" s="870">
        <f t="shared" si="27"/>
        <v>122.01</v>
      </c>
    </row>
    <row r="252" spans="1:9" s="861" customFormat="1">
      <c r="A252" s="862"/>
      <c r="B252" s="856"/>
      <c r="C252" s="871" t="s">
        <v>1424</v>
      </c>
      <c r="D252" s="891">
        <v>0.16600000000000001</v>
      </c>
      <c r="E252" s="873" t="s">
        <v>27</v>
      </c>
      <c r="F252" s="874">
        <v>1</v>
      </c>
      <c r="G252" s="873" t="s">
        <v>27</v>
      </c>
      <c r="H252" s="855">
        <f>'MINI SSR 2025-26'!H5</f>
        <v>615</v>
      </c>
      <c r="I252" s="870">
        <f t="shared" si="27"/>
        <v>102.09</v>
      </c>
    </row>
    <row r="253" spans="1:9" s="861" customFormat="1">
      <c r="A253" s="862"/>
      <c r="B253" s="856"/>
      <c r="C253" s="871"/>
      <c r="D253" s="891"/>
      <c r="E253" s="873"/>
      <c r="F253" s="874"/>
      <c r="G253" s="873"/>
      <c r="H253" s="855"/>
      <c r="I253" s="870">
        <f>SUM(I250:I252)</f>
        <v>266.10000000000002</v>
      </c>
    </row>
    <row r="254" spans="1:9" s="861" customFormat="1">
      <c r="A254" s="862"/>
      <c r="B254" s="856"/>
      <c r="C254" s="883" t="s">
        <v>2213</v>
      </c>
      <c r="D254" s="872"/>
      <c r="E254" s="873"/>
      <c r="F254" s="874"/>
      <c r="G254" s="873"/>
      <c r="H254" s="885"/>
      <c r="I254" s="870">
        <f>ROUND(I253*$J$1,2)</f>
        <v>36.229999999999997</v>
      </c>
    </row>
    <row r="255" spans="1:9" s="861" customFormat="1">
      <c r="A255" s="879"/>
      <c r="B255" s="880"/>
      <c r="C255" s="875"/>
      <c r="D255" s="872"/>
      <c r="E255" s="873"/>
      <c r="F255" s="874"/>
      <c r="G255" s="873"/>
      <c r="H255" s="855"/>
      <c r="I255" s="870">
        <f>SUM(I253:I254)</f>
        <v>302.33000000000004</v>
      </c>
    </row>
    <row r="256" spans="1:9" s="861" customFormat="1" ht="56.25">
      <c r="A256" s="886" t="s">
        <v>719</v>
      </c>
      <c r="B256" s="862">
        <v>15</v>
      </c>
      <c r="C256" s="857" t="s">
        <v>404</v>
      </c>
      <c r="D256" s="863"/>
      <c r="E256" s="864"/>
      <c r="F256" s="863"/>
      <c r="G256" s="864"/>
      <c r="H256" s="857"/>
      <c r="I256" s="857"/>
    </row>
    <row r="257" spans="1:9" s="861" customFormat="1">
      <c r="A257" s="862"/>
      <c r="B257" s="856"/>
      <c r="C257" s="857" t="s">
        <v>401</v>
      </c>
      <c r="D257" s="872"/>
      <c r="E257" s="876"/>
      <c r="F257" s="874"/>
      <c r="G257" s="876"/>
      <c r="H257" s="855"/>
      <c r="I257" s="887"/>
    </row>
    <row r="258" spans="1:9" s="861" customFormat="1">
      <c r="A258" s="862"/>
      <c r="B258" s="856"/>
      <c r="C258" s="871" t="s">
        <v>690</v>
      </c>
      <c r="D258" s="872">
        <v>0.1</v>
      </c>
      <c r="E258" s="873" t="s">
        <v>27</v>
      </c>
      <c r="F258" s="874">
        <v>1</v>
      </c>
      <c r="G258" s="873" t="s">
        <v>27</v>
      </c>
      <c r="H258" s="855">
        <f>'MINI SSR 2025-26'!$H$16</f>
        <v>815</v>
      </c>
      <c r="I258" s="870">
        <f t="shared" ref="I258:I259" si="28">ROUND(((D258*H258)/F258),2)</f>
        <v>81.5</v>
      </c>
    </row>
    <row r="259" spans="1:9" s="861" customFormat="1">
      <c r="A259" s="862"/>
      <c r="B259" s="856"/>
      <c r="C259" s="871" t="s">
        <v>840</v>
      </c>
      <c r="D259" s="872">
        <v>0.1</v>
      </c>
      <c r="E259" s="873" t="s">
        <v>27</v>
      </c>
      <c r="F259" s="874">
        <v>1</v>
      </c>
      <c r="G259" s="873" t="s">
        <v>27</v>
      </c>
      <c r="H259" s="855">
        <f>'MINI SSR 2025-26'!$H$17</f>
        <v>665</v>
      </c>
      <c r="I259" s="870">
        <f t="shared" si="28"/>
        <v>66.5</v>
      </c>
    </row>
    <row r="260" spans="1:9" s="861" customFormat="1">
      <c r="A260" s="862"/>
      <c r="B260" s="856"/>
      <c r="C260" s="857" t="s">
        <v>321</v>
      </c>
      <c r="D260" s="872"/>
      <c r="E260" s="873"/>
      <c r="F260" s="874"/>
      <c r="G260" s="873"/>
      <c r="H260" s="855"/>
      <c r="I260" s="887"/>
    </row>
    <row r="261" spans="1:9" s="861" customFormat="1">
      <c r="A261" s="862"/>
      <c r="B261" s="856"/>
      <c r="C261" s="888" t="s">
        <v>2146</v>
      </c>
      <c r="D261" s="872">
        <v>1</v>
      </c>
      <c r="E261" s="876" t="s">
        <v>380</v>
      </c>
      <c r="F261" s="874">
        <v>100</v>
      </c>
      <c r="G261" s="876" t="s">
        <v>388</v>
      </c>
      <c r="H261" s="855">
        <f>'MINI SSR 2025-26'!G116</f>
        <v>1288</v>
      </c>
      <c r="I261" s="870">
        <f t="shared" ref="I261:I262" si="29">ROUND(((D261*H261)/F261),2)</f>
        <v>12.88</v>
      </c>
    </row>
    <row r="262" spans="1:9" s="861" customFormat="1">
      <c r="A262" s="862"/>
      <c r="B262" s="856"/>
      <c r="C262" s="888" t="s">
        <v>1769</v>
      </c>
      <c r="D262" s="889">
        <v>1</v>
      </c>
      <c r="E262" s="876" t="s">
        <v>114</v>
      </c>
      <c r="F262" s="874">
        <v>1</v>
      </c>
      <c r="G262" s="876" t="s">
        <v>114</v>
      </c>
      <c r="H262" s="855">
        <f>'MINI SSR 2025-26'!G121</f>
        <v>248</v>
      </c>
      <c r="I262" s="870">
        <f t="shared" si="29"/>
        <v>248</v>
      </c>
    </row>
    <row r="263" spans="1:9" s="861" customFormat="1">
      <c r="A263" s="862"/>
      <c r="B263" s="856"/>
      <c r="C263" s="888"/>
      <c r="D263" s="889"/>
      <c r="E263" s="876"/>
      <c r="F263" s="874"/>
      <c r="G263" s="876"/>
      <c r="H263" s="855"/>
      <c r="I263" s="870">
        <f>SUM(I258:I262)</f>
        <v>408.88</v>
      </c>
    </row>
    <row r="264" spans="1:9" s="861" customFormat="1">
      <c r="A264" s="862"/>
      <c r="B264" s="856"/>
      <c r="C264" s="883" t="s">
        <v>2213</v>
      </c>
      <c r="D264" s="872"/>
      <c r="E264" s="873"/>
      <c r="F264" s="874"/>
      <c r="G264" s="873"/>
      <c r="H264" s="885"/>
      <c r="I264" s="870">
        <f>ROUND(I263*$J$1,2)</f>
        <v>55.67</v>
      </c>
    </row>
    <row r="265" spans="1:9" s="861" customFormat="1">
      <c r="A265" s="862"/>
      <c r="B265" s="856"/>
      <c r="C265" s="857" t="s">
        <v>398</v>
      </c>
      <c r="D265" s="872"/>
      <c r="E265" s="864"/>
      <c r="F265" s="874"/>
      <c r="G265" s="876"/>
      <c r="H265" s="855"/>
      <c r="I265" s="887">
        <f>SUM(I263:I264)</f>
        <v>464.55</v>
      </c>
    </row>
    <row r="266" spans="1:9" s="861" customFormat="1">
      <c r="A266" s="879"/>
      <c r="B266" s="880"/>
      <c r="C266" s="879"/>
      <c r="D266" s="899"/>
      <c r="E266" s="900"/>
      <c r="F266" s="899"/>
      <c r="G266" s="900"/>
      <c r="H266" s="879"/>
      <c r="I266" s="879"/>
    </row>
    <row r="267" spans="1:9" s="861" customFormat="1" ht="67.5">
      <c r="A267" s="886" t="s">
        <v>720</v>
      </c>
      <c r="B267" s="862">
        <v>16</v>
      </c>
      <c r="C267" s="857" t="s">
        <v>689</v>
      </c>
      <c r="D267" s="863"/>
      <c r="E267" s="864"/>
      <c r="F267" s="863"/>
      <c r="G267" s="864"/>
      <c r="H267" s="857"/>
      <c r="I267" s="857"/>
    </row>
    <row r="268" spans="1:9" s="861" customFormat="1">
      <c r="A268" s="862"/>
      <c r="B268" s="856"/>
      <c r="C268" s="857" t="s">
        <v>401</v>
      </c>
      <c r="D268" s="872"/>
      <c r="E268" s="876"/>
      <c r="F268" s="874"/>
      <c r="G268" s="876"/>
      <c r="H268" s="855"/>
      <c r="I268" s="887"/>
    </row>
    <row r="269" spans="1:9" s="861" customFormat="1">
      <c r="A269" s="862"/>
      <c r="B269" s="856"/>
      <c r="C269" s="871" t="s">
        <v>690</v>
      </c>
      <c r="D269" s="872">
        <v>0.5</v>
      </c>
      <c r="E269" s="873" t="s">
        <v>27</v>
      </c>
      <c r="F269" s="874">
        <v>1</v>
      </c>
      <c r="G269" s="873" t="s">
        <v>27</v>
      </c>
      <c r="H269" s="855">
        <f>'MINI SSR 2025-26'!$H$16</f>
        <v>815</v>
      </c>
      <c r="I269" s="870">
        <f t="shared" ref="I269:I271" si="30">ROUND(((D269*H269)/F269),2)</f>
        <v>407.5</v>
      </c>
    </row>
    <row r="270" spans="1:9" s="861" customFormat="1">
      <c r="A270" s="862"/>
      <c r="B270" s="856"/>
      <c r="C270" s="871" t="s">
        <v>220</v>
      </c>
      <c r="D270" s="872">
        <v>0.5</v>
      </c>
      <c r="E270" s="873" t="s">
        <v>27</v>
      </c>
      <c r="F270" s="874">
        <v>1</v>
      </c>
      <c r="G270" s="873" t="s">
        <v>27</v>
      </c>
      <c r="H270" s="855">
        <f>'MINI SSR 2025-26'!$H$17</f>
        <v>665</v>
      </c>
      <c r="I270" s="870">
        <f t="shared" si="30"/>
        <v>332.5</v>
      </c>
    </row>
    <row r="271" spans="1:9" s="861" customFormat="1">
      <c r="A271" s="862"/>
      <c r="B271" s="856"/>
      <c r="C271" s="871" t="s">
        <v>691</v>
      </c>
      <c r="D271" s="872">
        <v>1</v>
      </c>
      <c r="E271" s="873" t="s">
        <v>27</v>
      </c>
      <c r="F271" s="874">
        <v>1</v>
      </c>
      <c r="G271" s="873" t="s">
        <v>27</v>
      </c>
      <c r="H271" s="855">
        <f>'MINI SSR 2025-26'!$H$5</f>
        <v>615</v>
      </c>
      <c r="I271" s="870">
        <f t="shared" si="30"/>
        <v>615</v>
      </c>
    </row>
    <row r="272" spans="1:9" s="861" customFormat="1">
      <c r="A272" s="862"/>
      <c r="B272" s="856"/>
      <c r="C272" s="857" t="s">
        <v>321</v>
      </c>
      <c r="D272" s="872"/>
      <c r="E272" s="873"/>
      <c r="F272" s="874"/>
      <c r="G272" s="873"/>
      <c r="H272" s="855"/>
      <c r="I272" s="887"/>
    </row>
    <row r="273" spans="1:9" s="861" customFormat="1" ht="22.5">
      <c r="A273" s="862"/>
      <c r="B273" s="862"/>
      <c r="C273" s="857" t="s">
        <v>692</v>
      </c>
      <c r="D273" s="901">
        <v>1</v>
      </c>
      <c r="E273" s="864" t="s">
        <v>319</v>
      </c>
      <c r="F273" s="901">
        <v>1</v>
      </c>
      <c r="G273" s="864" t="s">
        <v>114</v>
      </c>
      <c r="H273" s="886">
        <f>'MINI SSR 2025-26'!G122</f>
        <v>1105</v>
      </c>
      <c r="I273" s="870">
        <f t="shared" ref="I273:I275" si="31">ROUND(((D273*H273)/F273),2)</f>
        <v>1105</v>
      </c>
    </row>
    <row r="274" spans="1:9" s="861" customFormat="1">
      <c r="A274" s="862"/>
      <c r="B274" s="856"/>
      <c r="C274" s="888" t="s">
        <v>693</v>
      </c>
      <c r="D274" s="889">
        <v>1</v>
      </c>
      <c r="E274" s="876" t="s">
        <v>319</v>
      </c>
      <c r="F274" s="874">
        <v>1</v>
      </c>
      <c r="G274" s="876" t="s">
        <v>114</v>
      </c>
      <c r="H274" s="886">
        <f>'MINI SSR 2025-26'!G123</f>
        <v>432</v>
      </c>
      <c r="I274" s="870">
        <f t="shared" si="31"/>
        <v>432</v>
      </c>
    </row>
    <row r="275" spans="1:9" s="861" customFormat="1">
      <c r="A275" s="862"/>
      <c r="B275" s="856"/>
      <c r="C275" s="888" t="s">
        <v>694</v>
      </c>
      <c r="D275" s="889">
        <v>4</v>
      </c>
      <c r="E275" s="876" t="s">
        <v>319</v>
      </c>
      <c r="F275" s="874">
        <v>1</v>
      </c>
      <c r="G275" s="876" t="s">
        <v>114</v>
      </c>
      <c r="H275" s="886">
        <f>'MINI SSR 2025-26'!G124</f>
        <v>228</v>
      </c>
      <c r="I275" s="870">
        <f t="shared" si="31"/>
        <v>912</v>
      </c>
    </row>
    <row r="276" spans="1:9" s="861" customFormat="1">
      <c r="A276" s="862"/>
      <c r="B276" s="856"/>
      <c r="C276" s="888"/>
      <c r="D276" s="889"/>
      <c r="E276" s="876"/>
      <c r="F276" s="874"/>
      <c r="G276" s="876"/>
      <c r="H276" s="886"/>
      <c r="I276" s="870">
        <f>SUM(I269:I275)</f>
        <v>3804</v>
      </c>
    </row>
    <row r="277" spans="1:9" s="861" customFormat="1">
      <c r="A277" s="862"/>
      <c r="B277" s="856"/>
      <c r="C277" s="883" t="s">
        <v>2213</v>
      </c>
      <c r="D277" s="872"/>
      <c r="E277" s="873"/>
      <c r="F277" s="874"/>
      <c r="G277" s="873"/>
      <c r="H277" s="885"/>
      <c r="I277" s="870">
        <f>ROUND(I276*$J$1,2)</f>
        <v>517.91</v>
      </c>
    </row>
    <row r="278" spans="1:9" s="861" customFormat="1">
      <c r="A278" s="862"/>
      <c r="B278" s="902"/>
      <c r="C278" s="865" t="s">
        <v>383</v>
      </c>
      <c r="D278" s="903"/>
      <c r="E278" s="904"/>
      <c r="F278" s="877"/>
      <c r="G278" s="893"/>
      <c r="H278" s="894"/>
      <c r="I278" s="905">
        <f>SUM(I276:I277)</f>
        <v>4321.91</v>
      </c>
    </row>
    <row r="279" spans="1:9" s="861" customFormat="1" ht="45">
      <c r="A279" s="886"/>
      <c r="B279" s="862">
        <v>17</v>
      </c>
      <c r="C279" s="857" t="s">
        <v>889</v>
      </c>
      <c r="D279" s="863"/>
      <c r="E279" s="864"/>
      <c r="F279" s="863"/>
      <c r="G279" s="864"/>
      <c r="H279" s="857"/>
      <c r="I279" s="857"/>
    </row>
    <row r="280" spans="1:9" s="861" customFormat="1">
      <c r="A280" s="862"/>
      <c r="B280" s="856"/>
      <c r="C280" s="857" t="s">
        <v>321</v>
      </c>
      <c r="D280" s="872"/>
      <c r="E280" s="873"/>
      <c r="F280" s="874"/>
      <c r="G280" s="873"/>
      <c r="H280" s="855"/>
      <c r="I280" s="887"/>
    </row>
    <row r="281" spans="1:9" s="861" customFormat="1">
      <c r="A281" s="862"/>
      <c r="B281" s="862"/>
      <c r="C281" s="857" t="s">
        <v>890</v>
      </c>
      <c r="D281" s="901">
        <v>2</v>
      </c>
      <c r="E281" s="864" t="s">
        <v>319</v>
      </c>
      <c r="F281" s="901">
        <v>1</v>
      </c>
      <c r="G281" s="864" t="s">
        <v>114</v>
      </c>
      <c r="H281" s="886">
        <f>'MINI SSR 2025-26'!G125</f>
        <v>161</v>
      </c>
      <c r="I281" s="870">
        <f t="shared" ref="I281:I283" si="32">ROUND(((D281*H281)/F281),2)</f>
        <v>322</v>
      </c>
    </row>
    <row r="282" spans="1:9" s="861" customFormat="1">
      <c r="A282" s="862"/>
      <c r="B282" s="856"/>
      <c r="C282" s="888" t="s">
        <v>2113</v>
      </c>
      <c r="D282" s="889">
        <v>4</v>
      </c>
      <c r="E282" s="876" t="s">
        <v>274</v>
      </c>
      <c r="F282" s="874">
        <v>100</v>
      </c>
      <c r="G282" s="876" t="s">
        <v>274</v>
      </c>
      <c r="H282" s="855">
        <f>'MINI SSR 2025-26'!C131</f>
        <v>1816</v>
      </c>
      <c r="I282" s="870">
        <f t="shared" si="32"/>
        <v>72.64</v>
      </c>
    </row>
    <row r="283" spans="1:9" s="861" customFormat="1">
      <c r="A283" s="862"/>
      <c r="B283" s="856"/>
      <c r="C283" s="888" t="s">
        <v>891</v>
      </c>
      <c r="D283" s="889">
        <v>1</v>
      </c>
      <c r="E283" s="876" t="s">
        <v>319</v>
      </c>
      <c r="F283" s="874">
        <v>1</v>
      </c>
      <c r="G283" s="876" t="s">
        <v>114</v>
      </c>
      <c r="H283" s="855">
        <f>'MINI SSR 2025-26'!G127</f>
        <v>246</v>
      </c>
      <c r="I283" s="870">
        <f t="shared" si="32"/>
        <v>246</v>
      </c>
    </row>
    <row r="284" spans="1:9" s="861" customFormat="1">
      <c r="A284" s="862"/>
      <c r="B284" s="856"/>
      <c r="C284" s="857" t="s">
        <v>401</v>
      </c>
      <c r="D284" s="872"/>
      <c r="E284" s="876"/>
      <c r="F284" s="874"/>
      <c r="G284" s="876"/>
      <c r="H284" s="855"/>
      <c r="I284" s="887"/>
    </row>
    <row r="285" spans="1:9" s="861" customFormat="1">
      <c r="A285" s="862"/>
      <c r="B285" s="856"/>
      <c r="C285" s="871" t="s">
        <v>690</v>
      </c>
      <c r="D285" s="872">
        <v>0.2</v>
      </c>
      <c r="E285" s="873" t="s">
        <v>27</v>
      </c>
      <c r="F285" s="874">
        <v>1</v>
      </c>
      <c r="G285" s="873" t="s">
        <v>27</v>
      </c>
      <c r="H285" s="855">
        <f>'MINI SSR 2025-26'!$H$16</f>
        <v>815</v>
      </c>
      <c r="I285" s="870">
        <f t="shared" ref="I285:I287" si="33">ROUND(((D285*H285)/F285),2)</f>
        <v>163</v>
      </c>
    </row>
    <row r="286" spans="1:9" s="861" customFormat="1">
      <c r="A286" s="862"/>
      <c r="B286" s="856"/>
      <c r="C286" s="871" t="s">
        <v>220</v>
      </c>
      <c r="D286" s="872">
        <v>0.2</v>
      </c>
      <c r="E286" s="873" t="s">
        <v>27</v>
      </c>
      <c r="F286" s="874">
        <v>1</v>
      </c>
      <c r="G286" s="873" t="s">
        <v>27</v>
      </c>
      <c r="H286" s="855">
        <f>'MINI SSR 2025-26'!$H$17</f>
        <v>665</v>
      </c>
      <c r="I286" s="870">
        <f t="shared" si="33"/>
        <v>133</v>
      </c>
    </row>
    <row r="287" spans="1:9" s="861" customFormat="1">
      <c r="A287" s="862"/>
      <c r="B287" s="856"/>
      <c r="C287" s="871" t="s">
        <v>691</v>
      </c>
      <c r="D287" s="872">
        <v>0.2</v>
      </c>
      <c r="E287" s="873" t="s">
        <v>27</v>
      </c>
      <c r="F287" s="874">
        <v>1</v>
      </c>
      <c r="G287" s="873" t="s">
        <v>27</v>
      </c>
      <c r="H287" s="855">
        <f>'MINI SSR 2025-26'!$H$5</f>
        <v>615</v>
      </c>
      <c r="I287" s="870">
        <f t="shared" si="33"/>
        <v>123</v>
      </c>
    </row>
    <row r="288" spans="1:9" s="861" customFormat="1">
      <c r="A288" s="862"/>
      <c r="B288" s="856"/>
      <c r="C288" s="871"/>
      <c r="D288" s="872"/>
      <c r="E288" s="873"/>
      <c r="F288" s="874"/>
      <c r="G288" s="873"/>
      <c r="H288" s="855"/>
      <c r="I288" s="870">
        <f>SUM(I281:I287)</f>
        <v>1059.6399999999999</v>
      </c>
    </row>
    <row r="289" spans="1:9" s="861" customFormat="1">
      <c r="A289" s="862"/>
      <c r="B289" s="856"/>
      <c r="C289" s="883" t="s">
        <v>2213</v>
      </c>
      <c r="D289" s="872"/>
      <c r="E289" s="873"/>
      <c r="F289" s="874"/>
      <c r="G289" s="873"/>
      <c r="H289" s="885"/>
      <c r="I289" s="870">
        <f>ROUND(I288*$J$1,2)</f>
        <v>144.27000000000001</v>
      </c>
    </row>
    <row r="290" spans="1:9" s="861" customFormat="1">
      <c r="A290" s="862"/>
      <c r="B290" s="902"/>
      <c r="C290" s="865" t="s">
        <v>383</v>
      </c>
      <c r="D290" s="903"/>
      <c r="E290" s="904"/>
      <c r="F290" s="877"/>
      <c r="G290" s="893"/>
      <c r="H290" s="894"/>
      <c r="I290" s="905">
        <f>SUM(I288:I289)</f>
        <v>1203.9099999999999</v>
      </c>
    </row>
    <row r="291" spans="1:9" ht="78.75" hidden="1">
      <c r="A291" s="723" t="s">
        <v>721</v>
      </c>
      <c r="B291" s="727">
        <v>14</v>
      </c>
      <c r="C291" s="719" t="s">
        <v>405</v>
      </c>
      <c r="D291" s="725"/>
      <c r="E291" s="726"/>
      <c r="F291" s="725"/>
      <c r="G291" s="726"/>
      <c r="H291" s="719"/>
      <c r="I291" s="719"/>
    </row>
    <row r="292" spans="1:9" hidden="1">
      <c r="A292" s="370"/>
      <c r="B292" s="370"/>
      <c r="C292" s="649" t="s">
        <v>406</v>
      </c>
      <c r="D292" s="650"/>
      <c r="E292" s="651"/>
      <c r="F292" s="637"/>
      <c r="G292" s="651"/>
      <c r="H292" s="628"/>
      <c r="I292" s="631"/>
    </row>
    <row r="293" spans="1:9" hidden="1">
      <c r="A293" s="370"/>
      <c r="B293" s="370"/>
      <c r="C293" s="627" t="s">
        <v>840</v>
      </c>
      <c r="D293" s="635">
        <v>0.5</v>
      </c>
      <c r="E293" s="642" t="s">
        <v>319</v>
      </c>
      <c r="F293" s="637">
        <v>1</v>
      </c>
      <c r="G293" s="642" t="s">
        <v>114</v>
      </c>
      <c r="H293" s="628">
        <f>'MINI SSR 2025-26'!$H$17</f>
        <v>665</v>
      </c>
      <c r="I293" s="629">
        <f t="shared" ref="I293:I294" si="34">ROUND(((D293*H293)/F293),2)</f>
        <v>332.5</v>
      </c>
    </row>
    <row r="294" spans="1:9" hidden="1">
      <c r="A294" s="370"/>
      <c r="B294" s="370"/>
      <c r="C294" s="627" t="s">
        <v>1270</v>
      </c>
      <c r="D294" s="635">
        <v>0.5</v>
      </c>
      <c r="E294" s="636" t="s">
        <v>27</v>
      </c>
      <c r="F294" s="637">
        <v>1</v>
      </c>
      <c r="G294" s="636" t="s">
        <v>27</v>
      </c>
      <c r="H294" s="628">
        <f>'MINI SSR 2025-26'!$H$5</f>
        <v>615</v>
      </c>
      <c r="I294" s="629">
        <f t="shared" si="34"/>
        <v>307.5</v>
      </c>
    </row>
    <row r="295" spans="1:9" hidden="1">
      <c r="A295" s="370"/>
      <c r="B295" s="370"/>
      <c r="C295" s="362" t="s">
        <v>106</v>
      </c>
      <c r="D295" s="635"/>
      <c r="E295" s="642"/>
      <c r="F295" s="637"/>
      <c r="G295" s="642"/>
      <c r="H295" s="628"/>
      <c r="I295" s="631"/>
    </row>
    <row r="296" spans="1:9" hidden="1">
      <c r="A296" s="370"/>
      <c r="B296" s="370"/>
      <c r="C296" s="627" t="s">
        <v>722</v>
      </c>
      <c r="D296" s="635">
        <v>2.5</v>
      </c>
      <c r="E296" s="651" t="s">
        <v>380</v>
      </c>
      <c r="F296" s="637">
        <v>1</v>
      </c>
      <c r="G296" s="651" t="s">
        <v>380</v>
      </c>
      <c r="H296" s="628">
        <f>'MINI SSR 2025-26'!G128</f>
        <v>455</v>
      </c>
      <c r="I296" s="629">
        <f t="shared" ref="I296:I306" si="35">ROUND(((D296*H296)/F296),2)</f>
        <v>1137.5</v>
      </c>
    </row>
    <row r="297" spans="1:9" hidden="1">
      <c r="A297" s="370"/>
      <c r="B297" s="370"/>
      <c r="C297" s="362" t="s">
        <v>723</v>
      </c>
      <c r="D297" s="635">
        <v>0.24</v>
      </c>
      <c r="E297" s="651" t="s">
        <v>139</v>
      </c>
      <c r="F297" s="637">
        <v>1</v>
      </c>
      <c r="G297" s="651" t="s">
        <v>4</v>
      </c>
      <c r="H297" s="628">
        <f>'MINI SSR 2025-26'!G129</f>
        <v>94</v>
      </c>
      <c r="I297" s="629">
        <f t="shared" si="35"/>
        <v>22.56</v>
      </c>
    </row>
    <row r="298" spans="1:9" hidden="1">
      <c r="A298" s="370"/>
      <c r="B298" s="370"/>
      <c r="C298" s="362" t="s">
        <v>724</v>
      </c>
      <c r="D298" s="635">
        <v>0.83</v>
      </c>
      <c r="E298" s="651" t="s">
        <v>139</v>
      </c>
      <c r="F298" s="637">
        <v>1</v>
      </c>
      <c r="G298" s="651" t="s">
        <v>90</v>
      </c>
      <c r="H298" s="628">
        <f>'MINI SSR 2025-26'!G130</f>
        <v>94</v>
      </c>
      <c r="I298" s="629">
        <f t="shared" si="35"/>
        <v>78.02</v>
      </c>
    </row>
    <row r="299" spans="1:9" hidden="1">
      <c r="A299" s="370"/>
      <c r="B299" s="370"/>
      <c r="C299" s="627" t="s">
        <v>725</v>
      </c>
      <c r="D299" s="635">
        <v>16</v>
      </c>
      <c r="E299" s="651" t="s">
        <v>319</v>
      </c>
      <c r="F299" s="637">
        <v>1</v>
      </c>
      <c r="G299" s="642" t="s">
        <v>114</v>
      </c>
      <c r="H299" s="628">
        <f>'MINI SSR 2025-26'!G131</f>
        <v>9</v>
      </c>
      <c r="I299" s="629">
        <f t="shared" si="35"/>
        <v>144</v>
      </c>
    </row>
    <row r="300" spans="1:9" hidden="1">
      <c r="A300" s="370"/>
      <c r="B300" s="370"/>
      <c r="C300" s="627" t="s">
        <v>726</v>
      </c>
      <c r="D300" s="635">
        <v>2</v>
      </c>
      <c r="E300" s="651" t="s">
        <v>407</v>
      </c>
      <c r="F300" s="637">
        <v>1</v>
      </c>
      <c r="G300" s="651" t="s">
        <v>408</v>
      </c>
      <c r="H300" s="628">
        <f>'MINI SSR 2025-26'!G132</f>
        <v>15</v>
      </c>
      <c r="I300" s="629">
        <f t="shared" si="35"/>
        <v>30</v>
      </c>
    </row>
    <row r="301" spans="1:9" hidden="1">
      <c r="A301" s="370"/>
      <c r="B301" s="370"/>
      <c r="C301" s="627" t="s">
        <v>727</v>
      </c>
      <c r="D301" s="635">
        <v>1</v>
      </c>
      <c r="E301" s="642" t="s">
        <v>114</v>
      </c>
      <c r="F301" s="637">
        <v>1</v>
      </c>
      <c r="G301" s="642" t="s">
        <v>114</v>
      </c>
      <c r="H301" s="628">
        <f>'MINI SSR 2025-26'!G133</f>
        <v>390</v>
      </c>
      <c r="I301" s="629">
        <f t="shared" si="35"/>
        <v>390</v>
      </c>
    </row>
    <row r="302" spans="1:9" hidden="1">
      <c r="A302" s="370"/>
      <c r="B302" s="370"/>
      <c r="C302" s="627" t="s">
        <v>728</v>
      </c>
      <c r="D302" s="635">
        <v>1</v>
      </c>
      <c r="E302" s="651" t="s">
        <v>114</v>
      </c>
      <c r="F302" s="637">
        <v>1</v>
      </c>
      <c r="G302" s="651" t="s">
        <v>114</v>
      </c>
      <c r="H302" s="628">
        <f>'MINI SSR 2025-26'!G134</f>
        <v>250</v>
      </c>
      <c r="I302" s="629">
        <f t="shared" si="35"/>
        <v>250</v>
      </c>
    </row>
    <row r="303" spans="1:9" hidden="1">
      <c r="A303" s="370"/>
      <c r="B303" s="370"/>
      <c r="C303" s="627" t="s">
        <v>729</v>
      </c>
      <c r="D303" s="635">
        <v>40</v>
      </c>
      <c r="E303" s="651" t="s">
        <v>4</v>
      </c>
      <c r="F303" s="637">
        <v>1</v>
      </c>
      <c r="G303" s="651" t="s">
        <v>4</v>
      </c>
      <c r="H303" s="628">
        <f>'MINI SSR 2025-26'!G135</f>
        <v>26</v>
      </c>
      <c r="I303" s="629">
        <f t="shared" si="35"/>
        <v>1040</v>
      </c>
    </row>
    <row r="304" spans="1:9" hidden="1">
      <c r="A304" s="370"/>
      <c r="B304" s="370"/>
      <c r="C304" s="627" t="s">
        <v>730</v>
      </c>
      <c r="D304" s="635">
        <v>20</v>
      </c>
      <c r="E304" s="651" t="s">
        <v>4</v>
      </c>
      <c r="F304" s="637">
        <v>1</v>
      </c>
      <c r="G304" s="651" t="s">
        <v>4</v>
      </c>
      <c r="H304" s="628">
        <f>'MINI SSR 2025-26'!G136</f>
        <v>20</v>
      </c>
      <c r="I304" s="629">
        <f t="shared" si="35"/>
        <v>400</v>
      </c>
    </row>
    <row r="305" spans="1:9" ht="22.5" hidden="1">
      <c r="A305" s="370"/>
      <c r="B305" s="370"/>
      <c r="C305" s="362" t="s">
        <v>731</v>
      </c>
      <c r="D305" s="635">
        <v>0.65</v>
      </c>
      <c r="E305" s="642" t="s">
        <v>35</v>
      </c>
      <c r="F305" s="637">
        <v>1</v>
      </c>
      <c r="G305" s="642" t="s">
        <v>35</v>
      </c>
      <c r="H305" s="628">
        <f>'MINI SSR 2025-26'!G137</f>
        <v>348</v>
      </c>
      <c r="I305" s="629">
        <f t="shared" si="35"/>
        <v>226.2</v>
      </c>
    </row>
    <row r="306" spans="1:9" ht="22.5" hidden="1">
      <c r="A306" s="370"/>
      <c r="B306" s="370"/>
      <c r="C306" s="362" t="s">
        <v>732</v>
      </c>
      <c r="D306" s="635">
        <v>0.65</v>
      </c>
      <c r="E306" s="642" t="s">
        <v>35</v>
      </c>
      <c r="F306" s="637">
        <v>1</v>
      </c>
      <c r="G306" s="642" t="s">
        <v>35</v>
      </c>
      <c r="H306" s="628">
        <f>'MINI SSR 2025-26'!G138</f>
        <v>348</v>
      </c>
      <c r="I306" s="629">
        <f t="shared" si="35"/>
        <v>226.2</v>
      </c>
    </row>
    <row r="307" spans="1:9" ht="22.5" hidden="1">
      <c r="A307" s="370"/>
      <c r="B307" s="370"/>
      <c r="C307" s="362" t="s">
        <v>409</v>
      </c>
      <c r="D307" s="652">
        <v>0.25</v>
      </c>
      <c r="E307" s="651"/>
      <c r="F307" s="637"/>
      <c r="G307" s="651"/>
      <c r="H307" s="628">
        <f>I305+I306</f>
        <v>452.4</v>
      </c>
      <c r="I307" s="631">
        <f>SUM(H307*D307)</f>
        <v>113.1</v>
      </c>
    </row>
    <row r="308" spans="1:9" hidden="1">
      <c r="A308" s="370"/>
      <c r="B308" s="370"/>
      <c r="C308" s="362" t="s">
        <v>398</v>
      </c>
      <c r="D308" s="635"/>
      <c r="E308" s="642"/>
      <c r="F308" s="637"/>
      <c r="G308" s="642"/>
      <c r="H308" s="628"/>
      <c r="I308" s="631">
        <f>SUM(I293:I307)</f>
        <v>4697.58</v>
      </c>
    </row>
    <row r="309" spans="1:9" s="861" customFormat="1" ht="106.5" customHeight="1">
      <c r="A309" s="886"/>
      <c r="B309" s="862">
        <v>18</v>
      </c>
      <c r="C309" s="857" t="s">
        <v>1772</v>
      </c>
      <c r="D309" s="863"/>
      <c r="E309" s="864"/>
      <c r="F309" s="863"/>
      <c r="G309" s="864"/>
      <c r="H309" s="857"/>
      <c r="I309" s="857"/>
    </row>
    <row r="310" spans="1:9" s="861" customFormat="1">
      <c r="A310" s="862"/>
      <c r="B310" s="856"/>
      <c r="C310" s="871" t="s">
        <v>904</v>
      </c>
      <c r="D310" s="872">
        <v>1</v>
      </c>
      <c r="E310" s="873" t="s">
        <v>114</v>
      </c>
      <c r="F310" s="874">
        <v>1</v>
      </c>
      <c r="G310" s="873" t="s">
        <v>114</v>
      </c>
      <c r="H310" s="855">
        <f>'MINI SSR 2025-26'!G139</f>
        <v>4089</v>
      </c>
      <c r="I310" s="870">
        <f>ROUND(((D310*H310)/F310),2)</f>
        <v>4089</v>
      </c>
    </row>
    <row r="311" spans="1:9" s="861" customFormat="1">
      <c r="A311" s="862"/>
      <c r="B311" s="856"/>
      <c r="C311" s="883" t="s">
        <v>2213</v>
      </c>
      <c r="D311" s="872"/>
      <c r="E311" s="873"/>
      <c r="F311" s="874"/>
      <c r="G311" s="873"/>
      <c r="H311" s="885"/>
      <c r="I311" s="870">
        <f>ROUND(I310*$J$1,2)</f>
        <v>556.72</v>
      </c>
    </row>
    <row r="312" spans="1:9" s="861" customFormat="1">
      <c r="A312" s="862"/>
      <c r="B312" s="856"/>
      <c r="C312" s="857" t="s">
        <v>398</v>
      </c>
      <c r="D312" s="872"/>
      <c r="E312" s="864"/>
      <c r="F312" s="874"/>
      <c r="G312" s="876"/>
      <c r="H312" s="855"/>
      <c r="I312" s="887">
        <f>SUM(I310:I311)</f>
        <v>4645.72</v>
      </c>
    </row>
    <row r="316" spans="1:9">
      <c r="C316" s="732" t="str">
        <f>'lead 25-26'!H32</f>
        <v>Deputy Executive Engineer</v>
      </c>
      <c r="G316" s="732" t="str">
        <f>'lead 25-26'!K32</f>
        <v>Assistant  Engineer</v>
      </c>
    </row>
    <row r="317" spans="1:9">
      <c r="C317" s="732" t="str">
        <f>'lead 25-26'!H33</f>
        <v>PRI Sub Division</v>
      </c>
      <c r="G317" s="732" t="str">
        <f>'lead 25-26'!K33</f>
        <v>Mandal Praja parishad</v>
      </c>
    </row>
    <row r="318" spans="1:9">
      <c r="C318" s="732" t="str">
        <f>'lead 25-26'!H34</f>
        <v>Kanigiri</v>
      </c>
      <c r="G318" s="732" t="str">
        <f>'lead 25-26'!K34</f>
        <v>Kanigiri</v>
      </c>
    </row>
  </sheetData>
  <autoFilter ref="A3:I312" xr:uid="{00000000-0009-0000-0000-000008000000}">
    <filterColumn colId="0">
      <colorFilter dxfId="1"/>
    </filterColumn>
    <filterColumn colId="3" showButton="0"/>
    <filterColumn colId="5" showButton="0"/>
  </autoFilter>
  <mergeCells count="5">
    <mergeCell ref="A1:I1"/>
    <mergeCell ref="D2:E2"/>
    <mergeCell ref="F2:G2"/>
    <mergeCell ref="D3:E3"/>
    <mergeCell ref="F3:G3"/>
  </mergeCells>
  <pageMargins left="0.7" right="0.4" top="0.49" bottom="0.27" header="0.3" footer="0.3"/>
  <pageSetup paperSize="9" scale="93" orientation="portrait" verticalDpi="0"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filterMode="1">
    <tabColor rgb="FFFF0000"/>
  </sheetPr>
  <dimension ref="A1:L266"/>
  <sheetViews>
    <sheetView view="pageBreakPreview" zoomScale="130" zoomScaleSheetLayoutView="130" workbookViewId="0">
      <selection activeCell="I1" sqref="I1"/>
    </sheetView>
  </sheetViews>
  <sheetFormatPr defaultRowHeight="12.75"/>
  <cols>
    <col min="1" max="1" width="4.5703125" style="10" customWidth="1"/>
    <col min="2" max="2" width="10.42578125" style="10" customWidth="1"/>
    <col min="3" max="3" width="35.7109375" style="736" customWidth="1"/>
    <col min="4" max="4" width="6.5703125" style="21" bestFit="1" customWidth="1"/>
    <col min="5" max="5" width="6.28515625" style="21" customWidth="1"/>
    <col min="6" max="6" width="9.5703125" style="21" bestFit="1" customWidth="1"/>
    <col min="7" max="7" width="9.5703125" style="21" customWidth="1"/>
    <col min="8" max="8" width="10.5703125" style="10" customWidth="1"/>
    <col min="9" max="9" width="7.5703125" style="22" customWidth="1"/>
    <col min="10" max="10" width="3" style="10" bestFit="1" customWidth="1"/>
    <col min="11" max="11" width="9.140625" style="10"/>
    <col min="12" max="12" width="8.5703125" style="10" bestFit="1" customWidth="1"/>
    <col min="13" max="13" width="55.5703125" style="10" customWidth="1"/>
    <col min="14" max="14" width="10.42578125" style="10" customWidth="1"/>
    <col min="15" max="15" width="5.42578125" style="10" bestFit="1" customWidth="1"/>
    <col min="16" max="16384" width="9.140625" style="10"/>
  </cols>
  <sheetData>
    <row r="1" spans="1:12" ht="17.25">
      <c r="A1" s="1009" t="s">
        <v>2351</v>
      </c>
      <c r="B1" s="1009"/>
      <c r="C1" s="1009"/>
      <c r="D1" s="1009"/>
      <c r="E1" s="1009"/>
      <c r="F1" s="1009"/>
      <c r="G1" s="1009"/>
      <c r="H1" s="1009"/>
    </row>
    <row r="2" spans="1:12" ht="27.75" customHeight="1">
      <c r="A2" s="996" t="str">
        <f>'lead 25-26'!B2&amp;'lead 25-26'!C2</f>
        <v>Name of the Work: Construction of Community Hall at Chakirala village and  GP of Kanigiri  Mandal.</v>
      </c>
      <c r="B2" s="996"/>
      <c r="C2" s="996"/>
      <c r="D2" s="996"/>
      <c r="E2" s="996"/>
      <c r="F2" s="996"/>
      <c r="G2" s="996"/>
      <c r="H2" s="996"/>
    </row>
    <row r="3" spans="1:12">
      <c r="A3" s="203"/>
      <c r="E3" s="21" t="s">
        <v>265</v>
      </c>
      <c r="F3" s="228" t="str">
        <f>'lead 25-26'!K4</f>
        <v>20.00 Lakhs</v>
      </c>
      <c r="G3" s="228"/>
      <c r="I3" s="22">
        <f>'DATA 2025-26'!H3</f>
        <v>0.13614999999999999</v>
      </c>
    </row>
    <row r="4" spans="1:12" ht="3" customHeight="1"/>
    <row r="5" spans="1:12" s="738" customFormat="1" ht="19.5" customHeight="1">
      <c r="A5" s="394" t="s">
        <v>23</v>
      </c>
      <c r="B5" s="394" t="s">
        <v>24</v>
      </c>
      <c r="C5" s="737" t="s">
        <v>25</v>
      </c>
      <c r="D5" s="394" t="s">
        <v>16</v>
      </c>
      <c r="E5" s="394" t="s">
        <v>6</v>
      </c>
      <c r="F5" s="394" t="s">
        <v>8</v>
      </c>
      <c r="G5" s="394"/>
      <c r="H5" s="394" t="s">
        <v>10</v>
      </c>
    </row>
    <row r="6" spans="1:12" ht="76.5" hidden="1">
      <c r="A6" s="110">
        <v>1</v>
      </c>
      <c r="B6" s="278"/>
      <c r="C6" s="307" t="s">
        <v>2240</v>
      </c>
      <c r="D6" s="179"/>
      <c r="E6" s="179"/>
      <c r="F6" s="179"/>
      <c r="G6" s="179"/>
      <c r="H6" s="273"/>
    </row>
    <row r="7" spans="1:12" s="22" customFormat="1" hidden="1">
      <c r="A7" s="110"/>
      <c r="B7" s="278"/>
      <c r="C7" s="307" t="s">
        <v>2</v>
      </c>
      <c r="D7" s="342">
        <v>2</v>
      </c>
      <c r="E7" s="343">
        <v>1.95</v>
      </c>
      <c r="F7" s="344">
        <v>0.1</v>
      </c>
      <c r="G7" s="344">
        <v>7.4999999999999997E-2</v>
      </c>
      <c r="H7" s="340">
        <f>ROUND(D7*E7*F7*G7,4)</f>
        <v>2.93E-2</v>
      </c>
      <c r="J7" s="10"/>
    </row>
    <row r="8" spans="1:12" s="22" customFormat="1" hidden="1">
      <c r="A8" s="110"/>
      <c r="B8" s="278"/>
      <c r="C8" s="307" t="s">
        <v>734</v>
      </c>
      <c r="D8" s="342">
        <v>2</v>
      </c>
      <c r="E8" s="343">
        <v>1.2</v>
      </c>
      <c r="F8" s="344">
        <v>0.1</v>
      </c>
      <c r="G8" s="344">
        <v>7.4999999999999997E-2</v>
      </c>
      <c r="H8" s="340">
        <f>ROUND(D8*E8*F8*G8,4)</f>
        <v>1.7999999999999999E-2</v>
      </c>
      <c r="J8" s="10"/>
    </row>
    <row r="9" spans="1:12" s="22" customFormat="1" hidden="1">
      <c r="A9" s="110"/>
      <c r="B9" s="278"/>
      <c r="C9" s="308"/>
      <c r="D9" s="179"/>
      <c r="E9" s="179"/>
      <c r="F9" s="179"/>
      <c r="G9" s="179"/>
      <c r="H9" s="283">
        <f>SUM(H7:H8)</f>
        <v>4.7299999999999995E-2</v>
      </c>
      <c r="J9" s="10"/>
    </row>
    <row r="10" spans="1:12" s="22" customFormat="1" hidden="1">
      <c r="A10" s="110"/>
      <c r="B10" s="278" t="s">
        <v>1779</v>
      </c>
      <c r="C10" s="307" t="s">
        <v>2152</v>
      </c>
      <c r="D10" s="179"/>
      <c r="E10" s="179" t="s">
        <v>35</v>
      </c>
      <c r="F10" s="277">
        <f>H9</f>
        <v>4.7299999999999995E-2</v>
      </c>
      <c r="G10" s="281">
        <f>'MINI SSR 2025-26'!$C$144</f>
        <v>55780</v>
      </c>
      <c r="H10" s="173">
        <f t="shared" ref="H10:H11" si="0">ROUND(F10*G10,2)</f>
        <v>2638.39</v>
      </c>
      <c r="J10" s="10"/>
    </row>
    <row r="11" spans="1:12" hidden="1">
      <c r="A11" s="110"/>
      <c r="B11" s="179" t="s">
        <v>1189</v>
      </c>
      <c r="C11" s="307" t="s">
        <v>1188</v>
      </c>
      <c r="D11" s="179"/>
      <c r="E11" s="179" t="s">
        <v>11</v>
      </c>
      <c r="F11" s="189">
        <v>6</v>
      </c>
      <c r="G11" s="281">
        <f>'MINI SSR 2025-26'!$G$152</f>
        <v>43</v>
      </c>
      <c r="H11" s="173">
        <f t="shared" si="0"/>
        <v>258</v>
      </c>
      <c r="I11" s="10"/>
    </row>
    <row r="12" spans="1:12" hidden="1">
      <c r="A12" s="179"/>
      <c r="B12" s="179"/>
      <c r="C12" s="308" t="s">
        <v>68</v>
      </c>
      <c r="D12" s="179"/>
      <c r="E12" s="179"/>
      <c r="F12" s="281"/>
      <c r="G12" s="285"/>
      <c r="H12" s="173"/>
    </row>
    <row r="13" spans="1:12" hidden="1">
      <c r="A13" s="179"/>
      <c r="B13" s="179" t="s">
        <v>1782</v>
      </c>
      <c r="C13" s="307" t="s">
        <v>2239</v>
      </c>
      <c r="D13" s="179"/>
      <c r="E13" s="179" t="s">
        <v>102</v>
      </c>
      <c r="F13" s="281">
        <f>ROUND(1.2*2.1,2)</f>
        <v>2.52</v>
      </c>
      <c r="G13" s="281">
        <f>'MINI SSR 2025-26'!$C$150</f>
        <v>2083</v>
      </c>
      <c r="H13" s="173">
        <f>ROUND(F13*G13,2)*1/3</f>
        <v>1749.72</v>
      </c>
      <c r="L13" s="20"/>
    </row>
    <row r="14" spans="1:12" hidden="1">
      <c r="A14" s="179"/>
      <c r="B14" s="179"/>
      <c r="C14" s="632" t="s">
        <v>2213</v>
      </c>
      <c r="D14" s="179"/>
      <c r="E14" s="281"/>
      <c r="F14" s="281"/>
      <c r="G14" s="281"/>
      <c r="H14" s="273">
        <v>0</v>
      </c>
      <c r="L14" s="20"/>
    </row>
    <row r="15" spans="1:12" ht="13.5" hidden="1" thickBot="1">
      <c r="A15" s="179"/>
      <c r="B15" s="179"/>
      <c r="C15" s="308"/>
      <c r="D15" s="179"/>
      <c r="E15" s="179"/>
      <c r="F15" s="179"/>
      <c r="G15" s="179"/>
      <c r="H15" s="282">
        <f>SUM(H10:H14)</f>
        <v>4646.1099999999997</v>
      </c>
      <c r="L15" s="276"/>
    </row>
    <row r="16" spans="1:12" ht="102" hidden="1">
      <c r="A16" s="110">
        <v>1</v>
      </c>
      <c r="B16" s="278"/>
      <c r="C16" s="307" t="s">
        <v>2236</v>
      </c>
      <c r="D16" s="179"/>
      <c r="E16" s="179"/>
      <c r="F16" s="179"/>
      <c r="G16" s="179"/>
      <c r="H16" s="273"/>
    </row>
    <row r="17" spans="1:12" s="22" customFormat="1" hidden="1">
      <c r="A17" s="110"/>
      <c r="B17" s="278"/>
      <c r="C17" s="308" t="s">
        <v>2151</v>
      </c>
      <c r="D17" s="342">
        <v>2</v>
      </c>
      <c r="E17" s="343">
        <f>2.1-0.15</f>
        <v>1.9500000000000002</v>
      </c>
      <c r="F17" s="344">
        <f>ROUND(((1.2-0.15+0.02))/2,2)</f>
        <v>0.54</v>
      </c>
      <c r="G17" s="344">
        <v>0.03</v>
      </c>
      <c r="H17" s="340">
        <f>ROUND(D17*E17*F17*G17,4)</f>
        <v>6.3200000000000006E-2</v>
      </c>
      <c r="J17" s="10"/>
    </row>
    <row r="18" spans="1:12" s="22" customFormat="1" hidden="1">
      <c r="A18" s="110"/>
      <c r="B18" s="278"/>
      <c r="C18" s="308"/>
      <c r="D18" s="179"/>
      <c r="E18" s="179"/>
      <c r="F18" s="179"/>
      <c r="G18" s="179"/>
      <c r="H18" s="283">
        <f>SUM(H17)</f>
        <v>6.3200000000000006E-2</v>
      </c>
      <c r="J18" s="10"/>
    </row>
    <row r="19" spans="1:12" s="22" customFormat="1" hidden="1">
      <c r="A19" s="110"/>
      <c r="B19" s="278" t="s">
        <v>1780</v>
      </c>
      <c r="C19" s="307" t="s">
        <v>2153</v>
      </c>
      <c r="D19" s="179"/>
      <c r="E19" s="179" t="s">
        <v>35</v>
      </c>
      <c r="F19" s="277">
        <f>H18</f>
        <v>6.3200000000000006E-2</v>
      </c>
      <c r="G19" s="281">
        <f>'MINI SSR 2025-26'!$C$145</f>
        <v>79384</v>
      </c>
      <c r="H19" s="173">
        <f t="shared" ref="H19:H24" si="1">ROUND(F19*G19,2)</f>
        <v>5017.07</v>
      </c>
      <c r="J19" s="10"/>
    </row>
    <row r="20" spans="1:12" s="22" customFormat="1" hidden="1">
      <c r="A20" s="110"/>
      <c r="B20" s="179" t="s">
        <v>1197</v>
      </c>
      <c r="C20" s="307" t="s">
        <v>1196</v>
      </c>
      <c r="D20" s="179"/>
      <c r="E20" s="179" t="s">
        <v>11</v>
      </c>
      <c r="F20" s="189">
        <v>2</v>
      </c>
      <c r="G20" s="281">
        <f>'MINI SSR 2025-26'!$G$143</f>
        <v>95</v>
      </c>
      <c r="H20" s="173">
        <f t="shared" si="1"/>
        <v>190</v>
      </c>
      <c r="J20" s="10"/>
    </row>
    <row r="21" spans="1:12" hidden="1">
      <c r="A21" s="110"/>
      <c r="B21" s="179" t="s">
        <v>1199</v>
      </c>
      <c r="C21" s="307" t="s">
        <v>1198</v>
      </c>
      <c r="D21" s="179"/>
      <c r="E21" s="179" t="s">
        <v>11</v>
      </c>
      <c r="F21" s="189">
        <v>3</v>
      </c>
      <c r="G21" s="281">
        <f>'MINI SSR 2025-26'!$G$146</f>
        <v>142</v>
      </c>
      <c r="H21" s="173">
        <f t="shared" si="1"/>
        <v>426</v>
      </c>
      <c r="I21" s="10"/>
    </row>
    <row r="22" spans="1:12" hidden="1">
      <c r="A22" s="110"/>
      <c r="B22" s="179" t="s">
        <v>1183</v>
      </c>
      <c r="C22" s="307" t="s">
        <v>1182</v>
      </c>
      <c r="D22" s="179"/>
      <c r="E22" s="179" t="s">
        <v>11</v>
      </c>
      <c r="F22" s="189">
        <v>2</v>
      </c>
      <c r="G22" s="281">
        <f>'MINI SSR 2025-26'!$G$147</f>
        <v>134</v>
      </c>
      <c r="H22" s="173">
        <f t="shared" si="1"/>
        <v>268</v>
      </c>
      <c r="I22" s="10"/>
    </row>
    <row r="23" spans="1:12" hidden="1">
      <c r="A23" s="110"/>
      <c r="B23" s="179" t="s">
        <v>1201</v>
      </c>
      <c r="C23" s="307" t="s">
        <v>1200</v>
      </c>
      <c r="D23" s="179"/>
      <c r="E23" s="179" t="s">
        <v>11</v>
      </c>
      <c r="F23" s="189">
        <v>2</v>
      </c>
      <c r="G23" s="281">
        <f>'MINI SSR 2025-26'!$G$149</f>
        <v>368</v>
      </c>
      <c r="H23" s="173">
        <f t="shared" si="1"/>
        <v>736</v>
      </c>
      <c r="I23" s="10"/>
    </row>
    <row r="24" spans="1:12" hidden="1">
      <c r="A24" s="110"/>
      <c r="B24" s="179" t="s">
        <v>1203</v>
      </c>
      <c r="C24" s="307" t="s">
        <v>1202</v>
      </c>
      <c r="D24" s="179"/>
      <c r="E24" s="179" t="s">
        <v>11</v>
      </c>
      <c r="F24" s="189">
        <v>1</v>
      </c>
      <c r="G24" s="281">
        <f>'MINI SSR 2025-26'!$G$151</f>
        <v>54</v>
      </c>
      <c r="H24" s="173">
        <f t="shared" si="1"/>
        <v>54</v>
      </c>
      <c r="I24" s="10"/>
    </row>
    <row r="25" spans="1:12" hidden="1">
      <c r="A25" s="179"/>
      <c r="B25" s="179"/>
      <c r="C25" s="308" t="s">
        <v>68</v>
      </c>
      <c r="D25" s="179"/>
      <c r="E25" s="179"/>
      <c r="F25" s="281"/>
      <c r="G25" s="285"/>
      <c r="H25" s="173"/>
    </row>
    <row r="26" spans="1:12" hidden="1">
      <c r="A26" s="179"/>
      <c r="B26" s="179" t="s">
        <v>1782</v>
      </c>
      <c r="C26" s="307" t="s">
        <v>2237</v>
      </c>
      <c r="D26" s="179"/>
      <c r="E26" s="179" t="s">
        <v>102</v>
      </c>
      <c r="F26" s="281">
        <f>ROUND(1.2*2.1,2)</f>
        <v>2.52</v>
      </c>
      <c r="G26" s="281">
        <f>'MINI SSR 2025-26'!$C$150</f>
        <v>2083</v>
      </c>
      <c r="H26" s="173">
        <f>ROUND(F26*G26,2)*2/3</f>
        <v>3499.44</v>
      </c>
      <c r="L26" s="20"/>
    </row>
    <row r="27" spans="1:12" hidden="1">
      <c r="A27" s="179"/>
      <c r="B27" s="179"/>
      <c r="C27" s="632" t="s">
        <v>2213</v>
      </c>
      <c r="D27" s="179"/>
      <c r="E27" s="281"/>
      <c r="F27" s="281"/>
      <c r="G27" s="281"/>
      <c r="H27" s="273">
        <v>0</v>
      </c>
      <c r="L27" s="20"/>
    </row>
    <row r="28" spans="1:12" ht="13.5" hidden="1" thickBot="1">
      <c r="A28" s="179"/>
      <c r="B28" s="179"/>
      <c r="C28" s="308"/>
      <c r="D28" s="179"/>
      <c r="E28" s="179"/>
      <c r="F28" s="179"/>
      <c r="G28" s="179"/>
      <c r="H28" s="282">
        <f>SUM(H19:H27)</f>
        <v>10190.51</v>
      </c>
      <c r="L28" s="276"/>
    </row>
    <row r="29" spans="1:12" ht="76.5" hidden="1">
      <c r="A29" s="110">
        <v>2</v>
      </c>
      <c r="B29" s="278"/>
      <c r="C29" s="307" t="s">
        <v>2241</v>
      </c>
      <c r="D29" s="179"/>
      <c r="E29" s="179"/>
      <c r="F29" s="179"/>
      <c r="G29" s="179"/>
      <c r="H29" s="273"/>
    </row>
    <row r="30" spans="1:12" s="22" customFormat="1" hidden="1">
      <c r="A30" s="110"/>
      <c r="B30" s="278"/>
      <c r="C30" s="307" t="s">
        <v>2</v>
      </c>
      <c r="D30" s="342">
        <v>2</v>
      </c>
      <c r="E30" s="343">
        <v>1.95</v>
      </c>
      <c r="F30" s="344">
        <v>0.1</v>
      </c>
      <c r="G30" s="344">
        <v>7.4999999999999997E-2</v>
      </c>
      <c r="H30" s="340">
        <f>ROUND(D30*E30*F30*G30,4)</f>
        <v>2.93E-2</v>
      </c>
      <c r="J30" s="10"/>
    </row>
    <row r="31" spans="1:12" s="22" customFormat="1" hidden="1">
      <c r="A31" s="110"/>
      <c r="B31" s="278"/>
      <c r="C31" s="307" t="s">
        <v>734</v>
      </c>
      <c r="D31" s="342">
        <v>2</v>
      </c>
      <c r="E31" s="343">
        <v>0.75</v>
      </c>
      <c r="F31" s="344">
        <v>0.1</v>
      </c>
      <c r="G31" s="344">
        <v>7.4999999999999997E-2</v>
      </c>
      <c r="H31" s="340">
        <f>ROUND(D31*E31*F31*G31,4)</f>
        <v>1.1299999999999999E-2</v>
      </c>
      <c r="J31" s="10"/>
    </row>
    <row r="32" spans="1:12" s="22" customFormat="1" hidden="1">
      <c r="A32" s="110"/>
      <c r="B32" s="278"/>
      <c r="C32" s="308"/>
      <c r="D32" s="179"/>
      <c r="E32" s="179"/>
      <c r="F32" s="179"/>
      <c r="G32" s="179"/>
      <c r="H32" s="283">
        <f>SUM(H30:H31)</f>
        <v>4.0599999999999997E-2</v>
      </c>
      <c r="J32" s="10"/>
    </row>
    <row r="33" spans="1:12" s="22" customFormat="1" hidden="1">
      <c r="A33" s="110"/>
      <c r="B33" s="278" t="s">
        <v>1779</v>
      </c>
      <c r="C33" s="307" t="s">
        <v>2152</v>
      </c>
      <c r="D33" s="179"/>
      <c r="E33" s="179" t="s">
        <v>35</v>
      </c>
      <c r="F33" s="277">
        <f>H32</f>
        <v>4.0599999999999997E-2</v>
      </c>
      <c r="G33" s="281">
        <f>'MINI SSR 2025-26'!$C$144</f>
        <v>55780</v>
      </c>
      <c r="H33" s="173">
        <f t="shared" ref="H33:H34" si="2">ROUND(F33*G33,2)</f>
        <v>2264.67</v>
      </c>
      <c r="J33" s="10"/>
    </row>
    <row r="34" spans="1:12" hidden="1">
      <c r="A34" s="110"/>
      <c r="B34" s="179" t="s">
        <v>1189</v>
      </c>
      <c r="C34" s="307" t="s">
        <v>1188</v>
      </c>
      <c r="D34" s="179"/>
      <c r="E34" s="179" t="s">
        <v>11</v>
      </c>
      <c r="F34" s="189">
        <v>6</v>
      </c>
      <c r="G34" s="281">
        <f>'MINI SSR 2025-26'!$G$152</f>
        <v>43</v>
      </c>
      <c r="H34" s="173">
        <f t="shared" si="2"/>
        <v>258</v>
      </c>
      <c r="I34" s="10"/>
    </row>
    <row r="35" spans="1:12" hidden="1">
      <c r="A35" s="179"/>
      <c r="B35" s="179"/>
      <c r="C35" s="308" t="s">
        <v>68</v>
      </c>
      <c r="D35" s="179"/>
      <c r="E35" s="179"/>
      <c r="F35" s="281"/>
      <c r="G35" s="285"/>
      <c r="H35" s="173"/>
    </row>
    <row r="36" spans="1:12" hidden="1">
      <c r="A36" s="179"/>
      <c r="B36" s="179" t="s">
        <v>1782</v>
      </c>
      <c r="C36" s="307" t="s">
        <v>2239</v>
      </c>
      <c r="D36" s="179"/>
      <c r="E36" s="179" t="s">
        <v>102</v>
      </c>
      <c r="F36" s="281">
        <f>ROUND(0.75*2.1,2)</f>
        <v>1.58</v>
      </c>
      <c r="G36" s="281">
        <f>'MINI SSR 2025-26'!$C$150</f>
        <v>2083</v>
      </c>
      <c r="H36" s="173">
        <f>ROUND(F36*G36,2)*1/3</f>
        <v>1097.0466666666666</v>
      </c>
      <c r="L36" s="20"/>
    </row>
    <row r="37" spans="1:12" hidden="1">
      <c r="A37" s="179"/>
      <c r="B37" s="179"/>
      <c r="C37" s="632" t="s">
        <v>2213</v>
      </c>
      <c r="D37" s="179"/>
      <c r="E37" s="281"/>
      <c r="F37" s="281"/>
      <c r="G37" s="281"/>
      <c r="H37" s="273">
        <v>0</v>
      </c>
      <c r="L37" s="20"/>
    </row>
    <row r="38" spans="1:12" ht="13.5" hidden="1" thickBot="1">
      <c r="A38" s="179"/>
      <c r="B38" s="179"/>
      <c r="C38" s="308"/>
      <c r="D38" s="179"/>
      <c r="E38" s="179"/>
      <c r="F38" s="179"/>
      <c r="G38" s="179"/>
      <c r="H38" s="282">
        <f>SUM(H33:H37)</f>
        <v>3619.7166666666667</v>
      </c>
      <c r="L38" s="276"/>
    </row>
    <row r="39" spans="1:12" ht="102" hidden="1">
      <c r="A39" s="110">
        <v>3</v>
      </c>
      <c r="B39" s="278"/>
      <c r="C39" s="307" t="s">
        <v>2248</v>
      </c>
      <c r="D39" s="179"/>
      <c r="E39" s="179"/>
      <c r="F39" s="179"/>
      <c r="G39" s="179"/>
      <c r="H39" s="273"/>
    </row>
    <row r="40" spans="1:12" s="22" customFormat="1" hidden="1">
      <c r="A40" s="110"/>
      <c r="B40" s="278"/>
      <c r="C40" s="308" t="s">
        <v>2151</v>
      </c>
      <c r="D40" s="342">
        <v>1</v>
      </c>
      <c r="E40" s="343">
        <f>2.1-0.15</f>
        <v>1.9500000000000002</v>
      </c>
      <c r="F40" s="344">
        <f>ROUND(((1.2-0.15+0.02))/1,2)</f>
        <v>1.07</v>
      </c>
      <c r="G40" s="344">
        <v>0.03</v>
      </c>
      <c r="H40" s="340">
        <f>ROUND(D40*E40*F40*G40,4)</f>
        <v>6.2600000000000003E-2</v>
      </c>
      <c r="J40" s="10"/>
    </row>
    <row r="41" spans="1:12" s="22" customFormat="1" hidden="1">
      <c r="A41" s="110"/>
      <c r="B41" s="278"/>
      <c r="C41" s="308"/>
      <c r="D41" s="179"/>
      <c r="E41" s="179"/>
      <c r="F41" s="179"/>
      <c r="G41" s="179"/>
      <c r="H41" s="283">
        <f>SUM(H40)</f>
        <v>6.2600000000000003E-2</v>
      </c>
      <c r="J41" s="10"/>
    </row>
    <row r="42" spans="1:12" s="22" customFormat="1" hidden="1">
      <c r="A42" s="110"/>
      <c r="B42" s="278" t="s">
        <v>1780</v>
      </c>
      <c r="C42" s="307" t="s">
        <v>2153</v>
      </c>
      <c r="D42" s="179"/>
      <c r="E42" s="179" t="s">
        <v>35</v>
      </c>
      <c r="F42" s="277">
        <f>H41</f>
        <v>6.2600000000000003E-2</v>
      </c>
      <c r="G42" s="281">
        <f>'MINI SSR 2025-26'!$C$145</f>
        <v>79384</v>
      </c>
      <c r="H42" s="173">
        <f t="shared" ref="H42:H47" si="3">ROUND(F42*G42,2)</f>
        <v>4969.4399999999996</v>
      </c>
      <c r="J42" s="10"/>
    </row>
    <row r="43" spans="1:12" s="22" customFormat="1" hidden="1">
      <c r="A43" s="110"/>
      <c r="B43" s="179" t="s">
        <v>1197</v>
      </c>
      <c r="C43" s="307" t="s">
        <v>1196</v>
      </c>
      <c r="D43" s="179"/>
      <c r="E43" s="179" t="s">
        <v>11</v>
      </c>
      <c r="F43" s="189">
        <v>2</v>
      </c>
      <c r="G43" s="281">
        <f>'MINI SSR 2025-26'!$G$143</f>
        <v>95</v>
      </c>
      <c r="H43" s="173">
        <f t="shared" si="3"/>
        <v>190</v>
      </c>
      <c r="J43" s="10"/>
    </row>
    <row r="44" spans="1:12" hidden="1">
      <c r="A44" s="110"/>
      <c r="B44" s="179" t="s">
        <v>1199</v>
      </c>
      <c r="C44" s="307" t="s">
        <v>1198</v>
      </c>
      <c r="D44" s="179"/>
      <c r="E44" s="179" t="s">
        <v>11</v>
      </c>
      <c r="F44" s="189">
        <v>3</v>
      </c>
      <c r="G44" s="281">
        <f>'MINI SSR 2025-26'!$G$146</f>
        <v>142</v>
      </c>
      <c r="H44" s="173">
        <f t="shared" si="3"/>
        <v>426</v>
      </c>
      <c r="I44" s="10"/>
    </row>
    <row r="45" spans="1:12" hidden="1">
      <c r="A45" s="110"/>
      <c r="B45" s="179" t="s">
        <v>1183</v>
      </c>
      <c r="C45" s="307" t="s">
        <v>1182</v>
      </c>
      <c r="D45" s="179"/>
      <c r="E45" s="179" t="s">
        <v>11</v>
      </c>
      <c r="F45" s="189">
        <v>2</v>
      </c>
      <c r="G45" s="281">
        <f>'MINI SSR 2025-26'!$G$147</f>
        <v>134</v>
      </c>
      <c r="H45" s="173">
        <f t="shared" si="3"/>
        <v>268</v>
      </c>
      <c r="I45" s="10"/>
    </row>
    <row r="46" spans="1:12" hidden="1">
      <c r="A46" s="110"/>
      <c r="B46" s="179" t="s">
        <v>1201</v>
      </c>
      <c r="C46" s="307" t="s">
        <v>1200</v>
      </c>
      <c r="D46" s="179"/>
      <c r="E46" s="179" t="s">
        <v>11</v>
      </c>
      <c r="F46" s="189">
        <v>2</v>
      </c>
      <c r="G46" s="281">
        <f>'MINI SSR 2025-26'!$G$149</f>
        <v>368</v>
      </c>
      <c r="H46" s="173">
        <f t="shared" si="3"/>
        <v>736</v>
      </c>
      <c r="I46" s="10"/>
    </row>
    <row r="47" spans="1:12" hidden="1">
      <c r="A47" s="110"/>
      <c r="B47" s="179" t="s">
        <v>1203</v>
      </c>
      <c r="C47" s="307" t="s">
        <v>1202</v>
      </c>
      <c r="D47" s="179"/>
      <c r="E47" s="179" t="s">
        <v>11</v>
      </c>
      <c r="F47" s="189">
        <v>1</v>
      </c>
      <c r="G47" s="281">
        <f>'MINI SSR 2025-26'!$G$151</f>
        <v>54</v>
      </c>
      <c r="H47" s="173">
        <f t="shared" si="3"/>
        <v>54</v>
      </c>
      <c r="I47" s="10"/>
    </row>
    <row r="48" spans="1:12" hidden="1">
      <c r="A48" s="179"/>
      <c r="B48" s="179"/>
      <c r="C48" s="308" t="s">
        <v>68</v>
      </c>
      <c r="D48" s="179"/>
      <c r="E48" s="179"/>
      <c r="F48" s="281"/>
      <c r="G48" s="285"/>
      <c r="H48" s="173"/>
    </row>
    <row r="49" spans="1:12" hidden="1">
      <c r="A49" s="179"/>
      <c r="B49" s="179" t="s">
        <v>1782</v>
      </c>
      <c r="C49" s="307" t="s">
        <v>2237</v>
      </c>
      <c r="D49" s="179"/>
      <c r="E49" s="179" t="s">
        <v>102</v>
      </c>
      <c r="F49" s="281">
        <f>ROUND(0.75*2.1,2)</f>
        <v>1.58</v>
      </c>
      <c r="G49" s="281">
        <f>'MINI SSR 2025-26'!$C$150</f>
        <v>2083</v>
      </c>
      <c r="H49" s="173">
        <f>ROUND(F49*G49,2)*2/3</f>
        <v>2194.0933333333332</v>
      </c>
      <c r="L49" s="20"/>
    </row>
    <row r="50" spans="1:12" hidden="1">
      <c r="A50" s="179"/>
      <c r="B50" s="179"/>
      <c r="C50" s="632" t="s">
        <v>2213</v>
      </c>
      <c r="D50" s="179"/>
      <c r="E50" s="281"/>
      <c r="F50" s="281"/>
      <c r="G50" s="281"/>
      <c r="H50" s="273">
        <v>0</v>
      </c>
      <c r="L50" s="20"/>
    </row>
    <row r="51" spans="1:12" ht="13.5" hidden="1" thickBot="1">
      <c r="A51" s="179"/>
      <c r="B51" s="179"/>
      <c r="C51" s="308"/>
      <c r="D51" s="179"/>
      <c r="E51" s="179"/>
      <c r="F51" s="179"/>
      <c r="G51" s="179"/>
      <c r="H51" s="282">
        <f>SUM(H42:H50)</f>
        <v>8837.5333333333328</v>
      </c>
      <c r="L51" s="276"/>
    </row>
    <row r="52" spans="1:12" ht="76.5" hidden="1">
      <c r="A52" s="110">
        <v>3</v>
      </c>
      <c r="B52" s="278"/>
      <c r="C52" s="307" t="s">
        <v>2219</v>
      </c>
      <c r="D52" s="179"/>
      <c r="E52" s="179"/>
      <c r="F52" s="179"/>
      <c r="G52" s="179"/>
      <c r="H52" s="273"/>
    </row>
    <row r="53" spans="1:12" hidden="1">
      <c r="A53" s="110"/>
      <c r="B53" s="278"/>
      <c r="C53" s="307" t="s">
        <v>100</v>
      </c>
      <c r="D53" s="179"/>
      <c r="E53" s="179"/>
      <c r="F53" s="179"/>
      <c r="G53" s="179"/>
      <c r="H53" s="273"/>
    </row>
    <row r="54" spans="1:12" s="22" customFormat="1" hidden="1">
      <c r="A54" s="110"/>
      <c r="B54" s="278"/>
      <c r="C54" s="307" t="s">
        <v>1</v>
      </c>
      <c r="D54" s="179"/>
      <c r="E54" s="179"/>
      <c r="F54" s="179"/>
      <c r="G54" s="179"/>
      <c r="H54" s="273"/>
      <c r="J54" s="10"/>
    </row>
    <row r="55" spans="1:12" s="22" customFormat="1" hidden="1">
      <c r="A55" s="110"/>
      <c r="B55" s="278"/>
      <c r="C55" s="307" t="s">
        <v>734</v>
      </c>
      <c r="D55" s="342">
        <v>2</v>
      </c>
      <c r="E55" s="343">
        <v>1.5</v>
      </c>
      <c r="F55" s="344">
        <v>0.1</v>
      </c>
      <c r="G55" s="344">
        <v>7.4999999999999997E-2</v>
      </c>
      <c r="H55" s="340">
        <f>ROUND(D55*E55*F55*G55,4)</f>
        <v>2.2499999999999999E-2</v>
      </c>
      <c r="J55" s="10"/>
    </row>
    <row r="56" spans="1:12" s="22" customFormat="1" hidden="1">
      <c r="A56" s="110"/>
      <c r="B56" s="278"/>
      <c r="C56" s="307" t="s">
        <v>2</v>
      </c>
      <c r="D56" s="342">
        <v>4</v>
      </c>
      <c r="E56" s="343">
        <v>1.2</v>
      </c>
      <c r="F56" s="344">
        <v>0.1</v>
      </c>
      <c r="G56" s="344">
        <v>7.4999999999999997E-2</v>
      </c>
      <c r="H56" s="340">
        <f>ROUND(D56*E56*F56*G56,4)</f>
        <v>3.5999999999999997E-2</v>
      </c>
      <c r="J56" s="10"/>
    </row>
    <row r="57" spans="1:12" s="22" customFormat="1" hidden="1">
      <c r="A57" s="110"/>
      <c r="B57" s="278"/>
      <c r="C57" s="307"/>
      <c r="D57" s="179"/>
      <c r="E57" s="179"/>
      <c r="F57" s="179"/>
      <c r="G57" s="179"/>
      <c r="H57" s="283">
        <f>SUM(H55:H56)</f>
        <v>5.8499999999999996E-2</v>
      </c>
      <c r="J57" s="10"/>
    </row>
    <row r="58" spans="1:12" s="22" customFormat="1" hidden="1">
      <c r="A58" s="110"/>
      <c r="B58" s="278" t="s">
        <v>1779</v>
      </c>
      <c r="C58" s="307" t="s">
        <v>2152</v>
      </c>
      <c r="D58" s="179"/>
      <c r="E58" s="179" t="s">
        <v>35</v>
      </c>
      <c r="F58" s="277">
        <f>H57</f>
        <v>5.8499999999999996E-2</v>
      </c>
      <c r="G58" s="281">
        <f>'MINI SSR 2025-26'!$C$144</f>
        <v>55780</v>
      </c>
      <c r="H58" s="173">
        <f t="shared" ref="H58:H59" si="4">ROUND(F58*G58,2)</f>
        <v>3263.13</v>
      </c>
      <c r="J58" s="10"/>
    </row>
    <row r="59" spans="1:12" hidden="1">
      <c r="A59" s="110"/>
      <c r="B59" s="179" t="s">
        <v>1189</v>
      </c>
      <c r="C59" s="307" t="s">
        <v>1188</v>
      </c>
      <c r="D59" s="179"/>
      <c r="E59" s="179" t="s">
        <v>11</v>
      </c>
      <c r="F59" s="189">
        <v>4</v>
      </c>
      <c r="G59" s="281">
        <f>'MINI SSR 2025-26'!$G$152</f>
        <v>43</v>
      </c>
      <c r="H59" s="173">
        <f t="shared" si="4"/>
        <v>172</v>
      </c>
      <c r="I59" s="10"/>
    </row>
    <row r="60" spans="1:12" hidden="1">
      <c r="A60" s="179"/>
      <c r="B60" s="179"/>
      <c r="C60" s="308" t="s">
        <v>68</v>
      </c>
      <c r="D60" s="179"/>
      <c r="E60" s="179"/>
      <c r="F60" s="281"/>
      <c r="G60" s="285"/>
      <c r="H60" s="173"/>
    </row>
    <row r="61" spans="1:12" hidden="1">
      <c r="A61" s="179"/>
      <c r="B61" s="179" t="s">
        <v>1782</v>
      </c>
      <c r="C61" s="307" t="s">
        <v>2214</v>
      </c>
      <c r="D61" s="179"/>
      <c r="E61" s="179" t="s">
        <v>102</v>
      </c>
      <c r="F61" s="281">
        <f>ROUND(1.5*1.35,2)</f>
        <v>2.0299999999999998</v>
      </c>
      <c r="G61" s="281">
        <f>'MINI SSR 2025-26'!$C$150</f>
        <v>2083</v>
      </c>
      <c r="H61" s="173">
        <f>ROUND(F61*G61,2)*1/3</f>
        <v>1409.4966666666667</v>
      </c>
      <c r="L61" s="20"/>
    </row>
    <row r="62" spans="1:12" hidden="1">
      <c r="A62" s="179"/>
      <c r="B62" s="179"/>
      <c r="C62" s="632" t="s">
        <v>2213</v>
      </c>
      <c r="D62" s="179"/>
      <c r="E62" s="281"/>
      <c r="F62" s="281"/>
      <c r="G62" s="281"/>
      <c r="H62" s="273">
        <v>0</v>
      </c>
      <c r="L62" s="20"/>
    </row>
    <row r="63" spans="1:12" ht="13.5" hidden="1" thickBot="1">
      <c r="A63" s="179"/>
      <c r="B63" s="179"/>
      <c r="C63" s="308"/>
      <c r="D63" s="179"/>
      <c r="E63" s="179"/>
      <c r="F63" s="179"/>
      <c r="G63" s="179"/>
      <c r="H63" s="282">
        <f>SUM(H58:H62)</f>
        <v>4844.626666666667</v>
      </c>
      <c r="L63" s="276"/>
    </row>
    <row r="64" spans="1:12" ht="89.25" hidden="1">
      <c r="A64" s="110">
        <v>4</v>
      </c>
      <c r="B64" s="278"/>
      <c r="C64" s="307" t="s">
        <v>2215</v>
      </c>
      <c r="D64" s="179"/>
      <c r="E64" s="179"/>
      <c r="F64" s="179"/>
      <c r="G64" s="179"/>
      <c r="H64" s="273"/>
    </row>
    <row r="65" spans="1:12" s="22" customFormat="1" hidden="1">
      <c r="A65" s="110"/>
      <c r="B65" s="278"/>
      <c r="C65" s="307" t="s">
        <v>2210</v>
      </c>
      <c r="D65" s="342">
        <v>3</v>
      </c>
      <c r="E65" s="343">
        <v>1.22</v>
      </c>
      <c r="F65" s="344">
        <v>0.37</v>
      </c>
      <c r="G65" s="344">
        <v>2.5000000000000001E-2</v>
      </c>
      <c r="H65" s="340">
        <f>ROUND(D65*E65*F65*G65,4)</f>
        <v>3.39E-2</v>
      </c>
      <c r="J65" s="10"/>
    </row>
    <row r="66" spans="1:12" s="22" customFormat="1" hidden="1">
      <c r="A66" s="110"/>
      <c r="B66" s="278"/>
      <c r="C66" s="308"/>
      <c r="D66" s="342"/>
      <c r="E66" s="343"/>
      <c r="F66" s="344"/>
      <c r="G66" s="344"/>
      <c r="H66" s="340"/>
      <c r="J66" s="10"/>
    </row>
    <row r="67" spans="1:12" s="22" customFormat="1" hidden="1">
      <c r="A67" s="110"/>
      <c r="B67" s="278"/>
      <c r="C67" s="308"/>
      <c r="D67" s="179"/>
      <c r="E67" s="179"/>
      <c r="F67" s="179"/>
      <c r="G67" s="179"/>
      <c r="H67" s="283">
        <f>SUM(H65:H66)</f>
        <v>3.39E-2</v>
      </c>
      <c r="J67" s="10"/>
    </row>
    <row r="68" spans="1:12" s="22" customFormat="1" hidden="1">
      <c r="A68" s="110"/>
      <c r="B68" s="278" t="s">
        <v>1780</v>
      </c>
      <c r="C68" s="307" t="s">
        <v>2153</v>
      </c>
      <c r="D68" s="179"/>
      <c r="E68" s="179" t="s">
        <v>35</v>
      </c>
      <c r="F68" s="277">
        <f>H67</f>
        <v>3.39E-2</v>
      </c>
      <c r="G68" s="281">
        <f>'MINI SSR 2025-26'!$C$145</f>
        <v>79384</v>
      </c>
      <c r="H68" s="173">
        <f t="shared" ref="H68:H71" si="5">ROUND(F68*G68,2)</f>
        <v>2691.12</v>
      </c>
      <c r="J68" s="10"/>
    </row>
    <row r="69" spans="1:12" s="22" customFormat="1" hidden="1">
      <c r="A69" s="110"/>
      <c r="B69" s="179" t="s">
        <v>2096</v>
      </c>
      <c r="C69" s="307" t="s">
        <v>2095</v>
      </c>
      <c r="D69" s="179"/>
      <c r="E69" s="179" t="s">
        <v>11</v>
      </c>
      <c r="F69" s="189">
        <v>2</v>
      </c>
      <c r="G69" s="281">
        <v>67</v>
      </c>
      <c r="H69" s="173">
        <f t="shared" si="5"/>
        <v>134</v>
      </c>
      <c r="J69" s="10"/>
    </row>
    <row r="70" spans="1:12" hidden="1">
      <c r="A70" s="110"/>
      <c r="B70" s="179" t="s">
        <v>2098</v>
      </c>
      <c r="C70" s="307" t="s">
        <v>2206</v>
      </c>
      <c r="D70" s="179"/>
      <c r="E70" s="179" t="s">
        <v>11</v>
      </c>
      <c r="F70" s="189">
        <v>9</v>
      </c>
      <c r="G70" s="281">
        <v>89</v>
      </c>
      <c r="H70" s="173">
        <f t="shared" si="5"/>
        <v>801</v>
      </c>
      <c r="I70" s="10"/>
    </row>
    <row r="71" spans="1:12" hidden="1">
      <c r="A71" s="110"/>
      <c r="B71" s="179" t="s">
        <v>2208</v>
      </c>
      <c r="C71" s="307" t="s">
        <v>2207</v>
      </c>
      <c r="D71" s="179"/>
      <c r="E71" s="179" t="s">
        <v>11</v>
      </c>
      <c r="F71" s="189">
        <v>3</v>
      </c>
      <c r="G71" s="281">
        <v>63</v>
      </c>
      <c r="H71" s="173">
        <f t="shared" si="5"/>
        <v>189</v>
      </c>
      <c r="I71" s="10"/>
    </row>
    <row r="72" spans="1:12" hidden="1">
      <c r="A72" s="110"/>
      <c r="B72" s="179"/>
      <c r="C72" s="307" t="s">
        <v>2209</v>
      </c>
      <c r="D72" s="179"/>
      <c r="E72" s="179" t="s">
        <v>139</v>
      </c>
      <c r="F72" s="189">
        <v>40</v>
      </c>
      <c r="G72" s="281">
        <f>'lead 25-26'!$L$11/1000</f>
        <v>61</v>
      </c>
      <c r="H72" s="173">
        <f>ROUND(F72*G72,2)</f>
        <v>2440</v>
      </c>
      <c r="I72" s="10"/>
    </row>
    <row r="73" spans="1:12" hidden="1">
      <c r="A73" s="179"/>
      <c r="B73" s="179"/>
      <c r="C73" s="308" t="s">
        <v>68</v>
      </c>
      <c r="D73" s="179"/>
      <c r="E73" s="179"/>
      <c r="F73" s="281"/>
      <c r="G73" s="285"/>
      <c r="H73" s="173"/>
    </row>
    <row r="74" spans="1:12" hidden="1">
      <c r="A74" s="179"/>
      <c r="B74" s="179" t="s">
        <v>1782</v>
      </c>
      <c r="C74" s="307" t="s">
        <v>2216</v>
      </c>
      <c r="D74" s="179"/>
      <c r="E74" s="179" t="s">
        <v>102</v>
      </c>
      <c r="F74" s="281">
        <f>ROUND(1.5*1.35,2)</f>
        <v>2.0299999999999998</v>
      </c>
      <c r="G74" s="281">
        <f>'MINI SSR 2025-26'!$C$150</f>
        <v>2083</v>
      </c>
      <c r="H74" s="173">
        <f>ROUND(F74*G74,2)*2/3</f>
        <v>2818.9933333333333</v>
      </c>
      <c r="L74" s="20"/>
    </row>
    <row r="75" spans="1:12" hidden="1">
      <c r="A75" s="179"/>
      <c r="B75" s="179"/>
      <c r="C75" s="632" t="s">
        <v>2213</v>
      </c>
      <c r="D75" s="179"/>
      <c r="E75" s="281"/>
      <c r="F75" s="281"/>
      <c r="G75" s="281"/>
      <c r="H75" s="273">
        <v>0</v>
      </c>
      <c r="L75" s="20"/>
    </row>
    <row r="76" spans="1:12" ht="13.5" hidden="1" thickBot="1">
      <c r="A76" s="179"/>
      <c r="B76" s="179"/>
      <c r="C76" s="308"/>
      <c r="D76" s="179"/>
      <c r="E76" s="179"/>
      <c r="F76" s="179"/>
      <c r="G76" s="179"/>
      <c r="H76" s="282">
        <f>SUM(H68:H75)</f>
        <v>9074.1133333333328</v>
      </c>
      <c r="L76" s="276"/>
    </row>
    <row r="77" spans="1:12" ht="76.5" hidden="1">
      <c r="A77" s="110">
        <v>5</v>
      </c>
      <c r="B77" s="278"/>
      <c r="C77" s="307" t="s">
        <v>2242</v>
      </c>
      <c r="D77" s="179"/>
      <c r="E77" s="179"/>
      <c r="F77" s="179"/>
      <c r="G77" s="179"/>
      <c r="H77" s="273"/>
    </row>
    <row r="78" spans="1:12" s="22" customFormat="1" hidden="1">
      <c r="A78" s="110"/>
      <c r="B78" s="278"/>
      <c r="C78" s="307" t="s">
        <v>734</v>
      </c>
      <c r="D78" s="342">
        <v>2</v>
      </c>
      <c r="E78" s="343">
        <v>0.9</v>
      </c>
      <c r="F78" s="344">
        <v>0.1</v>
      </c>
      <c r="G78" s="344">
        <v>7.4999999999999997E-2</v>
      </c>
      <c r="H78" s="340">
        <f>ROUND(D78*E78*F78*G78,4)</f>
        <v>1.35E-2</v>
      </c>
      <c r="J78" s="10"/>
    </row>
    <row r="79" spans="1:12" s="22" customFormat="1" hidden="1">
      <c r="A79" s="110"/>
      <c r="B79" s="278"/>
      <c r="C79" s="307" t="s">
        <v>2</v>
      </c>
      <c r="D79" s="342">
        <v>4</v>
      </c>
      <c r="E79" s="343">
        <v>1.2</v>
      </c>
      <c r="F79" s="344">
        <v>0.1</v>
      </c>
      <c r="G79" s="344">
        <v>7.4999999999999997E-2</v>
      </c>
      <c r="H79" s="340">
        <f>ROUND(D79*E79*F79*G79,4)</f>
        <v>3.5999999999999997E-2</v>
      </c>
      <c r="J79" s="10"/>
    </row>
    <row r="80" spans="1:12" s="22" customFormat="1" hidden="1">
      <c r="A80" s="110"/>
      <c r="B80" s="278"/>
      <c r="C80" s="307"/>
      <c r="D80" s="179"/>
      <c r="E80" s="179"/>
      <c r="F80" s="179"/>
      <c r="G80" s="179"/>
      <c r="H80" s="283">
        <f>SUM(H78:H79)</f>
        <v>4.9499999999999995E-2</v>
      </c>
      <c r="J80" s="10"/>
    </row>
    <row r="81" spans="1:12" s="22" customFormat="1" hidden="1">
      <c r="A81" s="110"/>
      <c r="B81" s="278" t="s">
        <v>1779</v>
      </c>
      <c r="C81" s="307" t="s">
        <v>2152</v>
      </c>
      <c r="D81" s="179"/>
      <c r="E81" s="179" t="s">
        <v>35</v>
      </c>
      <c r="F81" s="277">
        <f>H80</f>
        <v>4.9499999999999995E-2</v>
      </c>
      <c r="G81" s="281">
        <f>'MINI SSR 2025-26'!$C$144</f>
        <v>55780</v>
      </c>
      <c r="H81" s="173">
        <f t="shared" ref="H81:H82" si="6">ROUND(F81*G81,2)</f>
        <v>2761.11</v>
      </c>
      <c r="J81" s="10"/>
    </row>
    <row r="82" spans="1:12" hidden="1">
      <c r="A82" s="110"/>
      <c r="B82" s="179" t="s">
        <v>1189</v>
      </c>
      <c r="C82" s="307" t="s">
        <v>1188</v>
      </c>
      <c r="D82" s="179"/>
      <c r="E82" s="179" t="s">
        <v>11</v>
      </c>
      <c r="F82" s="189">
        <v>4</v>
      </c>
      <c r="G82" s="281">
        <f>'MINI SSR 2025-26'!$G$152</f>
        <v>43</v>
      </c>
      <c r="H82" s="173">
        <f t="shared" si="6"/>
        <v>172</v>
      </c>
      <c r="I82" s="10"/>
    </row>
    <row r="83" spans="1:12" hidden="1">
      <c r="A83" s="179"/>
      <c r="B83" s="179"/>
      <c r="C83" s="308" t="s">
        <v>68</v>
      </c>
      <c r="D83" s="179"/>
      <c r="E83" s="179"/>
      <c r="F83" s="281"/>
      <c r="G83" s="285"/>
      <c r="H83" s="173"/>
    </row>
    <row r="84" spans="1:12" hidden="1">
      <c r="A84" s="179"/>
      <c r="B84" s="179" t="s">
        <v>1782</v>
      </c>
      <c r="C84" s="307" t="s">
        <v>1190</v>
      </c>
      <c r="D84" s="179"/>
      <c r="E84" s="179" t="s">
        <v>102</v>
      </c>
      <c r="F84" s="281">
        <f>ROUND(0.9*1.35,2)</f>
        <v>1.22</v>
      </c>
      <c r="G84" s="281">
        <f>'MINI SSR 2025-26'!$C$150</f>
        <v>2083</v>
      </c>
      <c r="H84" s="173">
        <f>ROUND(F84*G84,2)*1/3</f>
        <v>847.0866666666667</v>
      </c>
      <c r="L84" s="20"/>
    </row>
    <row r="85" spans="1:12" hidden="1">
      <c r="A85" s="179"/>
      <c r="B85" s="179"/>
      <c r="C85" s="632" t="s">
        <v>2213</v>
      </c>
      <c r="D85" s="179"/>
      <c r="E85" s="281"/>
      <c r="F85" s="281"/>
      <c r="G85" s="281"/>
      <c r="H85" s="273">
        <v>0</v>
      </c>
      <c r="L85" s="20"/>
    </row>
    <row r="86" spans="1:12" ht="13.5" hidden="1" thickBot="1">
      <c r="A86" s="179"/>
      <c r="B86" s="179"/>
      <c r="C86" s="308"/>
      <c r="D86" s="179"/>
      <c r="E86" s="179"/>
      <c r="F86" s="179"/>
      <c r="G86" s="179"/>
      <c r="H86" s="282">
        <f>SUM(H81:H85)</f>
        <v>3780.1966666666667</v>
      </c>
      <c r="L86" s="276"/>
    </row>
    <row r="87" spans="1:12" ht="89.25" hidden="1">
      <c r="A87" s="110">
        <v>5</v>
      </c>
      <c r="B87" s="278"/>
      <c r="C87" s="307" t="s">
        <v>2243</v>
      </c>
      <c r="D87" s="179"/>
      <c r="E87" s="179"/>
      <c r="F87" s="179"/>
      <c r="G87" s="179"/>
      <c r="H87" s="273"/>
    </row>
    <row r="88" spans="1:12" s="22" customFormat="1" hidden="1">
      <c r="A88" s="110"/>
      <c r="B88" s="278"/>
      <c r="C88" s="307" t="s">
        <v>2210</v>
      </c>
      <c r="D88" s="342">
        <v>2</v>
      </c>
      <c r="E88" s="343">
        <v>1.22</v>
      </c>
      <c r="F88" s="344">
        <v>0.37</v>
      </c>
      <c r="G88" s="344">
        <v>2.5000000000000001E-2</v>
      </c>
      <c r="H88" s="340">
        <f>ROUND(D88*E88*F88*G88,4)</f>
        <v>2.2599999999999999E-2</v>
      </c>
      <c r="J88" s="10"/>
    </row>
    <row r="89" spans="1:12" s="22" customFormat="1" hidden="1">
      <c r="A89" s="110"/>
      <c r="B89" s="278"/>
      <c r="C89" s="308"/>
      <c r="D89" s="342"/>
      <c r="E89" s="343"/>
      <c r="F89" s="344"/>
      <c r="G89" s="344"/>
      <c r="H89" s="340"/>
      <c r="J89" s="10"/>
    </row>
    <row r="90" spans="1:12" s="22" customFormat="1" hidden="1">
      <c r="A90" s="110"/>
      <c r="B90" s="278"/>
      <c r="C90" s="308"/>
      <c r="D90" s="179"/>
      <c r="E90" s="179"/>
      <c r="F90" s="179"/>
      <c r="G90" s="179"/>
      <c r="H90" s="283">
        <f>SUM(H88:H89)</f>
        <v>2.2599999999999999E-2</v>
      </c>
      <c r="J90" s="10"/>
    </row>
    <row r="91" spans="1:12" s="22" customFormat="1" hidden="1">
      <c r="A91" s="110"/>
      <c r="B91" s="278" t="s">
        <v>1780</v>
      </c>
      <c r="C91" s="307" t="s">
        <v>2153</v>
      </c>
      <c r="D91" s="179"/>
      <c r="E91" s="179" t="s">
        <v>35</v>
      </c>
      <c r="F91" s="277">
        <f>H90</f>
        <v>2.2599999999999999E-2</v>
      </c>
      <c r="G91" s="281">
        <f>'MINI SSR 2025-26'!$C$145</f>
        <v>79384</v>
      </c>
      <c r="H91" s="173">
        <f t="shared" ref="H91:H94" si="7">ROUND(F91*G91,2)</f>
        <v>1794.08</v>
      </c>
      <c r="J91" s="10"/>
    </row>
    <row r="92" spans="1:12" s="22" customFormat="1" hidden="1">
      <c r="A92" s="110"/>
      <c r="B92" s="179" t="s">
        <v>2096</v>
      </c>
      <c r="C92" s="307" t="s">
        <v>2095</v>
      </c>
      <c r="D92" s="179"/>
      <c r="E92" s="179" t="s">
        <v>11</v>
      </c>
      <c r="F92" s="189">
        <v>2</v>
      </c>
      <c r="G92" s="281">
        <v>67</v>
      </c>
      <c r="H92" s="173">
        <f t="shared" si="7"/>
        <v>134</v>
      </c>
      <c r="J92" s="10"/>
    </row>
    <row r="93" spans="1:12" hidden="1">
      <c r="A93" s="110"/>
      <c r="B93" s="179" t="s">
        <v>2098</v>
      </c>
      <c r="C93" s="307" t="s">
        <v>2206</v>
      </c>
      <c r="D93" s="179"/>
      <c r="E93" s="179" t="s">
        <v>11</v>
      </c>
      <c r="F93" s="189">
        <v>6</v>
      </c>
      <c r="G93" s="281">
        <v>89</v>
      </c>
      <c r="H93" s="173">
        <f t="shared" si="7"/>
        <v>534</v>
      </c>
      <c r="I93" s="10"/>
    </row>
    <row r="94" spans="1:12" hidden="1">
      <c r="A94" s="110"/>
      <c r="B94" s="179" t="s">
        <v>2208</v>
      </c>
      <c r="C94" s="307" t="s">
        <v>2207</v>
      </c>
      <c r="D94" s="179"/>
      <c r="E94" s="179" t="s">
        <v>11</v>
      </c>
      <c r="F94" s="189">
        <v>2</v>
      </c>
      <c r="G94" s="281">
        <v>63</v>
      </c>
      <c r="H94" s="173">
        <f t="shared" si="7"/>
        <v>126</v>
      </c>
      <c r="I94" s="10"/>
    </row>
    <row r="95" spans="1:12" hidden="1">
      <c r="A95" s="110"/>
      <c r="B95" s="179"/>
      <c r="C95" s="307" t="s">
        <v>2209</v>
      </c>
      <c r="D95" s="179"/>
      <c r="E95" s="179" t="s">
        <v>139</v>
      </c>
      <c r="F95" s="189">
        <v>23</v>
      </c>
      <c r="G95" s="281">
        <f>'lead 25-26'!$L$11/1000</f>
        <v>61</v>
      </c>
      <c r="H95" s="173">
        <f>ROUND(F95*G95,2)</f>
        <v>1403</v>
      </c>
      <c r="I95" s="10"/>
    </row>
    <row r="96" spans="1:12" hidden="1">
      <c r="A96" s="179"/>
      <c r="B96" s="179"/>
      <c r="C96" s="308" t="s">
        <v>68</v>
      </c>
      <c r="D96" s="179"/>
      <c r="E96" s="179"/>
      <c r="F96" s="281"/>
      <c r="G96" s="285"/>
      <c r="H96" s="173"/>
    </row>
    <row r="97" spans="1:12" hidden="1">
      <c r="A97" s="179"/>
      <c r="B97" s="179" t="s">
        <v>1782</v>
      </c>
      <c r="C97" s="307" t="s">
        <v>1190</v>
      </c>
      <c r="D97" s="179"/>
      <c r="E97" s="179" t="s">
        <v>102</v>
      </c>
      <c r="F97" s="281">
        <f>ROUND(0.9*1.35,2)</f>
        <v>1.22</v>
      </c>
      <c r="G97" s="281">
        <f>'MINI SSR 2025-26'!$C$150</f>
        <v>2083</v>
      </c>
      <c r="H97" s="173">
        <f>ROUND(F97*G97,2)</f>
        <v>2541.2600000000002</v>
      </c>
      <c r="L97" s="20"/>
    </row>
    <row r="98" spans="1:12" hidden="1">
      <c r="A98" s="179"/>
      <c r="B98" s="179"/>
      <c r="C98" s="632" t="s">
        <v>2213</v>
      </c>
      <c r="D98" s="179"/>
      <c r="E98" s="281"/>
      <c r="F98" s="281"/>
      <c r="G98" s="281"/>
      <c r="H98" s="273">
        <v>0</v>
      </c>
      <c r="L98" s="20"/>
    </row>
    <row r="99" spans="1:12" ht="13.5" hidden="1" thickBot="1">
      <c r="A99" s="179"/>
      <c r="B99" s="179"/>
      <c r="C99" s="308"/>
      <c r="D99" s="179"/>
      <c r="E99" s="179"/>
      <c r="F99" s="179"/>
      <c r="G99" s="179"/>
      <c r="H99" s="282">
        <f>SUM(H91:H98)</f>
        <v>6532.34</v>
      </c>
      <c r="L99" s="276"/>
    </row>
    <row r="100" spans="1:12" ht="127.5" hidden="1">
      <c r="A100" s="110">
        <v>6</v>
      </c>
      <c r="B100" s="278"/>
      <c r="C100" s="307" t="s">
        <v>1110</v>
      </c>
      <c r="D100" s="179"/>
      <c r="E100" s="179"/>
      <c r="F100" s="179"/>
      <c r="G100" s="179"/>
      <c r="H100" s="273"/>
    </row>
    <row r="101" spans="1:12" hidden="1">
      <c r="A101" s="110"/>
      <c r="B101" s="278"/>
      <c r="C101" s="308" t="s">
        <v>100</v>
      </c>
      <c r="D101" s="179"/>
      <c r="E101" s="179"/>
      <c r="F101" s="179"/>
      <c r="G101" s="179"/>
      <c r="H101" s="273"/>
    </row>
    <row r="102" spans="1:12" s="22" customFormat="1" hidden="1">
      <c r="A102" s="110"/>
      <c r="B102" s="278"/>
      <c r="C102" s="308" t="s">
        <v>1</v>
      </c>
      <c r="D102" s="179"/>
      <c r="E102" s="179"/>
      <c r="F102" s="179"/>
      <c r="G102" s="179"/>
      <c r="H102" s="273"/>
      <c r="J102" s="10"/>
    </row>
    <row r="103" spans="1:12" s="22" customFormat="1" hidden="1">
      <c r="A103" s="110"/>
      <c r="B103" s="278"/>
      <c r="C103" s="307" t="s">
        <v>2</v>
      </c>
      <c r="D103" s="342">
        <v>2</v>
      </c>
      <c r="E103" s="343">
        <v>1.9</v>
      </c>
      <c r="F103" s="344">
        <v>0.1</v>
      </c>
      <c r="G103" s="344">
        <v>7.4999999999999997E-2</v>
      </c>
      <c r="H103" s="340">
        <f>ROUND(D103*E103*F103*G103,4)</f>
        <v>2.8500000000000001E-2</v>
      </c>
      <c r="J103" s="10"/>
    </row>
    <row r="104" spans="1:12" s="22" customFormat="1" hidden="1">
      <c r="A104" s="110"/>
      <c r="B104" s="278"/>
      <c r="C104" s="307" t="s">
        <v>734</v>
      </c>
      <c r="D104" s="342">
        <v>1</v>
      </c>
      <c r="E104" s="343">
        <v>1.2</v>
      </c>
      <c r="F104" s="344">
        <v>0.1</v>
      </c>
      <c r="G104" s="344">
        <v>7.4999999999999997E-2</v>
      </c>
      <c r="H104" s="340">
        <f>ROUND(D104*E104*F104*G104,4)</f>
        <v>8.9999999999999993E-3</v>
      </c>
      <c r="J104" s="10"/>
    </row>
    <row r="105" spans="1:12" s="22" customFormat="1" hidden="1">
      <c r="A105" s="110"/>
      <c r="B105" s="278"/>
      <c r="C105" s="308"/>
      <c r="D105" s="179"/>
      <c r="E105" s="179"/>
      <c r="F105" s="179"/>
      <c r="G105" s="179"/>
      <c r="H105" s="283">
        <f>SUM(H103:H104)</f>
        <v>3.7499999999999999E-2</v>
      </c>
      <c r="J105" s="10"/>
    </row>
    <row r="106" spans="1:12" s="22" customFormat="1" hidden="1">
      <c r="A106" s="110"/>
      <c r="B106" s="179" t="s">
        <v>1175</v>
      </c>
      <c r="C106" s="307" t="s">
        <v>1174</v>
      </c>
      <c r="D106" s="179"/>
      <c r="E106" s="179" t="s">
        <v>35</v>
      </c>
      <c r="F106" s="277">
        <f>H105</f>
        <v>3.7499999999999999E-2</v>
      </c>
      <c r="G106" s="281">
        <f>'MINI SSR 2025-26'!C142</f>
        <v>86688</v>
      </c>
      <c r="H106" s="173">
        <f t="shared" ref="H106:H114" si="8">ROUND(F106*G106,2)</f>
        <v>3250.8</v>
      </c>
      <c r="J106" s="10"/>
    </row>
    <row r="107" spans="1:12" s="22" customFormat="1" hidden="1">
      <c r="A107" s="110"/>
      <c r="B107" s="179" t="s">
        <v>1193</v>
      </c>
      <c r="C107" s="307" t="s">
        <v>1192</v>
      </c>
      <c r="D107" s="179"/>
      <c r="E107" s="179" t="s">
        <v>102</v>
      </c>
      <c r="F107" s="277">
        <f>ROUND(1.05*1.995,2)</f>
        <v>2.09</v>
      </c>
      <c r="G107" s="281">
        <f>'MINI SSR 2025-26'!C146</f>
        <v>3688</v>
      </c>
      <c r="H107" s="173">
        <f t="shared" si="8"/>
        <v>7707.92</v>
      </c>
      <c r="J107" s="10"/>
    </row>
    <row r="108" spans="1:12" s="22" customFormat="1" hidden="1">
      <c r="A108" s="110"/>
      <c r="B108" s="179" t="s">
        <v>1195</v>
      </c>
      <c r="C108" s="307" t="s">
        <v>1194</v>
      </c>
      <c r="D108" s="179"/>
      <c r="E108" s="179" t="s">
        <v>102</v>
      </c>
      <c r="F108" s="277">
        <f>ROUND(1.05*1.995,2)</f>
        <v>2.09</v>
      </c>
      <c r="G108" s="281">
        <f>'MINI SSR 2025-26'!C151</f>
        <v>1269</v>
      </c>
      <c r="H108" s="173">
        <f t="shared" si="8"/>
        <v>2652.21</v>
      </c>
      <c r="J108" s="10"/>
    </row>
    <row r="109" spans="1:12" hidden="1">
      <c r="A109" s="110"/>
      <c r="B109" s="179" t="s">
        <v>1197</v>
      </c>
      <c r="C109" s="307" t="s">
        <v>1196</v>
      </c>
      <c r="D109" s="179"/>
      <c r="E109" s="179" t="s">
        <v>11</v>
      </c>
      <c r="F109" s="189">
        <v>2</v>
      </c>
      <c r="G109" s="281">
        <f>'MINI SSR 2025-26'!$G$143</f>
        <v>95</v>
      </c>
      <c r="H109" s="173">
        <f t="shared" si="8"/>
        <v>190</v>
      </c>
      <c r="I109" s="10"/>
    </row>
    <row r="110" spans="1:12" hidden="1">
      <c r="A110" s="110"/>
      <c r="B110" s="179" t="s">
        <v>1199</v>
      </c>
      <c r="C110" s="307" t="s">
        <v>1198</v>
      </c>
      <c r="D110" s="179"/>
      <c r="E110" s="179" t="s">
        <v>11</v>
      </c>
      <c r="F110" s="189">
        <v>3</v>
      </c>
      <c r="G110" s="281">
        <f>'MINI SSR 2025-26'!$G$146</f>
        <v>142</v>
      </c>
      <c r="H110" s="173">
        <f t="shared" si="8"/>
        <v>426</v>
      </c>
      <c r="I110" s="10"/>
    </row>
    <row r="111" spans="1:12" hidden="1">
      <c r="A111" s="110"/>
      <c r="B111" s="179" t="s">
        <v>1183</v>
      </c>
      <c r="C111" s="307" t="s">
        <v>1182</v>
      </c>
      <c r="D111" s="179"/>
      <c r="E111" s="179" t="s">
        <v>11</v>
      </c>
      <c r="F111" s="189">
        <v>2</v>
      </c>
      <c r="G111" s="281">
        <f>'MINI SSR 2025-26'!$G$147</f>
        <v>134</v>
      </c>
      <c r="H111" s="173">
        <f t="shared" si="8"/>
        <v>268</v>
      </c>
      <c r="I111" s="10"/>
    </row>
    <row r="112" spans="1:12" hidden="1">
      <c r="A112" s="110"/>
      <c r="B112" s="179" t="s">
        <v>1201</v>
      </c>
      <c r="C112" s="307" t="s">
        <v>1200</v>
      </c>
      <c r="D112" s="179"/>
      <c r="E112" s="179" t="s">
        <v>11</v>
      </c>
      <c r="F112" s="189">
        <v>2</v>
      </c>
      <c r="G112" s="281">
        <f>'MINI SSR 2025-26'!$G$149</f>
        <v>368</v>
      </c>
      <c r="H112" s="173">
        <f t="shared" si="8"/>
        <v>736</v>
      </c>
      <c r="I112" s="10"/>
    </row>
    <row r="113" spans="1:12" hidden="1">
      <c r="A113" s="110"/>
      <c r="B113" s="179" t="s">
        <v>1203</v>
      </c>
      <c r="C113" s="307" t="s">
        <v>1202</v>
      </c>
      <c r="D113" s="179"/>
      <c r="E113" s="179" t="s">
        <v>11</v>
      </c>
      <c r="F113" s="189">
        <v>1</v>
      </c>
      <c r="G113" s="281">
        <f>'MINI SSR 2025-26'!$G$151</f>
        <v>54</v>
      </c>
      <c r="H113" s="173">
        <f t="shared" si="8"/>
        <v>54</v>
      </c>
      <c r="I113" s="10"/>
    </row>
    <row r="114" spans="1:12" hidden="1">
      <c r="A114" s="110"/>
      <c r="B114" s="179" t="s">
        <v>1189</v>
      </c>
      <c r="C114" s="307" t="s">
        <v>1188</v>
      </c>
      <c r="D114" s="179"/>
      <c r="E114" s="179" t="s">
        <v>11</v>
      </c>
      <c r="F114" s="189">
        <v>6</v>
      </c>
      <c r="G114" s="281">
        <f>'MINI SSR 2025-26'!$G$152</f>
        <v>43</v>
      </c>
      <c r="H114" s="173">
        <f t="shared" si="8"/>
        <v>258</v>
      </c>
      <c r="I114" s="10"/>
    </row>
    <row r="115" spans="1:12" hidden="1">
      <c r="A115" s="179"/>
      <c r="B115" s="179"/>
      <c r="C115" s="308" t="s">
        <v>68</v>
      </c>
      <c r="D115" s="179"/>
      <c r="E115" s="179"/>
      <c r="F115" s="281"/>
      <c r="G115" s="285"/>
      <c r="H115" s="173"/>
    </row>
    <row r="116" spans="1:12" ht="25.5" hidden="1">
      <c r="A116" s="179"/>
      <c r="B116" s="179" t="s">
        <v>1191</v>
      </c>
      <c r="C116" s="307" t="s">
        <v>1204</v>
      </c>
      <c r="D116" s="179"/>
      <c r="E116" s="179" t="s">
        <v>102</v>
      </c>
      <c r="F116" s="281">
        <f>ROUND(1.2*2.1,2)</f>
        <v>2.52</v>
      </c>
      <c r="G116" s="281">
        <f>'MINI SSR 2025-26'!$C$149</f>
        <v>2115</v>
      </c>
      <c r="H116" s="173">
        <f>ROUND(F116*G116*1/3,2)</f>
        <v>1776.6</v>
      </c>
      <c r="L116" s="20"/>
    </row>
    <row r="117" spans="1:12" ht="13.5" hidden="1" thickBot="1">
      <c r="A117" s="179"/>
      <c r="B117" s="179"/>
      <c r="C117" s="308"/>
      <c r="D117" s="179"/>
      <c r="E117" s="179"/>
      <c r="F117" s="179"/>
      <c r="G117" s="179"/>
      <c r="H117" s="282">
        <f>SUM(H106:H116)</f>
        <v>17319.53</v>
      </c>
      <c r="L117" s="276"/>
    </row>
    <row r="118" spans="1:12" ht="127.5" hidden="1">
      <c r="A118" s="110">
        <v>7</v>
      </c>
      <c r="B118" s="278"/>
      <c r="C118" s="307" t="s">
        <v>1344</v>
      </c>
      <c r="D118" s="179"/>
      <c r="E118" s="179"/>
      <c r="F118" s="179"/>
      <c r="G118" s="179"/>
      <c r="H118" s="273"/>
    </row>
    <row r="119" spans="1:12" hidden="1">
      <c r="A119" s="110"/>
      <c r="B119" s="278"/>
      <c r="C119" s="308" t="s">
        <v>100</v>
      </c>
      <c r="D119" s="179"/>
      <c r="E119" s="179"/>
      <c r="F119" s="179"/>
      <c r="G119" s="179"/>
      <c r="H119" s="273"/>
    </row>
    <row r="120" spans="1:12" s="22" customFormat="1" hidden="1">
      <c r="A120" s="110"/>
      <c r="B120" s="278"/>
      <c r="C120" s="308" t="s">
        <v>587</v>
      </c>
      <c r="D120" s="179"/>
      <c r="E120" s="179"/>
      <c r="F120" s="179"/>
      <c r="G120" s="179"/>
      <c r="H120" s="273"/>
      <c r="J120" s="10"/>
    </row>
    <row r="121" spans="1:12" s="22" customFormat="1" hidden="1">
      <c r="A121" s="110"/>
      <c r="B121" s="278"/>
      <c r="C121" s="307" t="s">
        <v>2</v>
      </c>
      <c r="D121" s="342">
        <v>2</v>
      </c>
      <c r="E121" s="343">
        <v>1.9</v>
      </c>
      <c r="F121" s="344">
        <v>0.1</v>
      </c>
      <c r="G121" s="344">
        <v>7.4999999999999997E-2</v>
      </c>
      <c r="H121" s="340">
        <f>ROUND(D121*E121*F121*G121,4)</f>
        <v>2.8500000000000001E-2</v>
      </c>
      <c r="J121" s="10"/>
    </row>
    <row r="122" spans="1:12" s="22" customFormat="1" hidden="1">
      <c r="A122" s="110"/>
      <c r="B122" s="278"/>
      <c r="C122" s="307" t="s">
        <v>734</v>
      </c>
      <c r="D122" s="342">
        <v>1</v>
      </c>
      <c r="E122" s="343">
        <v>0.9</v>
      </c>
      <c r="F122" s="344">
        <v>0.1</v>
      </c>
      <c r="G122" s="344">
        <v>7.4999999999999997E-2</v>
      </c>
      <c r="H122" s="340">
        <f>ROUND(D122*E122*F122*G122,4)</f>
        <v>6.7999999999999996E-3</v>
      </c>
      <c r="J122" s="10"/>
    </row>
    <row r="123" spans="1:12" s="22" customFormat="1" hidden="1">
      <c r="A123" s="110"/>
      <c r="B123" s="278"/>
      <c r="C123" s="308"/>
      <c r="D123" s="342"/>
      <c r="E123" s="342"/>
      <c r="F123" s="342"/>
      <c r="G123" s="342"/>
      <c r="H123" s="341">
        <f>SUM(H121:H122)</f>
        <v>3.5299999999999998E-2</v>
      </c>
      <c r="J123" s="10"/>
    </row>
    <row r="124" spans="1:12" s="22" customFormat="1" hidden="1">
      <c r="A124" s="110"/>
      <c r="B124" s="278"/>
      <c r="C124" s="308" t="s">
        <v>314</v>
      </c>
      <c r="D124" s="342">
        <v>1</v>
      </c>
      <c r="E124" s="343">
        <v>2.0099999999999998</v>
      </c>
      <c r="F124" s="344">
        <v>0.8</v>
      </c>
      <c r="G124" s="344">
        <v>0.03</v>
      </c>
      <c r="H124" s="340">
        <f>ROUND(D124*E124*F124*G124,4)</f>
        <v>4.82E-2</v>
      </c>
      <c r="J124" s="10"/>
    </row>
    <row r="125" spans="1:12" s="22" customFormat="1" hidden="1">
      <c r="A125" s="110"/>
      <c r="B125" s="278"/>
      <c r="C125" s="307"/>
      <c r="D125" s="342"/>
      <c r="E125" s="342"/>
      <c r="F125" s="342"/>
      <c r="G125" s="342"/>
      <c r="H125" s="341">
        <f>SUM(H124:H124)</f>
        <v>4.82E-2</v>
      </c>
      <c r="J125" s="10"/>
    </row>
    <row r="126" spans="1:12" s="22" customFormat="1" hidden="1">
      <c r="A126" s="110"/>
      <c r="B126" s="278" t="s">
        <v>1175</v>
      </c>
      <c r="C126" s="307" t="s">
        <v>1174</v>
      </c>
      <c r="E126" s="179" t="s">
        <v>35</v>
      </c>
      <c r="F126" s="277">
        <f>H123</f>
        <v>3.5299999999999998E-2</v>
      </c>
      <c r="G126" s="281">
        <f>'MINI SSR 2025-26'!C142</f>
        <v>86688</v>
      </c>
      <c r="H126" s="173">
        <f t="shared" ref="H126:H133" si="9">ROUND(F126*G126,2)</f>
        <v>3060.09</v>
      </c>
      <c r="J126" s="10"/>
    </row>
    <row r="127" spans="1:12" s="22" customFormat="1" hidden="1">
      <c r="A127" s="110"/>
      <c r="B127" s="278" t="s">
        <v>1177</v>
      </c>
      <c r="C127" s="307" t="s">
        <v>1176</v>
      </c>
      <c r="E127" s="179" t="s">
        <v>35</v>
      </c>
      <c r="F127" s="277">
        <f>H125</f>
        <v>4.82E-2</v>
      </c>
      <c r="G127" s="281">
        <f>'MINI SSR 2025-26'!C143</f>
        <v>174890</v>
      </c>
      <c r="H127" s="173">
        <f t="shared" si="9"/>
        <v>8429.7000000000007</v>
      </c>
      <c r="J127" s="10"/>
    </row>
    <row r="128" spans="1:12" s="22" customFormat="1" hidden="1">
      <c r="A128" s="110"/>
      <c r="B128" s="278" t="s">
        <v>1179</v>
      </c>
      <c r="C128" s="307" t="s">
        <v>1178</v>
      </c>
      <c r="D128" s="179"/>
      <c r="E128" s="179" t="s">
        <v>11</v>
      </c>
      <c r="F128" s="189">
        <v>2</v>
      </c>
      <c r="G128" s="281">
        <f>'MINI SSR 2025-26'!G142</f>
        <v>303</v>
      </c>
      <c r="H128" s="173">
        <f t="shared" si="9"/>
        <v>606</v>
      </c>
      <c r="J128" s="10"/>
    </row>
    <row r="129" spans="1:10" s="22" customFormat="1" hidden="1">
      <c r="A129" s="110"/>
      <c r="B129" s="278" t="s">
        <v>1181</v>
      </c>
      <c r="C129" s="307" t="s">
        <v>1180</v>
      </c>
      <c r="D129" s="179"/>
      <c r="E129" s="179" t="s">
        <v>11</v>
      </c>
      <c r="F129" s="189">
        <v>3</v>
      </c>
      <c r="G129" s="281">
        <f>'MINI SSR 2025-26'!G145</f>
        <v>300</v>
      </c>
      <c r="H129" s="173">
        <f t="shared" si="9"/>
        <v>900</v>
      </c>
      <c r="J129" s="10"/>
    </row>
    <row r="130" spans="1:10" s="22" customFormat="1" hidden="1">
      <c r="A130" s="110"/>
      <c r="B130" s="278" t="s">
        <v>1183</v>
      </c>
      <c r="C130" s="307" t="s">
        <v>1182</v>
      </c>
      <c r="D130" s="179"/>
      <c r="E130" s="179" t="s">
        <v>11</v>
      </c>
      <c r="F130" s="189"/>
      <c r="G130" s="281">
        <f>'MINI SSR 2025-26'!G147</f>
        <v>134</v>
      </c>
      <c r="H130" s="173">
        <f t="shared" si="9"/>
        <v>0</v>
      </c>
      <c r="J130" s="10"/>
    </row>
    <row r="131" spans="1:10" s="22" customFormat="1" hidden="1">
      <c r="A131" s="110"/>
      <c r="B131" s="278" t="s">
        <v>1185</v>
      </c>
      <c r="C131" s="307" t="s">
        <v>1184</v>
      </c>
      <c r="D131" s="179"/>
      <c r="E131" s="179" t="s">
        <v>11</v>
      </c>
      <c r="F131" s="189">
        <v>2</v>
      </c>
      <c r="G131" s="281">
        <f>'MINI SSR 2025-26'!G148</f>
        <v>1378</v>
      </c>
      <c r="H131" s="173">
        <f t="shared" si="9"/>
        <v>2756</v>
      </c>
      <c r="J131" s="10"/>
    </row>
    <row r="132" spans="1:10" hidden="1">
      <c r="A132" s="110"/>
      <c r="B132" s="278" t="s">
        <v>1187</v>
      </c>
      <c r="C132" s="307" t="s">
        <v>1186</v>
      </c>
      <c r="D132" s="179"/>
      <c r="E132" s="179" t="s">
        <v>11</v>
      </c>
      <c r="F132" s="189">
        <v>1</v>
      </c>
      <c r="G132" s="281">
        <f>'MINI SSR 2025-26'!G150</f>
        <v>214</v>
      </c>
      <c r="H132" s="173">
        <f t="shared" si="9"/>
        <v>214</v>
      </c>
      <c r="I132" s="10"/>
    </row>
    <row r="133" spans="1:10" hidden="1">
      <c r="A133" s="110"/>
      <c r="B133" s="278" t="s">
        <v>1189</v>
      </c>
      <c r="C133" s="307" t="s">
        <v>1188</v>
      </c>
      <c r="D133" s="179"/>
      <c r="E133" s="179" t="s">
        <v>11</v>
      </c>
      <c r="F133" s="189">
        <v>6</v>
      </c>
      <c r="G133" s="281">
        <f>'MINI SSR 2025-26'!G152</f>
        <v>43</v>
      </c>
      <c r="H133" s="173">
        <f t="shared" si="9"/>
        <v>258</v>
      </c>
      <c r="I133" s="10"/>
    </row>
    <row r="134" spans="1:10" hidden="1">
      <c r="A134" s="110"/>
      <c r="B134" s="278"/>
      <c r="C134" s="308" t="s">
        <v>68</v>
      </c>
      <c r="D134" s="10"/>
      <c r="E134" s="179"/>
      <c r="F134" s="281"/>
      <c r="G134" s="285"/>
      <c r="H134" s="173"/>
      <c r="I134" s="10"/>
    </row>
    <row r="135" spans="1:10" hidden="1">
      <c r="A135" s="110"/>
      <c r="B135" s="179" t="s">
        <v>1191</v>
      </c>
      <c r="C135" s="307" t="s">
        <v>1190</v>
      </c>
      <c r="D135" s="10"/>
      <c r="E135" s="179" t="s">
        <v>102</v>
      </c>
      <c r="F135" s="281">
        <f>ROUND(0.9*2.1,2)</f>
        <v>1.89</v>
      </c>
      <c r="G135" s="281">
        <f>'MINI SSR 2025-26'!C149</f>
        <v>2115</v>
      </c>
      <c r="H135" s="173">
        <f>ROUND(F135*G135*1/3,2)</f>
        <v>1332.45</v>
      </c>
      <c r="I135" s="10"/>
    </row>
    <row r="136" spans="1:10" hidden="1">
      <c r="A136" s="110"/>
      <c r="B136" s="278"/>
      <c r="C136" s="308"/>
      <c r="D136" s="179"/>
      <c r="E136" s="179"/>
      <c r="F136" s="179"/>
      <c r="G136" s="179"/>
      <c r="H136" s="282">
        <f>SUM(H126:H135)</f>
        <v>17556.240000000002</v>
      </c>
      <c r="I136" s="10"/>
    </row>
    <row r="137" spans="1:10" ht="114.75" hidden="1">
      <c r="A137" s="110">
        <v>8</v>
      </c>
      <c r="B137" s="278"/>
      <c r="C137" s="307" t="s">
        <v>2150</v>
      </c>
      <c r="D137" s="179"/>
      <c r="E137" s="179"/>
      <c r="F137" s="179"/>
      <c r="G137" s="179"/>
      <c r="H137" s="273"/>
    </row>
    <row r="138" spans="1:10" hidden="1">
      <c r="A138" s="110"/>
      <c r="B138" s="278"/>
      <c r="C138" s="308" t="s">
        <v>100</v>
      </c>
      <c r="D138" s="179"/>
      <c r="E138" s="179"/>
      <c r="F138" s="179"/>
      <c r="G138" s="179"/>
      <c r="H138" s="273"/>
    </row>
    <row r="139" spans="1:10" s="22" customFormat="1" hidden="1">
      <c r="A139" s="110"/>
      <c r="B139" s="278"/>
      <c r="C139" s="308" t="s">
        <v>1</v>
      </c>
      <c r="D139" s="179"/>
      <c r="E139" s="179"/>
      <c r="F139" s="179"/>
      <c r="G139" s="179"/>
      <c r="H139" s="273"/>
      <c r="J139" s="10"/>
    </row>
    <row r="140" spans="1:10" s="22" customFormat="1" hidden="1">
      <c r="A140" s="110"/>
      <c r="B140" s="278"/>
      <c r="C140" s="307" t="s">
        <v>2</v>
      </c>
      <c r="D140" s="342">
        <v>2</v>
      </c>
      <c r="E140" s="343">
        <v>1.9</v>
      </c>
      <c r="F140" s="344">
        <v>0.1</v>
      </c>
      <c r="G140" s="344">
        <v>7.4999999999999997E-2</v>
      </c>
      <c r="H140" s="340">
        <f>ROUND(D140*E140*F140*G140,4)</f>
        <v>2.8500000000000001E-2</v>
      </c>
      <c r="J140" s="10"/>
    </row>
    <row r="141" spans="1:10" s="22" customFormat="1" hidden="1">
      <c r="A141" s="110"/>
      <c r="B141" s="278"/>
      <c r="C141" s="307" t="s">
        <v>734</v>
      </c>
      <c r="D141" s="342">
        <v>1</v>
      </c>
      <c r="E141" s="343">
        <v>0.9</v>
      </c>
      <c r="F141" s="344">
        <v>0.1</v>
      </c>
      <c r="G141" s="344">
        <v>7.4999999999999997E-2</v>
      </c>
      <c r="H141" s="340">
        <f>ROUND(D141*E141*F141*G141,4)</f>
        <v>6.7999999999999996E-3</v>
      </c>
      <c r="J141" s="10"/>
    </row>
    <row r="142" spans="1:10" s="22" customFormat="1" hidden="1">
      <c r="A142" s="110"/>
      <c r="B142" s="278"/>
      <c r="C142" s="308"/>
      <c r="D142" s="342"/>
      <c r="E142" s="342"/>
      <c r="F142" s="342"/>
      <c r="G142" s="342"/>
      <c r="H142" s="341">
        <f>SUM(H140:H141)</f>
        <v>3.5299999999999998E-2</v>
      </c>
      <c r="J142" s="10"/>
    </row>
    <row r="143" spans="1:10" s="22" customFormat="1" hidden="1">
      <c r="A143" s="110"/>
      <c r="B143" s="278"/>
      <c r="C143" s="308" t="s">
        <v>2151</v>
      </c>
      <c r="D143" s="342">
        <v>2</v>
      </c>
      <c r="E143" s="343">
        <v>2.0099999999999998</v>
      </c>
      <c r="F143" s="344">
        <v>0.4</v>
      </c>
      <c r="G143" s="344">
        <v>0.03</v>
      </c>
      <c r="H143" s="340">
        <f>ROUND(D143*E143*F143*G143,4)</f>
        <v>4.82E-2</v>
      </c>
      <c r="J143" s="10"/>
    </row>
    <row r="144" spans="1:10" s="22" customFormat="1" hidden="1">
      <c r="A144" s="110"/>
      <c r="B144" s="278"/>
      <c r="C144" s="307"/>
      <c r="D144" s="342"/>
      <c r="E144" s="342"/>
      <c r="F144" s="342"/>
      <c r="G144" s="342"/>
      <c r="H144" s="341">
        <f>SUM(H143:H143)</f>
        <v>4.82E-2</v>
      </c>
      <c r="J144" s="10"/>
    </row>
    <row r="145" spans="1:10" s="22" customFormat="1" hidden="1">
      <c r="A145" s="110"/>
      <c r="B145" s="278" t="s">
        <v>1779</v>
      </c>
      <c r="C145" s="307" t="s">
        <v>2152</v>
      </c>
      <c r="D145" s="179"/>
      <c r="E145" s="179" t="s">
        <v>35</v>
      </c>
      <c r="F145" s="277">
        <f>H142</f>
        <v>3.5299999999999998E-2</v>
      </c>
      <c r="G145" s="281">
        <f>'MINI SSR 2025-26'!C144</f>
        <v>55780</v>
      </c>
      <c r="H145" s="173">
        <f t="shared" ref="H145:H152" si="10">ROUND(F145*G145,2)</f>
        <v>1969.03</v>
      </c>
      <c r="J145" s="10"/>
    </row>
    <row r="146" spans="1:10" s="22" customFormat="1" hidden="1">
      <c r="A146" s="110"/>
      <c r="B146" s="278" t="s">
        <v>1780</v>
      </c>
      <c r="C146" s="307" t="s">
        <v>2153</v>
      </c>
      <c r="D146" s="179"/>
      <c r="E146" s="179" t="s">
        <v>35</v>
      </c>
      <c r="F146" s="277">
        <f>H144</f>
        <v>4.82E-2</v>
      </c>
      <c r="G146" s="281">
        <f>'MINI SSR 2025-26'!C145</f>
        <v>79384</v>
      </c>
      <c r="H146" s="173">
        <f t="shared" si="10"/>
        <v>3826.31</v>
      </c>
      <c r="J146" s="10"/>
    </row>
    <row r="147" spans="1:10" s="22" customFormat="1" hidden="1">
      <c r="A147" s="110"/>
      <c r="B147" s="278" t="s">
        <v>1197</v>
      </c>
      <c r="C147" s="307" t="s">
        <v>2154</v>
      </c>
      <c r="D147" s="179"/>
      <c r="E147" s="179" t="s">
        <v>11</v>
      </c>
      <c r="F147" s="189">
        <v>2</v>
      </c>
      <c r="G147" s="281">
        <f>'MINI SSR 2025-26'!G143</f>
        <v>95</v>
      </c>
      <c r="H147" s="173">
        <f t="shared" si="10"/>
        <v>190</v>
      </c>
      <c r="J147" s="10"/>
    </row>
    <row r="148" spans="1:10" s="22" customFormat="1" hidden="1">
      <c r="A148" s="110"/>
      <c r="B148" s="278" t="s">
        <v>1199</v>
      </c>
      <c r="C148" s="307" t="s">
        <v>2157</v>
      </c>
      <c r="D148" s="179"/>
      <c r="E148" s="179" t="s">
        <v>11</v>
      </c>
      <c r="F148" s="189">
        <v>6</v>
      </c>
      <c r="G148" s="281">
        <f>'MINI SSR 2025-26'!G146</f>
        <v>142</v>
      </c>
      <c r="H148" s="173">
        <f t="shared" si="10"/>
        <v>852</v>
      </c>
      <c r="J148" s="10"/>
    </row>
    <row r="149" spans="1:10" s="22" customFormat="1" hidden="1">
      <c r="A149" s="110"/>
      <c r="B149" s="278" t="s">
        <v>1183</v>
      </c>
      <c r="C149" s="307" t="s">
        <v>1182</v>
      </c>
      <c r="D149" s="179"/>
      <c r="E149" s="179" t="s">
        <v>11</v>
      </c>
      <c r="F149" s="189"/>
      <c r="G149" s="281">
        <v>103</v>
      </c>
      <c r="H149" s="173">
        <f t="shared" si="10"/>
        <v>0</v>
      </c>
      <c r="J149" s="10"/>
    </row>
    <row r="150" spans="1:10" s="22" customFormat="1" hidden="1">
      <c r="A150" s="110"/>
      <c r="B150" s="278" t="s">
        <v>1201</v>
      </c>
      <c r="C150" s="307" t="s">
        <v>2155</v>
      </c>
      <c r="D150" s="179"/>
      <c r="E150" s="179" t="s">
        <v>11</v>
      </c>
      <c r="F150" s="189">
        <v>2</v>
      </c>
      <c r="G150" s="281">
        <f>'MINI SSR 2025-26'!G149</f>
        <v>368</v>
      </c>
      <c r="H150" s="173">
        <f t="shared" si="10"/>
        <v>736</v>
      </c>
      <c r="J150" s="10"/>
    </row>
    <row r="151" spans="1:10" hidden="1">
      <c r="A151" s="110"/>
      <c r="B151" s="278" t="s">
        <v>1787</v>
      </c>
      <c r="C151" s="307" t="s">
        <v>2156</v>
      </c>
      <c r="D151" s="179"/>
      <c r="E151" s="179" t="s">
        <v>11</v>
      </c>
      <c r="F151" s="189">
        <v>1</v>
      </c>
      <c r="G151" s="281">
        <f>'MINI SSR 2025-26'!G155</f>
        <v>70</v>
      </c>
      <c r="H151" s="173">
        <f t="shared" si="10"/>
        <v>70</v>
      </c>
      <c r="I151" s="10"/>
    </row>
    <row r="152" spans="1:10" hidden="1">
      <c r="A152" s="110"/>
      <c r="B152" s="278" t="s">
        <v>1189</v>
      </c>
      <c r="C152" s="307" t="s">
        <v>1188</v>
      </c>
      <c r="D152" s="179"/>
      <c r="E152" s="179" t="s">
        <v>11</v>
      </c>
      <c r="F152" s="189">
        <v>6</v>
      </c>
      <c r="G152" s="281">
        <f>'MINI SSR 2025-26'!G152</f>
        <v>43</v>
      </c>
      <c r="H152" s="173">
        <f t="shared" si="10"/>
        <v>258</v>
      </c>
      <c r="I152" s="10"/>
    </row>
    <row r="153" spans="1:10" hidden="1">
      <c r="A153" s="110"/>
      <c r="B153" s="278"/>
      <c r="C153" s="308" t="s">
        <v>68</v>
      </c>
      <c r="D153" s="179"/>
      <c r="E153" s="179"/>
      <c r="F153" s="281"/>
      <c r="G153" s="285"/>
      <c r="H153" s="173"/>
      <c r="I153" s="10"/>
    </row>
    <row r="154" spans="1:10" hidden="1">
      <c r="A154" s="110"/>
      <c r="B154" s="179" t="s">
        <v>1782</v>
      </c>
      <c r="C154" s="307" t="s">
        <v>1190</v>
      </c>
      <c r="D154" s="179"/>
      <c r="E154" s="179" t="s">
        <v>102</v>
      </c>
      <c r="F154" s="281">
        <f>ROUND(0.9*2.1,2)</f>
        <v>1.89</v>
      </c>
      <c r="G154" s="281">
        <f>'MINI SSR 2025-26'!C150</f>
        <v>2083</v>
      </c>
      <c r="H154" s="173">
        <f>ROUND(F154*G154,2)</f>
        <v>3936.87</v>
      </c>
      <c r="I154" s="10"/>
    </row>
    <row r="155" spans="1:10" hidden="1">
      <c r="A155" s="110"/>
      <c r="B155" s="278"/>
      <c r="C155" s="308"/>
      <c r="D155" s="179"/>
      <c r="E155" s="179"/>
      <c r="F155" s="179"/>
      <c r="G155" s="179"/>
      <c r="H155" s="282">
        <f>SUM(H145:H154)</f>
        <v>11838.21</v>
      </c>
      <c r="I155" s="10"/>
    </row>
    <row r="156" spans="1:10" s="763" customFormat="1" ht="127.5">
      <c r="A156" s="757">
        <v>1</v>
      </c>
      <c r="B156" s="819"/>
      <c r="C156" s="919" t="s">
        <v>1344</v>
      </c>
      <c r="D156" s="820"/>
      <c r="E156" s="820"/>
      <c r="F156" s="820"/>
      <c r="G156" s="820"/>
      <c r="H156" s="825"/>
      <c r="I156" s="821"/>
    </row>
    <row r="157" spans="1:10" s="763" customFormat="1">
      <c r="A157" s="757"/>
      <c r="B157" s="819"/>
      <c r="C157" s="920" t="s">
        <v>100</v>
      </c>
      <c r="D157" s="820"/>
      <c r="E157" s="820"/>
      <c r="F157" s="820"/>
      <c r="G157" s="820"/>
      <c r="H157" s="825"/>
      <c r="I157" s="821"/>
    </row>
    <row r="158" spans="1:10" s="821" customFormat="1">
      <c r="A158" s="757"/>
      <c r="B158" s="819"/>
      <c r="C158" s="920" t="s">
        <v>587</v>
      </c>
      <c r="D158" s="820"/>
      <c r="E158" s="820"/>
      <c r="F158" s="820"/>
      <c r="G158" s="820"/>
      <c r="H158" s="825"/>
      <c r="J158" s="763"/>
    </row>
    <row r="159" spans="1:10" s="821" customFormat="1">
      <c r="A159" s="757"/>
      <c r="B159" s="819"/>
      <c r="C159" s="919" t="s">
        <v>2</v>
      </c>
      <c r="D159" s="921">
        <v>2</v>
      </c>
      <c r="E159" s="922">
        <v>1.9</v>
      </c>
      <c r="F159" s="923">
        <v>0.1</v>
      </c>
      <c r="G159" s="923">
        <v>7.4999999999999997E-2</v>
      </c>
      <c r="H159" s="924">
        <f>ROUND(D159*E159*F159*G159,4)</f>
        <v>2.8500000000000001E-2</v>
      </c>
      <c r="J159" s="763"/>
    </row>
    <row r="160" spans="1:10" s="821" customFormat="1">
      <c r="A160" s="757"/>
      <c r="B160" s="819"/>
      <c r="C160" s="919" t="s">
        <v>734</v>
      </c>
      <c r="D160" s="921">
        <v>2</v>
      </c>
      <c r="E160" s="922">
        <v>0.9</v>
      </c>
      <c r="F160" s="923">
        <v>0.1</v>
      </c>
      <c r="G160" s="923">
        <v>7.4999999999999997E-2</v>
      </c>
      <c r="H160" s="924">
        <f>ROUND(D160*E160*F160*G160,4)</f>
        <v>1.35E-2</v>
      </c>
      <c r="J160" s="763"/>
    </row>
    <row r="161" spans="1:10" s="821" customFormat="1">
      <c r="A161" s="757"/>
      <c r="B161" s="819"/>
      <c r="C161" s="920"/>
      <c r="D161" s="921"/>
      <c r="E161" s="921"/>
      <c r="F161" s="921"/>
      <c r="G161" s="921"/>
      <c r="H161" s="925">
        <f>SUM(H159:H160)</f>
        <v>4.2000000000000003E-2</v>
      </c>
      <c r="J161" s="763"/>
    </row>
    <row r="162" spans="1:10" s="821" customFormat="1">
      <c r="A162" s="757"/>
      <c r="B162" s="819"/>
      <c r="C162" s="920" t="s">
        <v>314</v>
      </c>
      <c r="D162" s="921">
        <v>1</v>
      </c>
      <c r="E162" s="922">
        <v>2.0099999999999998</v>
      </c>
      <c r="F162" s="923">
        <v>0.81</v>
      </c>
      <c r="G162" s="923">
        <v>0.03</v>
      </c>
      <c r="H162" s="924">
        <f>ROUND(D162*E162*F162*G162,4)</f>
        <v>4.8800000000000003E-2</v>
      </c>
      <c r="J162" s="763"/>
    </row>
    <row r="163" spans="1:10" s="821" customFormat="1">
      <c r="A163" s="757"/>
      <c r="B163" s="819"/>
      <c r="C163" s="919"/>
      <c r="D163" s="921"/>
      <c r="E163" s="921"/>
      <c r="F163" s="921"/>
      <c r="G163" s="921"/>
      <c r="H163" s="925">
        <f>SUM(H162:H162)</f>
        <v>4.8800000000000003E-2</v>
      </c>
      <c r="J163" s="763"/>
    </row>
    <row r="164" spans="1:10" s="821" customFormat="1">
      <c r="A164" s="757"/>
      <c r="B164" s="819" t="s">
        <v>1175</v>
      </c>
      <c r="C164" s="919" t="s">
        <v>1174</v>
      </c>
      <c r="E164" s="820" t="s">
        <v>35</v>
      </c>
      <c r="F164" s="833">
        <f>H161</f>
        <v>4.2000000000000003E-2</v>
      </c>
      <c r="G164" s="823">
        <f>'MINI SSR 2025-26'!C142</f>
        <v>86688</v>
      </c>
      <c r="H164" s="824">
        <f t="shared" ref="H164:H171" si="11">ROUND(F164*G164,2)</f>
        <v>3640.9</v>
      </c>
      <c r="J164" s="763"/>
    </row>
    <row r="165" spans="1:10" s="821" customFormat="1">
      <c r="A165" s="757"/>
      <c r="B165" s="819" t="s">
        <v>1177</v>
      </c>
      <c r="C165" s="919" t="s">
        <v>1176</v>
      </c>
      <c r="E165" s="820" t="s">
        <v>35</v>
      </c>
      <c r="F165" s="833">
        <f>H163</f>
        <v>4.8800000000000003E-2</v>
      </c>
      <c r="G165" s="823">
        <f>'MINI SSR 2025-26'!C143</f>
        <v>174890</v>
      </c>
      <c r="H165" s="824">
        <f t="shared" si="11"/>
        <v>8534.6299999999992</v>
      </c>
      <c r="J165" s="763"/>
    </row>
    <row r="166" spans="1:10" s="821" customFormat="1">
      <c r="A166" s="757"/>
      <c r="B166" s="819" t="s">
        <v>1179</v>
      </c>
      <c r="C166" s="919" t="s">
        <v>1178</v>
      </c>
      <c r="D166" s="820"/>
      <c r="E166" s="820" t="s">
        <v>11</v>
      </c>
      <c r="F166" s="841">
        <v>2</v>
      </c>
      <c r="G166" s="823">
        <f>'MINI SSR 2025-26'!G142</f>
        <v>303</v>
      </c>
      <c r="H166" s="824">
        <f t="shared" si="11"/>
        <v>606</v>
      </c>
      <c r="J166" s="763"/>
    </row>
    <row r="167" spans="1:10" s="821" customFormat="1">
      <c r="A167" s="757"/>
      <c r="B167" s="819" t="s">
        <v>1181</v>
      </c>
      <c r="C167" s="919" t="s">
        <v>1180</v>
      </c>
      <c r="D167" s="820"/>
      <c r="E167" s="820" t="s">
        <v>11</v>
      </c>
      <c r="F167" s="841">
        <v>3</v>
      </c>
      <c r="G167" s="823">
        <f>'MINI SSR 2025-26'!G145</f>
        <v>300</v>
      </c>
      <c r="H167" s="824">
        <f t="shared" si="11"/>
        <v>900</v>
      </c>
      <c r="J167" s="763"/>
    </row>
    <row r="168" spans="1:10" s="821" customFormat="1">
      <c r="A168" s="757"/>
      <c r="B168" s="819" t="s">
        <v>1183</v>
      </c>
      <c r="C168" s="919" t="s">
        <v>1182</v>
      </c>
      <c r="D168" s="820"/>
      <c r="E168" s="820" t="s">
        <v>11</v>
      </c>
      <c r="F168" s="841"/>
      <c r="G168" s="823">
        <f>'MINI SSR 2025-26'!G147</f>
        <v>134</v>
      </c>
      <c r="H168" s="824">
        <f t="shared" si="11"/>
        <v>0</v>
      </c>
      <c r="J168" s="763"/>
    </row>
    <row r="169" spans="1:10" s="821" customFormat="1">
      <c r="A169" s="757"/>
      <c r="B169" s="819" t="s">
        <v>1185</v>
      </c>
      <c r="C169" s="919" t="s">
        <v>1184</v>
      </c>
      <c r="D169" s="820"/>
      <c r="E169" s="820" t="s">
        <v>11</v>
      </c>
      <c r="F169" s="841">
        <v>2</v>
      </c>
      <c r="G169" s="823">
        <f>'MINI SSR 2025-26'!G148</f>
        <v>1378</v>
      </c>
      <c r="H169" s="824">
        <f t="shared" si="11"/>
        <v>2756</v>
      </c>
      <c r="J169" s="763"/>
    </row>
    <row r="170" spans="1:10" s="763" customFormat="1">
      <c r="A170" s="757"/>
      <c r="B170" s="819" t="s">
        <v>1187</v>
      </c>
      <c r="C170" s="919" t="s">
        <v>1186</v>
      </c>
      <c r="D170" s="820"/>
      <c r="E170" s="820" t="s">
        <v>11</v>
      </c>
      <c r="F170" s="841">
        <v>1</v>
      </c>
      <c r="G170" s="823">
        <f>'MINI SSR 2025-26'!G150</f>
        <v>214</v>
      </c>
      <c r="H170" s="824">
        <f t="shared" si="11"/>
        <v>214</v>
      </c>
    </row>
    <row r="171" spans="1:10" s="763" customFormat="1">
      <c r="A171" s="757"/>
      <c r="B171" s="819" t="s">
        <v>1189</v>
      </c>
      <c r="C171" s="919" t="s">
        <v>1188</v>
      </c>
      <c r="D171" s="820"/>
      <c r="E171" s="820" t="s">
        <v>11</v>
      </c>
      <c r="F171" s="841">
        <v>6</v>
      </c>
      <c r="G171" s="823">
        <f>'MINI SSR 2025-26'!G152</f>
        <v>43</v>
      </c>
      <c r="H171" s="824">
        <f t="shared" si="11"/>
        <v>258</v>
      </c>
    </row>
    <row r="172" spans="1:10" s="763" customFormat="1">
      <c r="A172" s="757"/>
      <c r="B172" s="819"/>
      <c r="C172" s="920" t="s">
        <v>68</v>
      </c>
      <c r="D172" s="820"/>
      <c r="E172" s="820"/>
      <c r="F172" s="823"/>
      <c r="G172" s="831"/>
      <c r="H172" s="824"/>
    </row>
    <row r="173" spans="1:10" s="763" customFormat="1">
      <c r="A173" s="757"/>
      <c r="B173" s="820" t="s">
        <v>1191</v>
      </c>
      <c r="C173" s="919" t="s">
        <v>1190</v>
      </c>
      <c r="D173" s="820"/>
      <c r="E173" s="820" t="s">
        <v>102</v>
      </c>
      <c r="F173" s="823">
        <f>ROUND(0.9*2.1,2)</f>
        <v>1.89</v>
      </c>
      <c r="G173" s="823">
        <f>'MINI SSR 2025-26'!C149</f>
        <v>2115</v>
      </c>
      <c r="H173" s="824">
        <f>ROUND(F173*G173*1/3,2)</f>
        <v>1332.45</v>
      </c>
    </row>
    <row r="174" spans="1:10" s="763" customFormat="1">
      <c r="A174" s="757"/>
      <c r="B174" s="820"/>
      <c r="C174" s="919"/>
      <c r="D174" s="820"/>
      <c r="E174" s="820"/>
      <c r="F174" s="823"/>
      <c r="G174" s="823"/>
      <c r="H174" s="824">
        <f>SUM(H164:H173)</f>
        <v>18241.98</v>
      </c>
    </row>
    <row r="175" spans="1:10" s="763" customFormat="1">
      <c r="A175" s="757"/>
      <c r="B175" s="820"/>
      <c r="C175" s="758" t="s">
        <v>2213</v>
      </c>
      <c r="D175" s="820"/>
      <c r="E175" s="823"/>
      <c r="F175" s="823"/>
      <c r="G175" s="823"/>
      <c r="H175" s="929">
        <f>ROUND(H174*$I$3,2)</f>
        <v>2483.65</v>
      </c>
    </row>
    <row r="176" spans="1:10" s="763" customFormat="1">
      <c r="A176" s="757"/>
      <c r="B176" s="819"/>
      <c r="C176" s="920"/>
      <c r="D176" s="820"/>
      <c r="E176" s="820"/>
      <c r="F176" s="820"/>
      <c r="G176" s="820"/>
      <c r="H176" s="828">
        <f>SUM(H174:H175)</f>
        <v>20725.63</v>
      </c>
    </row>
    <row r="177" spans="1:10" s="763" customFormat="1" ht="127.5">
      <c r="A177" s="757">
        <v>2</v>
      </c>
      <c r="B177" s="819"/>
      <c r="C177" s="919" t="s">
        <v>2312</v>
      </c>
      <c r="D177" s="820"/>
      <c r="E177" s="820"/>
      <c r="F177" s="820"/>
      <c r="G177" s="820"/>
      <c r="H177" s="825"/>
      <c r="I177" s="821"/>
    </row>
    <row r="178" spans="1:10" s="763" customFormat="1">
      <c r="A178" s="757"/>
      <c r="B178" s="819"/>
      <c r="C178" s="920" t="s">
        <v>100</v>
      </c>
      <c r="D178" s="820"/>
      <c r="E178" s="820"/>
      <c r="F178" s="820"/>
      <c r="G178" s="820"/>
      <c r="H178" s="825"/>
      <c r="I178" s="821"/>
    </row>
    <row r="179" spans="1:10" s="821" customFormat="1">
      <c r="A179" s="757"/>
      <c r="B179" s="819"/>
      <c r="C179" s="920" t="s">
        <v>587</v>
      </c>
      <c r="D179" s="820"/>
      <c r="E179" s="820"/>
      <c r="F179" s="820"/>
      <c r="G179" s="820"/>
      <c r="H179" s="825"/>
      <c r="J179" s="763"/>
    </row>
    <row r="180" spans="1:10" s="821" customFormat="1">
      <c r="A180" s="757"/>
      <c r="B180" s="819"/>
      <c r="C180" s="919" t="s">
        <v>2</v>
      </c>
      <c r="D180" s="921">
        <v>2</v>
      </c>
      <c r="E180" s="922">
        <v>1.9</v>
      </c>
      <c r="F180" s="923">
        <v>0.1</v>
      </c>
      <c r="G180" s="923">
        <v>7.4999999999999997E-2</v>
      </c>
      <c r="H180" s="924">
        <f>ROUND(D180*E180*F180*G180,4)</f>
        <v>2.8500000000000001E-2</v>
      </c>
      <c r="J180" s="763"/>
    </row>
    <row r="181" spans="1:10" s="821" customFormat="1">
      <c r="A181" s="757"/>
      <c r="B181" s="819"/>
      <c r="C181" s="919" t="s">
        <v>734</v>
      </c>
      <c r="D181" s="921">
        <v>2</v>
      </c>
      <c r="E181" s="922">
        <v>1.2</v>
      </c>
      <c r="F181" s="923">
        <v>0.1</v>
      </c>
      <c r="G181" s="923">
        <v>7.4999999999999997E-2</v>
      </c>
      <c r="H181" s="924">
        <f>ROUND(D181*E181*F181*G181,4)</f>
        <v>1.7999999999999999E-2</v>
      </c>
      <c r="J181" s="763"/>
    </row>
    <row r="182" spans="1:10" s="821" customFormat="1">
      <c r="A182" s="757"/>
      <c r="B182" s="819"/>
      <c r="C182" s="920"/>
      <c r="D182" s="921"/>
      <c r="E182" s="921"/>
      <c r="F182" s="921"/>
      <c r="G182" s="921"/>
      <c r="H182" s="925">
        <f>SUM(H180:H181)</f>
        <v>4.65E-2</v>
      </c>
      <c r="J182" s="763"/>
    </row>
    <row r="183" spans="1:10" s="821" customFormat="1">
      <c r="A183" s="757"/>
      <c r="B183" s="819"/>
      <c r="C183" s="920" t="s">
        <v>314</v>
      </c>
      <c r="D183" s="921">
        <v>2</v>
      </c>
      <c r="E183" s="922">
        <v>2.0099999999999998</v>
      </c>
      <c r="F183" s="923">
        <f>(0.94)/2</f>
        <v>0.47</v>
      </c>
      <c r="G183" s="923">
        <v>0.03</v>
      </c>
      <c r="H183" s="924">
        <f>ROUND(D183*E183*F183*G183,4)</f>
        <v>5.67E-2</v>
      </c>
      <c r="J183" s="763"/>
    </row>
    <row r="184" spans="1:10" s="821" customFormat="1">
      <c r="A184" s="757"/>
      <c r="B184" s="819"/>
      <c r="C184" s="919"/>
      <c r="D184" s="921"/>
      <c r="E184" s="921"/>
      <c r="F184" s="921"/>
      <c r="G184" s="921"/>
      <c r="H184" s="925">
        <f>SUM(H183:H183)</f>
        <v>5.67E-2</v>
      </c>
      <c r="J184" s="763"/>
    </row>
    <row r="185" spans="1:10" s="821" customFormat="1">
      <c r="A185" s="757"/>
      <c r="B185" s="819" t="s">
        <v>1175</v>
      </c>
      <c r="C185" s="919" t="s">
        <v>1174</v>
      </c>
      <c r="D185" s="820"/>
      <c r="E185" s="820" t="s">
        <v>35</v>
      </c>
      <c r="F185" s="833">
        <f>H182</f>
        <v>4.65E-2</v>
      </c>
      <c r="G185" s="823">
        <f>'MINI SSR 2025-26'!C142</f>
        <v>86688</v>
      </c>
      <c r="H185" s="824">
        <f t="shared" ref="H185:H192" si="12">ROUND(F185*G185,2)</f>
        <v>4030.99</v>
      </c>
      <c r="J185" s="763"/>
    </row>
    <row r="186" spans="1:10" s="821" customFormat="1">
      <c r="A186" s="757"/>
      <c r="B186" s="819" t="s">
        <v>1177</v>
      </c>
      <c r="C186" s="919" t="s">
        <v>1176</v>
      </c>
      <c r="D186" s="820"/>
      <c r="E186" s="820" t="s">
        <v>35</v>
      </c>
      <c r="F186" s="833">
        <f>H184</f>
        <v>5.67E-2</v>
      </c>
      <c r="G186" s="823">
        <f>'MINI SSR 2025-26'!C143</f>
        <v>174890</v>
      </c>
      <c r="H186" s="824">
        <f t="shared" si="12"/>
        <v>9916.26</v>
      </c>
      <c r="J186" s="763"/>
    </row>
    <row r="187" spans="1:10" s="821" customFormat="1">
      <c r="A187" s="757"/>
      <c r="B187" s="819" t="s">
        <v>1179</v>
      </c>
      <c r="C187" s="919" t="s">
        <v>1178</v>
      </c>
      <c r="D187" s="820"/>
      <c r="E187" s="820" t="s">
        <v>11</v>
      </c>
      <c r="F187" s="841">
        <v>2</v>
      </c>
      <c r="G187" s="823">
        <f>'MINI SSR 2025-26'!G142</f>
        <v>303</v>
      </c>
      <c r="H187" s="824">
        <f t="shared" si="12"/>
        <v>606</v>
      </c>
      <c r="J187" s="763"/>
    </row>
    <row r="188" spans="1:10" s="821" customFormat="1">
      <c r="A188" s="757"/>
      <c r="B188" s="819" t="s">
        <v>1181</v>
      </c>
      <c r="C188" s="919" t="s">
        <v>1180</v>
      </c>
      <c r="D188" s="820"/>
      <c r="E188" s="820" t="s">
        <v>11</v>
      </c>
      <c r="F188" s="841">
        <v>6</v>
      </c>
      <c r="G188" s="823">
        <f>'MINI SSR 2025-26'!G145</f>
        <v>300</v>
      </c>
      <c r="H188" s="824">
        <f t="shared" si="12"/>
        <v>1800</v>
      </c>
      <c r="J188" s="763"/>
    </row>
    <row r="189" spans="1:10" s="821" customFormat="1">
      <c r="A189" s="757"/>
      <c r="B189" s="819" t="s">
        <v>1183</v>
      </c>
      <c r="C189" s="919" t="s">
        <v>1182</v>
      </c>
      <c r="D189" s="820"/>
      <c r="E189" s="820" t="s">
        <v>11</v>
      </c>
      <c r="F189" s="841"/>
      <c r="G189" s="823">
        <f>'MINI SSR 2025-26'!G147</f>
        <v>134</v>
      </c>
      <c r="H189" s="824">
        <f t="shared" si="12"/>
        <v>0</v>
      </c>
      <c r="J189" s="763"/>
    </row>
    <row r="190" spans="1:10" s="821" customFormat="1">
      <c r="A190" s="757"/>
      <c r="B190" s="819" t="s">
        <v>1185</v>
      </c>
      <c r="C190" s="919" t="s">
        <v>1184</v>
      </c>
      <c r="D190" s="820"/>
      <c r="E190" s="820" t="s">
        <v>11</v>
      </c>
      <c r="F190" s="841">
        <v>2</v>
      </c>
      <c r="G190" s="823">
        <f>'MINI SSR 2025-26'!G148</f>
        <v>1378</v>
      </c>
      <c r="H190" s="824">
        <f t="shared" si="12"/>
        <v>2756</v>
      </c>
      <c r="J190" s="763"/>
    </row>
    <row r="191" spans="1:10" s="763" customFormat="1">
      <c r="A191" s="757"/>
      <c r="B191" s="819" t="s">
        <v>1187</v>
      </c>
      <c r="C191" s="919" t="s">
        <v>1186</v>
      </c>
      <c r="D191" s="820"/>
      <c r="E191" s="820" t="s">
        <v>11</v>
      </c>
      <c r="F191" s="841">
        <v>2</v>
      </c>
      <c r="G191" s="823">
        <f>'MINI SSR 2025-26'!G150</f>
        <v>214</v>
      </c>
      <c r="H191" s="824">
        <f t="shared" si="12"/>
        <v>428</v>
      </c>
    </row>
    <row r="192" spans="1:10" s="763" customFormat="1">
      <c r="A192" s="757"/>
      <c r="B192" s="819" t="s">
        <v>1189</v>
      </c>
      <c r="C192" s="919" t="s">
        <v>1188</v>
      </c>
      <c r="D192" s="820"/>
      <c r="E192" s="820" t="s">
        <v>11</v>
      </c>
      <c r="F192" s="841">
        <v>6</v>
      </c>
      <c r="G192" s="823">
        <f>'MINI SSR 2025-26'!G152</f>
        <v>43</v>
      </c>
      <c r="H192" s="824">
        <f t="shared" si="12"/>
        <v>258</v>
      </c>
    </row>
    <row r="193" spans="1:10" s="763" customFormat="1">
      <c r="A193" s="757"/>
      <c r="B193" s="819"/>
      <c r="C193" s="920" t="s">
        <v>68</v>
      </c>
      <c r="D193" s="820"/>
      <c r="E193" s="820"/>
      <c r="F193" s="823"/>
      <c r="G193" s="831"/>
      <c r="H193" s="824"/>
    </row>
    <row r="194" spans="1:10" s="763" customFormat="1">
      <c r="A194" s="757"/>
      <c r="B194" s="820" t="s">
        <v>1191</v>
      </c>
      <c r="C194" s="919" t="s">
        <v>1190</v>
      </c>
      <c r="D194" s="820"/>
      <c r="E194" s="820" t="s">
        <v>102</v>
      </c>
      <c r="F194" s="823">
        <f>ROUND(1.2*2.1,2)</f>
        <v>2.52</v>
      </c>
      <c r="G194" s="823">
        <f>'MINI SSR 2025-26'!C149</f>
        <v>2115</v>
      </c>
      <c r="H194" s="824">
        <f>ROUND(F194*G194*1/3,2)</f>
        <v>1776.6</v>
      </c>
    </row>
    <row r="195" spans="1:10" s="763" customFormat="1">
      <c r="A195" s="757"/>
      <c r="B195" s="820"/>
      <c r="C195" s="919"/>
      <c r="D195" s="820"/>
      <c r="E195" s="820"/>
      <c r="F195" s="823"/>
      <c r="G195" s="823"/>
      <c r="H195" s="824">
        <f>SUM(H185:H194)</f>
        <v>21571.85</v>
      </c>
    </row>
    <row r="196" spans="1:10" s="763" customFormat="1">
      <c r="A196" s="757"/>
      <c r="B196" s="820"/>
      <c r="C196" s="758" t="s">
        <v>2213</v>
      </c>
      <c r="D196" s="820"/>
      <c r="E196" s="823"/>
      <c r="F196" s="823"/>
      <c r="G196" s="823"/>
      <c r="H196" s="929">
        <f>ROUND(H195*$I$3,2)</f>
        <v>2937.01</v>
      </c>
    </row>
    <row r="197" spans="1:10" s="763" customFormat="1">
      <c r="A197" s="757"/>
      <c r="B197" s="819"/>
      <c r="C197" s="920"/>
      <c r="D197" s="820"/>
      <c r="E197" s="820"/>
      <c r="F197" s="820"/>
      <c r="G197" s="820"/>
      <c r="H197" s="828">
        <f>SUM(H195:H196)</f>
        <v>24508.86</v>
      </c>
    </row>
    <row r="198" spans="1:10" ht="127.5" hidden="1">
      <c r="A198" s="110">
        <v>6</v>
      </c>
      <c r="B198" s="278"/>
      <c r="C198" s="307" t="s">
        <v>1111</v>
      </c>
      <c r="D198" s="179"/>
      <c r="E198" s="179"/>
      <c r="F198" s="179"/>
      <c r="G198" s="179"/>
      <c r="H198" s="273"/>
    </row>
    <row r="199" spans="1:10" hidden="1">
      <c r="A199" s="110"/>
      <c r="B199" s="278"/>
      <c r="C199" s="308" t="s">
        <v>100</v>
      </c>
      <c r="D199" s="179"/>
      <c r="E199" s="179"/>
      <c r="F199" s="179"/>
      <c r="G199" s="179"/>
      <c r="H199" s="273"/>
    </row>
    <row r="200" spans="1:10" s="22" customFormat="1" hidden="1">
      <c r="A200" s="110"/>
      <c r="B200" s="278"/>
      <c r="C200" s="308" t="s">
        <v>60</v>
      </c>
      <c r="D200" s="179"/>
      <c r="E200" s="179"/>
      <c r="F200" s="179"/>
      <c r="G200" s="179"/>
      <c r="H200" s="273"/>
      <c r="J200" s="10"/>
    </row>
    <row r="201" spans="1:10" s="22" customFormat="1" hidden="1">
      <c r="A201" s="110"/>
      <c r="B201" s="278"/>
      <c r="C201" s="308" t="s">
        <v>1</v>
      </c>
      <c r="D201" s="179"/>
      <c r="E201" s="179"/>
      <c r="F201" s="179"/>
      <c r="G201" s="179"/>
      <c r="H201" s="273"/>
      <c r="J201" s="10"/>
    </row>
    <row r="202" spans="1:10" s="22" customFormat="1" hidden="1">
      <c r="A202" s="110"/>
      <c r="B202" s="278"/>
      <c r="C202" s="307" t="s">
        <v>2</v>
      </c>
      <c r="D202" s="342">
        <v>2</v>
      </c>
      <c r="E202" s="343">
        <v>1.95</v>
      </c>
      <c r="F202" s="344">
        <v>0.1</v>
      </c>
      <c r="G202" s="344">
        <v>7.4999999999999997E-2</v>
      </c>
      <c r="H202" s="340">
        <f>ROUND(D202*E202*F202*G202,4)</f>
        <v>2.93E-2</v>
      </c>
      <c r="J202" s="10"/>
    </row>
    <row r="203" spans="1:10" s="22" customFormat="1" hidden="1">
      <c r="A203" s="110"/>
      <c r="B203" s="278"/>
      <c r="C203" s="307" t="s">
        <v>734</v>
      </c>
      <c r="D203" s="342">
        <v>2</v>
      </c>
      <c r="E203" s="343">
        <v>1.05</v>
      </c>
      <c r="F203" s="344">
        <v>0.1</v>
      </c>
      <c r="G203" s="344">
        <v>7.4999999999999997E-2</v>
      </c>
      <c r="H203" s="340">
        <f>ROUND(D203*E203*F203*G203,4)</f>
        <v>1.5800000000000002E-2</v>
      </c>
      <c r="J203" s="10"/>
    </row>
    <row r="204" spans="1:10" s="22" customFormat="1" hidden="1">
      <c r="A204" s="110"/>
      <c r="B204" s="278"/>
      <c r="C204" s="308"/>
      <c r="D204" s="179"/>
      <c r="E204" s="179"/>
      <c r="F204" s="179"/>
      <c r="G204" s="179"/>
      <c r="H204" s="283">
        <f>SUM(H202:H203)</f>
        <v>4.5100000000000001E-2</v>
      </c>
      <c r="J204" s="10"/>
    </row>
    <row r="205" spans="1:10" s="22" customFormat="1" hidden="1">
      <c r="A205" s="110"/>
      <c r="B205" s="278"/>
      <c r="C205" s="307" t="s">
        <v>684</v>
      </c>
      <c r="D205" s="179"/>
      <c r="E205" s="179" t="s">
        <v>35</v>
      </c>
      <c r="F205" s="277">
        <f>H204</f>
        <v>4.5100000000000001E-2</v>
      </c>
      <c r="G205" s="281">
        <f>'MINI SSR 2025-26'!C144</f>
        <v>55780</v>
      </c>
      <c r="H205" s="173">
        <f t="shared" ref="H205:H213" si="13">ROUND(F205*G205,2)</f>
        <v>2515.6799999999998</v>
      </c>
      <c r="J205" s="10"/>
    </row>
    <row r="206" spans="1:10" s="22" customFormat="1" hidden="1">
      <c r="A206" s="110"/>
      <c r="B206" s="179" t="s">
        <v>1193</v>
      </c>
      <c r="C206" s="307" t="s">
        <v>1192</v>
      </c>
      <c r="D206" s="179"/>
      <c r="E206" s="179" t="s">
        <v>102</v>
      </c>
      <c r="F206" s="277">
        <f>ROUND(0.775*1.995,2)</f>
        <v>1.55</v>
      </c>
      <c r="G206" s="281">
        <f>'MINI SSR 2025-26'!C146</f>
        <v>3688</v>
      </c>
      <c r="H206" s="173">
        <f t="shared" si="13"/>
        <v>5716.4</v>
      </c>
      <c r="J206" s="10"/>
    </row>
    <row r="207" spans="1:10" s="22" customFormat="1" hidden="1">
      <c r="A207" s="110"/>
      <c r="B207" s="179" t="s">
        <v>1195</v>
      </c>
      <c r="C207" s="307" t="s">
        <v>1194</v>
      </c>
      <c r="D207" s="179"/>
      <c r="E207" s="179" t="s">
        <v>102</v>
      </c>
      <c r="F207" s="277">
        <f>F206</f>
        <v>1.55</v>
      </c>
      <c r="G207" s="281">
        <f>'MINI SSR 2025-26'!C151</f>
        <v>1269</v>
      </c>
      <c r="H207" s="173">
        <f t="shared" si="13"/>
        <v>1966.95</v>
      </c>
      <c r="J207" s="10"/>
    </row>
    <row r="208" spans="1:10" hidden="1">
      <c r="A208" s="110"/>
      <c r="B208" s="179" t="s">
        <v>1197</v>
      </c>
      <c r="C208" s="307" t="s">
        <v>1196</v>
      </c>
      <c r="D208" s="179"/>
      <c r="E208" s="179" t="s">
        <v>11</v>
      </c>
      <c r="F208" s="189">
        <v>2</v>
      </c>
      <c r="G208" s="281">
        <f>'MINI SSR 2025-26'!G143</f>
        <v>95</v>
      </c>
      <c r="H208" s="173">
        <f t="shared" si="13"/>
        <v>190</v>
      </c>
      <c r="I208" s="10"/>
    </row>
    <row r="209" spans="1:12" hidden="1">
      <c r="A209" s="110"/>
      <c r="B209" s="179" t="s">
        <v>1199</v>
      </c>
      <c r="C209" s="307" t="s">
        <v>1198</v>
      </c>
      <c r="D209" s="179"/>
      <c r="E209" s="179" t="s">
        <v>11</v>
      </c>
      <c r="F209" s="189">
        <v>3</v>
      </c>
      <c r="G209" s="281">
        <f>'MINI SSR 2025-26'!G146</f>
        <v>142</v>
      </c>
      <c r="H209" s="173">
        <f t="shared" si="13"/>
        <v>426</v>
      </c>
      <c r="I209" s="10"/>
    </row>
    <row r="210" spans="1:12" hidden="1">
      <c r="A210" s="110"/>
      <c r="B210" s="179" t="s">
        <v>1183</v>
      </c>
      <c r="C210" s="307" t="s">
        <v>1182</v>
      </c>
      <c r="D210" s="179"/>
      <c r="E210" s="179" t="s">
        <v>11</v>
      </c>
      <c r="F210" s="189">
        <v>2</v>
      </c>
      <c r="G210" s="281">
        <f>'MINI SSR 2025-26'!G147</f>
        <v>134</v>
      </c>
      <c r="H210" s="173">
        <f t="shared" si="13"/>
        <v>268</v>
      </c>
      <c r="I210" s="10"/>
    </row>
    <row r="211" spans="1:12" hidden="1">
      <c r="A211" s="110"/>
      <c r="B211" s="179" t="s">
        <v>1201</v>
      </c>
      <c r="C211" s="307" t="s">
        <v>1200</v>
      </c>
      <c r="D211" s="179"/>
      <c r="E211" s="179" t="s">
        <v>11</v>
      </c>
      <c r="F211" s="189">
        <v>2</v>
      </c>
      <c r="G211" s="281">
        <f>'MINI SSR 2025-26'!G149</f>
        <v>368</v>
      </c>
      <c r="H211" s="173">
        <f t="shared" si="13"/>
        <v>736</v>
      </c>
      <c r="I211" s="10"/>
    </row>
    <row r="212" spans="1:12" hidden="1">
      <c r="A212" s="110"/>
      <c r="B212" s="179" t="s">
        <v>1203</v>
      </c>
      <c r="C212" s="307" t="s">
        <v>1202</v>
      </c>
      <c r="D212" s="179"/>
      <c r="E212" s="179" t="s">
        <v>11</v>
      </c>
      <c r="F212" s="189">
        <v>1</v>
      </c>
      <c r="G212" s="281">
        <f>'MINI SSR 2025-26'!G151</f>
        <v>54</v>
      </c>
      <c r="H212" s="173">
        <f t="shared" si="13"/>
        <v>54</v>
      </c>
      <c r="I212" s="10"/>
    </row>
    <row r="213" spans="1:12" hidden="1">
      <c r="A213" s="110"/>
      <c r="B213" s="179" t="s">
        <v>1189</v>
      </c>
      <c r="C213" s="307" t="s">
        <v>1188</v>
      </c>
      <c r="D213" s="179"/>
      <c r="E213" s="179" t="s">
        <v>11</v>
      </c>
      <c r="F213" s="189">
        <v>6</v>
      </c>
      <c r="G213" s="281">
        <f>'MINI SSR 2025-26'!G152</f>
        <v>43</v>
      </c>
      <c r="H213" s="173">
        <f t="shared" si="13"/>
        <v>258</v>
      </c>
      <c r="I213" s="10"/>
    </row>
    <row r="214" spans="1:12" hidden="1">
      <c r="A214" s="179"/>
      <c r="B214" s="179"/>
      <c r="C214" s="308" t="s">
        <v>68</v>
      </c>
      <c r="D214" s="179"/>
      <c r="E214" s="179"/>
      <c r="F214" s="281"/>
      <c r="G214" s="285"/>
      <c r="H214" s="173"/>
    </row>
    <row r="215" spans="1:12" ht="25.5" hidden="1">
      <c r="A215" s="179"/>
      <c r="B215" s="179" t="s">
        <v>1191</v>
      </c>
      <c r="C215" s="307" t="s">
        <v>1204</v>
      </c>
      <c r="D215" s="179"/>
      <c r="E215" s="179" t="s">
        <v>102</v>
      </c>
      <c r="F215" s="281">
        <f>ROUND(1.05*2.1,2)</f>
        <v>2.21</v>
      </c>
      <c r="G215" s="281">
        <f>'MINI SSR 2025-26'!C150</f>
        <v>2083</v>
      </c>
      <c r="H215" s="173">
        <f>ROUND(F215*G215*1/3,2)</f>
        <v>1534.48</v>
      </c>
      <c r="L215" s="20"/>
    </row>
    <row r="216" spans="1:12" ht="13.5" hidden="1" thickBot="1">
      <c r="A216" s="179"/>
      <c r="B216" s="179"/>
      <c r="C216" s="308"/>
      <c r="D216" s="179"/>
      <c r="E216" s="179"/>
      <c r="F216" s="179"/>
      <c r="G216" s="179"/>
      <c r="H216" s="282">
        <f>SUM(H205:H215)</f>
        <v>13665.51</v>
      </c>
      <c r="L216" s="276">
        <f>SUM(L215)</f>
        <v>0</v>
      </c>
    </row>
    <row r="217" spans="1:12" ht="51" hidden="1">
      <c r="A217" s="110">
        <v>1</v>
      </c>
      <c r="B217" s="278"/>
      <c r="C217" s="307" t="s">
        <v>974</v>
      </c>
      <c r="D217" s="179"/>
      <c r="E217" s="179"/>
      <c r="F217" s="179"/>
      <c r="G217" s="179"/>
      <c r="H217" s="273"/>
    </row>
    <row r="218" spans="1:12" s="22" customFormat="1" hidden="1">
      <c r="A218" s="110"/>
      <c r="B218" s="278"/>
      <c r="C218" s="307" t="s">
        <v>686</v>
      </c>
      <c r="D218" s="179"/>
      <c r="E218" s="179" t="s">
        <v>35</v>
      </c>
      <c r="F218" s="188">
        <v>8.0000000000000002E-3</v>
      </c>
      <c r="G218" s="281">
        <f>'MINI SSR 2025-26'!C144</f>
        <v>55780</v>
      </c>
      <c r="H218" s="173">
        <f>ROUND(F218*G218,2)</f>
        <v>446.24</v>
      </c>
      <c r="J218" s="10"/>
    </row>
    <row r="219" spans="1:12" s="22" customFormat="1" hidden="1">
      <c r="A219" s="110"/>
      <c r="B219" s="278"/>
      <c r="C219" s="307" t="s">
        <v>973</v>
      </c>
      <c r="D219" s="179"/>
      <c r="E219" s="179" t="s">
        <v>4</v>
      </c>
      <c r="F219" s="188">
        <v>0.5</v>
      </c>
      <c r="G219" s="281">
        <f>'lead 25-26'!L9/1000</f>
        <v>60</v>
      </c>
      <c r="H219" s="173">
        <f>ROUND(F219*G219,2)</f>
        <v>30</v>
      </c>
      <c r="J219" s="10"/>
    </row>
    <row r="220" spans="1:12" s="22" customFormat="1" hidden="1">
      <c r="A220" s="110"/>
      <c r="B220" s="278" t="s">
        <v>1208</v>
      </c>
      <c r="C220" s="307" t="s">
        <v>1207</v>
      </c>
      <c r="D220" s="179"/>
      <c r="E220" s="179" t="s">
        <v>102</v>
      </c>
      <c r="F220" s="188">
        <v>0.27</v>
      </c>
      <c r="G220" s="281">
        <f>'MINI SSR 2025-26'!G153</f>
        <v>479</v>
      </c>
      <c r="H220" s="173">
        <f>ROUND(F220*G220,2)</f>
        <v>129.33000000000001</v>
      </c>
      <c r="J220" s="10"/>
    </row>
    <row r="221" spans="1:12" hidden="1">
      <c r="A221" s="179"/>
      <c r="B221" s="179"/>
      <c r="C221" s="307"/>
      <c r="D221" s="179"/>
      <c r="E221" s="281"/>
      <c r="F221" s="281"/>
      <c r="G221" s="281"/>
      <c r="H221" s="173"/>
      <c r="L221" s="20"/>
    </row>
    <row r="222" spans="1:12" ht="13.5" hidden="1" thickBot="1">
      <c r="A222" s="179"/>
      <c r="B222" s="179"/>
      <c r="C222" s="308" t="s">
        <v>1206</v>
      </c>
      <c r="D222" s="179"/>
      <c r="E222" s="179"/>
      <c r="F222" s="179"/>
      <c r="G222" s="179"/>
      <c r="H222" s="282">
        <f>SUM(H218:H221)</f>
        <v>605.57000000000005</v>
      </c>
      <c r="L222" s="276">
        <f>SUM(L221)</f>
        <v>0</v>
      </c>
    </row>
    <row r="223" spans="1:12" s="763" customFormat="1">
      <c r="A223" s="757">
        <v>3</v>
      </c>
      <c r="B223" s="819"/>
      <c r="C223" s="919" t="s">
        <v>880</v>
      </c>
      <c r="D223" s="820"/>
      <c r="E223" s="820"/>
      <c r="F223" s="820"/>
      <c r="G223" s="820"/>
      <c r="H223" s="825"/>
    </row>
    <row r="224" spans="1:12" s="763" customFormat="1">
      <c r="A224" s="820"/>
      <c r="B224" s="820" t="s">
        <v>1209</v>
      </c>
      <c r="C224" s="919" t="s">
        <v>374</v>
      </c>
      <c r="D224" s="820" t="s">
        <v>102</v>
      </c>
      <c r="E224" s="823">
        <v>1</v>
      </c>
      <c r="F224" s="823">
        <f>'MINI SSR 2025-26'!G154</f>
        <v>424</v>
      </c>
      <c r="G224" s="823"/>
      <c r="H224" s="824">
        <f>ROUND(E224*F224,2)</f>
        <v>424</v>
      </c>
    </row>
    <row r="225" spans="1:12" s="763" customFormat="1">
      <c r="A225" s="820"/>
      <c r="B225" s="820"/>
      <c r="C225" s="919" t="s">
        <v>877</v>
      </c>
      <c r="D225" s="757" t="s">
        <v>108</v>
      </c>
      <c r="E225" s="768">
        <v>0.06</v>
      </c>
      <c r="F225" s="768">
        <f>'MINI SSR 2025-26'!H3</f>
        <v>735</v>
      </c>
      <c r="G225" s="768"/>
      <c r="H225" s="784">
        <f>ROUND(E225*F225,2)</f>
        <v>44.1</v>
      </c>
    </row>
    <row r="226" spans="1:12" s="763" customFormat="1">
      <c r="A226" s="820"/>
      <c r="B226" s="820"/>
      <c r="C226" s="919" t="s">
        <v>878</v>
      </c>
      <c r="D226" s="757" t="s">
        <v>108</v>
      </c>
      <c r="E226" s="768">
        <v>0.06</v>
      </c>
      <c r="F226" s="768">
        <f>'MINI SSR 2025-26'!H4</f>
        <v>665</v>
      </c>
      <c r="G226" s="768"/>
      <c r="H226" s="784">
        <f>ROUND(E226*F226,2)</f>
        <v>39.9</v>
      </c>
    </row>
    <row r="227" spans="1:12" s="763" customFormat="1">
      <c r="A227" s="820"/>
      <c r="B227" s="820"/>
      <c r="C227" s="927" t="s">
        <v>879</v>
      </c>
      <c r="D227" s="757" t="s">
        <v>108</v>
      </c>
      <c r="E227" s="781">
        <v>0.27500000000000002</v>
      </c>
      <c r="F227" s="768">
        <f>'MINI SSR 2025-26'!H5</f>
        <v>615</v>
      </c>
      <c r="G227" s="768"/>
      <c r="H227" s="784">
        <f>ROUND(E227*F227,2)</f>
        <v>169.13</v>
      </c>
    </row>
    <row r="228" spans="1:12" s="763" customFormat="1">
      <c r="A228" s="820"/>
      <c r="B228" s="820"/>
      <c r="C228" s="758" t="s">
        <v>2213</v>
      </c>
      <c r="D228" s="820"/>
      <c r="E228" s="823"/>
      <c r="F228" s="823"/>
      <c r="G228" s="823"/>
      <c r="H228" s="825">
        <f>ROUND(SUM(H224:H227)*I3,2)</f>
        <v>92.19</v>
      </c>
    </row>
    <row r="229" spans="1:12" s="763" customFormat="1">
      <c r="A229" s="820"/>
      <c r="B229" s="820"/>
      <c r="C229" s="920" t="s">
        <v>1205</v>
      </c>
      <c r="D229" s="820"/>
      <c r="E229" s="820"/>
      <c r="F229" s="820"/>
      <c r="G229" s="820"/>
      <c r="H229" s="828">
        <f>SUM(H224:H228)</f>
        <v>769.31999999999994</v>
      </c>
    </row>
    <row r="230" spans="1:12" ht="255" hidden="1">
      <c r="A230" s="110">
        <v>2</v>
      </c>
      <c r="B230" s="278"/>
      <c r="C230" s="307" t="s">
        <v>2192</v>
      </c>
      <c r="D230" s="179"/>
      <c r="E230" s="179"/>
      <c r="F230" s="179"/>
      <c r="G230" s="179"/>
      <c r="H230" s="273"/>
      <c r="I230" s="10"/>
    </row>
    <row r="231" spans="1:12" hidden="1">
      <c r="A231" s="179"/>
      <c r="B231" s="179"/>
      <c r="C231" s="307" t="s">
        <v>860</v>
      </c>
      <c r="D231" s="179"/>
      <c r="E231" s="188"/>
      <c r="F231" s="281"/>
      <c r="G231" s="281"/>
      <c r="H231" s="173"/>
      <c r="I231" s="10"/>
    </row>
    <row r="232" spans="1:12" hidden="1">
      <c r="A232" s="179"/>
      <c r="B232" s="179" t="s">
        <v>1210</v>
      </c>
      <c r="C232" s="307" t="s">
        <v>2188</v>
      </c>
      <c r="D232" s="179"/>
      <c r="E232" s="179" t="s">
        <v>274</v>
      </c>
      <c r="F232" s="188">
        <v>6.7</v>
      </c>
      <c r="G232" s="281">
        <f>'MINI SSR 2025-26'!C147</f>
        <v>1001</v>
      </c>
      <c r="H232" s="173">
        <f t="shared" ref="H232:H233" si="14">ROUND(F232*G232,2)</f>
        <v>6706.7</v>
      </c>
      <c r="I232" s="10"/>
    </row>
    <row r="233" spans="1:12" hidden="1">
      <c r="A233" s="179"/>
      <c r="B233" s="179" t="s">
        <v>2189</v>
      </c>
      <c r="C233" s="307" t="s">
        <v>2190</v>
      </c>
      <c r="D233" s="179"/>
      <c r="E233" s="179" t="s">
        <v>102</v>
      </c>
      <c r="F233" s="188">
        <v>0.86899999999999999</v>
      </c>
      <c r="G233" s="281">
        <f>'MINI SSR 2025-26'!C151</f>
        <v>1269</v>
      </c>
      <c r="H233" s="173">
        <f t="shared" si="14"/>
        <v>1102.76</v>
      </c>
      <c r="I233" s="10"/>
    </row>
    <row r="234" spans="1:12" hidden="1">
      <c r="A234" s="179"/>
      <c r="B234" s="179" t="s">
        <v>1193</v>
      </c>
      <c r="C234" s="307" t="s">
        <v>374</v>
      </c>
      <c r="D234" s="179"/>
      <c r="E234" s="179" t="s">
        <v>102</v>
      </c>
      <c r="F234" s="188">
        <f>ROUND(1.1*2.03,2)</f>
        <v>2.23</v>
      </c>
      <c r="G234" s="281">
        <f>'MINI SSR 2025-26'!C146</f>
        <v>3688</v>
      </c>
      <c r="H234" s="173">
        <f t="shared" ref="H234:H239" si="15">ROUND(F234*G234,2)</f>
        <v>8224.24</v>
      </c>
      <c r="I234" s="10"/>
    </row>
    <row r="235" spans="1:12" hidden="1">
      <c r="A235" s="179"/>
      <c r="B235" s="179" t="s">
        <v>1195</v>
      </c>
      <c r="C235" s="307" t="s">
        <v>1211</v>
      </c>
      <c r="D235" s="179"/>
      <c r="E235" s="179" t="s">
        <v>102</v>
      </c>
      <c r="F235" s="188">
        <v>1.6870000000000001</v>
      </c>
      <c r="G235" s="281">
        <f>'MINI SSR 2025-26'!C151</f>
        <v>1269</v>
      </c>
      <c r="H235" s="173">
        <f t="shared" si="15"/>
        <v>2140.8000000000002</v>
      </c>
      <c r="L235" s="20"/>
    </row>
    <row r="236" spans="1:12" hidden="1">
      <c r="A236" s="110"/>
      <c r="B236" s="278" t="s">
        <v>1213</v>
      </c>
      <c r="C236" s="307" t="s">
        <v>1212</v>
      </c>
      <c r="D236" s="179"/>
      <c r="E236" s="179" t="s">
        <v>11</v>
      </c>
      <c r="F236" s="189">
        <v>2</v>
      </c>
      <c r="G236" s="281">
        <f>'MINI SSR 2025-26'!G144</f>
        <v>124</v>
      </c>
      <c r="H236" s="173">
        <f t="shared" si="15"/>
        <v>248</v>
      </c>
      <c r="I236" s="10"/>
    </row>
    <row r="237" spans="1:12" hidden="1">
      <c r="A237" s="110"/>
      <c r="B237" s="278" t="s">
        <v>1183</v>
      </c>
      <c r="C237" s="307" t="s">
        <v>1182</v>
      </c>
      <c r="D237" s="179"/>
      <c r="E237" s="179" t="s">
        <v>11</v>
      </c>
      <c r="F237" s="189">
        <v>4</v>
      </c>
      <c r="G237" s="281">
        <f>'MINI SSR 2025-26'!G147</f>
        <v>134</v>
      </c>
      <c r="H237" s="173">
        <f t="shared" si="15"/>
        <v>536</v>
      </c>
      <c r="I237" s="10"/>
    </row>
    <row r="238" spans="1:12" hidden="1">
      <c r="A238" s="110"/>
      <c r="B238" s="278" t="s">
        <v>1201</v>
      </c>
      <c r="C238" s="307" t="s">
        <v>1200</v>
      </c>
      <c r="D238" s="179"/>
      <c r="E238" s="179" t="s">
        <v>11</v>
      </c>
      <c r="F238" s="189">
        <v>2</v>
      </c>
      <c r="G238" s="281">
        <f>'MINI SSR 2025-26'!G149</f>
        <v>368</v>
      </c>
      <c r="H238" s="173">
        <f t="shared" si="15"/>
        <v>736</v>
      </c>
      <c r="I238" s="10"/>
    </row>
    <row r="239" spans="1:12" hidden="1">
      <c r="A239" s="110"/>
      <c r="B239" s="278"/>
      <c r="C239" s="307" t="s">
        <v>861</v>
      </c>
      <c r="D239" s="179"/>
      <c r="E239" s="179" t="s">
        <v>11</v>
      </c>
      <c r="F239" s="189">
        <v>1</v>
      </c>
      <c r="G239" s="281">
        <f>'MINI SSR 2025-26'!G155</f>
        <v>70</v>
      </c>
      <c r="H239" s="173">
        <f t="shared" si="15"/>
        <v>70</v>
      </c>
      <c r="I239" s="10"/>
    </row>
    <row r="240" spans="1:12" hidden="1">
      <c r="A240" s="179"/>
      <c r="B240" s="179"/>
      <c r="C240" s="307" t="s">
        <v>859</v>
      </c>
      <c r="D240" s="179"/>
      <c r="E240" s="281"/>
      <c r="F240" s="281"/>
      <c r="G240" s="281"/>
      <c r="H240" s="282">
        <f>SUM(H232:H239)</f>
        <v>19764.5</v>
      </c>
      <c r="I240" s="10"/>
    </row>
    <row r="241" spans="1:12" hidden="1">
      <c r="A241" s="179"/>
      <c r="B241" s="179"/>
      <c r="C241" s="307" t="s">
        <v>2191</v>
      </c>
      <c r="D241" s="179"/>
      <c r="E241" s="179"/>
      <c r="F241" s="179"/>
      <c r="G241" s="179"/>
      <c r="H241" s="282">
        <f>ROUND(H240/2.556,2)</f>
        <v>7732.59</v>
      </c>
      <c r="I241" s="10"/>
    </row>
    <row r="242" spans="1:12" ht="127.5" hidden="1">
      <c r="A242" s="110">
        <v>2</v>
      </c>
      <c r="B242" s="278"/>
      <c r="C242" s="307" t="s">
        <v>2197</v>
      </c>
      <c r="D242" s="179"/>
      <c r="E242" s="179"/>
      <c r="F242" s="179"/>
      <c r="G242" s="179"/>
      <c r="H242" s="273"/>
      <c r="I242" s="10"/>
    </row>
    <row r="243" spans="1:12" hidden="1">
      <c r="A243" s="179"/>
      <c r="B243" s="179"/>
      <c r="C243" s="307" t="s">
        <v>860</v>
      </c>
      <c r="D243" s="179"/>
      <c r="E243" s="188"/>
      <c r="F243" s="281"/>
      <c r="G243" s="281"/>
      <c r="H243" s="173"/>
      <c r="I243" s="10"/>
    </row>
    <row r="244" spans="1:12" hidden="1">
      <c r="A244" s="179"/>
      <c r="B244" s="179" t="s">
        <v>1210</v>
      </c>
      <c r="C244" s="307" t="s">
        <v>2188</v>
      </c>
      <c r="D244" s="179"/>
      <c r="E244" s="179" t="s">
        <v>274</v>
      </c>
      <c r="F244" s="188">
        <v>6.7</v>
      </c>
      <c r="G244" s="281">
        <f t="shared" ref="G244:G251" si="16">G232</f>
        <v>1001</v>
      </c>
      <c r="H244" s="173"/>
      <c r="I244" s="10"/>
    </row>
    <row r="245" spans="1:12" hidden="1">
      <c r="A245" s="179"/>
      <c r="B245" s="179" t="s">
        <v>2189</v>
      </c>
      <c r="C245" s="307" t="s">
        <v>2190</v>
      </c>
      <c r="D245" s="179"/>
      <c r="E245" s="179" t="s">
        <v>102</v>
      </c>
      <c r="F245" s="188">
        <v>0.86899999999999999</v>
      </c>
      <c r="G245" s="281">
        <f t="shared" si="16"/>
        <v>1269</v>
      </c>
      <c r="H245" s="173"/>
      <c r="I245" s="10"/>
    </row>
    <row r="246" spans="1:12" hidden="1">
      <c r="A246" s="179"/>
      <c r="B246" s="179" t="s">
        <v>1193</v>
      </c>
      <c r="C246" s="307" t="s">
        <v>374</v>
      </c>
      <c r="D246" s="179"/>
      <c r="E246" s="179" t="s">
        <v>102</v>
      </c>
      <c r="F246" s="188">
        <f>ROUND(1.1*2.03,2)</f>
        <v>2.23</v>
      </c>
      <c r="G246" s="281">
        <f t="shared" si="16"/>
        <v>3688</v>
      </c>
      <c r="H246" s="173">
        <f t="shared" ref="H246:H251" si="17">ROUND(F246*G246,2)</f>
        <v>8224.24</v>
      </c>
      <c r="I246" s="10"/>
    </row>
    <row r="247" spans="1:12" hidden="1">
      <c r="A247" s="179"/>
      <c r="B247" s="179" t="s">
        <v>1195</v>
      </c>
      <c r="C247" s="307" t="s">
        <v>1211</v>
      </c>
      <c r="D247" s="179"/>
      <c r="E247" s="179" t="s">
        <v>102</v>
      </c>
      <c r="F247" s="188">
        <v>1.6870000000000001</v>
      </c>
      <c r="G247" s="281">
        <f t="shared" si="16"/>
        <v>1269</v>
      </c>
      <c r="H247" s="173">
        <f t="shared" si="17"/>
        <v>2140.8000000000002</v>
      </c>
      <c r="L247" s="20"/>
    </row>
    <row r="248" spans="1:12" hidden="1">
      <c r="A248" s="110"/>
      <c r="B248" s="278" t="s">
        <v>1213</v>
      </c>
      <c r="C248" s="307" t="s">
        <v>1212</v>
      </c>
      <c r="D248" s="179"/>
      <c r="E248" s="179" t="s">
        <v>11</v>
      </c>
      <c r="F248" s="189">
        <v>2</v>
      </c>
      <c r="G248" s="281">
        <f t="shared" si="16"/>
        <v>124</v>
      </c>
      <c r="H248" s="173">
        <f t="shared" si="17"/>
        <v>248</v>
      </c>
      <c r="I248" s="10"/>
    </row>
    <row r="249" spans="1:12" hidden="1">
      <c r="A249" s="110"/>
      <c r="B249" s="278" t="s">
        <v>1183</v>
      </c>
      <c r="C249" s="307" t="s">
        <v>1182</v>
      </c>
      <c r="D249" s="179"/>
      <c r="E249" s="179" t="s">
        <v>11</v>
      </c>
      <c r="F249" s="189">
        <v>4</v>
      </c>
      <c r="G249" s="281">
        <f t="shared" si="16"/>
        <v>134</v>
      </c>
      <c r="H249" s="173">
        <f t="shared" si="17"/>
        <v>536</v>
      </c>
      <c r="I249" s="10"/>
    </row>
    <row r="250" spans="1:12" hidden="1">
      <c r="A250" s="110"/>
      <c r="B250" s="278" t="s">
        <v>1201</v>
      </c>
      <c r="C250" s="307" t="s">
        <v>1200</v>
      </c>
      <c r="D250" s="179"/>
      <c r="E250" s="179" t="s">
        <v>11</v>
      </c>
      <c r="F250" s="189">
        <v>2</v>
      </c>
      <c r="G250" s="281">
        <f t="shared" si="16"/>
        <v>368</v>
      </c>
      <c r="H250" s="173">
        <f t="shared" si="17"/>
        <v>736</v>
      </c>
      <c r="I250" s="10"/>
    </row>
    <row r="251" spans="1:12" hidden="1">
      <c r="A251" s="110"/>
      <c r="B251" s="278"/>
      <c r="C251" s="307" t="s">
        <v>861</v>
      </c>
      <c r="D251" s="179"/>
      <c r="E251" s="179" t="s">
        <v>11</v>
      </c>
      <c r="F251" s="189">
        <v>1</v>
      </c>
      <c r="G251" s="281">
        <f t="shared" si="16"/>
        <v>70</v>
      </c>
      <c r="H251" s="173">
        <f t="shared" si="17"/>
        <v>70</v>
      </c>
      <c r="I251" s="10"/>
    </row>
    <row r="252" spans="1:12" hidden="1">
      <c r="A252" s="179"/>
      <c r="B252" s="179"/>
      <c r="C252" s="307" t="s">
        <v>859</v>
      </c>
      <c r="D252" s="179"/>
      <c r="E252" s="281"/>
      <c r="F252" s="281"/>
      <c r="G252" s="281"/>
      <c r="H252" s="282">
        <f>SUM(H244:H251)</f>
        <v>11955.04</v>
      </c>
      <c r="I252" s="10"/>
    </row>
    <row r="253" spans="1:12" hidden="1">
      <c r="A253" s="179"/>
      <c r="B253" s="179"/>
      <c r="C253" s="307" t="s">
        <v>2191</v>
      </c>
      <c r="D253" s="179"/>
      <c r="E253" s="179"/>
      <c r="F253" s="179"/>
      <c r="G253" s="179"/>
      <c r="H253" s="282">
        <f>ROUND(H252/2.556,2)</f>
        <v>4677.25</v>
      </c>
      <c r="I253" s="10"/>
    </row>
    <row r="254" spans="1:12" s="763" customFormat="1" ht="337.5">
      <c r="A254" s="757">
        <v>4</v>
      </c>
      <c r="B254" s="819"/>
      <c r="C254" s="928" t="s">
        <v>710</v>
      </c>
      <c r="D254" s="820"/>
      <c r="E254" s="820"/>
      <c r="F254" s="820"/>
      <c r="G254" s="820"/>
      <c r="H254" s="825"/>
    </row>
    <row r="255" spans="1:12" hidden="1">
      <c r="A255" s="179"/>
      <c r="B255" s="179" t="s">
        <v>1215</v>
      </c>
      <c r="C255" s="307" t="s">
        <v>1214</v>
      </c>
      <c r="D255" s="179" t="s">
        <v>102</v>
      </c>
      <c r="E255" s="281">
        <v>1</v>
      </c>
      <c r="F255" s="281">
        <f>'MINI SSR 2025-26'!C153</f>
        <v>6698</v>
      </c>
      <c r="G255" s="281"/>
      <c r="H255" s="173">
        <f>ROUND(E255*F255,2)</f>
        <v>6698</v>
      </c>
      <c r="I255" s="10"/>
    </row>
    <row r="256" spans="1:12" hidden="1">
      <c r="A256" s="179"/>
      <c r="B256" s="179"/>
      <c r="C256" s="308"/>
      <c r="D256" s="179"/>
      <c r="E256" s="179"/>
      <c r="F256" s="179"/>
      <c r="G256" s="179"/>
      <c r="H256" s="282">
        <f>SUM(H255:H255)</f>
        <v>6698</v>
      </c>
      <c r="I256" s="10"/>
    </row>
    <row r="257" spans="1:9" s="763" customFormat="1">
      <c r="A257" s="820"/>
      <c r="B257" s="820" t="s">
        <v>1215</v>
      </c>
      <c r="C257" s="919" t="s">
        <v>1216</v>
      </c>
      <c r="D257" s="820" t="s">
        <v>102</v>
      </c>
      <c r="E257" s="823">
        <v>1</v>
      </c>
      <c r="F257" s="823">
        <f>'MINI SSR 2025-26'!C152</f>
        <v>9000</v>
      </c>
      <c r="G257" s="823"/>
      <c r="H257" s="824">
        <f>ROUND(E257*F257,2)</f>
        <v>9000</v>
      </c>
    </row>
    <row r="258" spans="1:9" s="763" customFormat="1">
      <c r="A258" s="820"/>
      <c r="B258" s="820"/>
      <c r="C258" s="758" t="s">
        <v>2213</v>
      </c>
      <c r="D258" s="820"/>
      <c r="E258" s="823"/>
      <c r="F258" s="823"/>
      <c r="G258" s="823"/>
      <c r="H258" s="825">
        <f>ROUND(SUM(H257:H257)*$I$3,2)</f>
        <v>1225.3499999999999</v>
      </c>
    </row>
    <row r="259" spans="1:9" s="763" customFormat="1">
      <c r="A259" s="820"/>
      <c r="B259" s="820"/>
      <c r="C259" s="920"/>
      <c r="D259" s="820"/>
      <c r="E259" s="820"/>
      <c r="F259" s="820"/>
      <c r="G259" s="820"/>
      <c r="H259" s="828">
        <f>SUM(H257:H258)</f>
        <v>10225.35</v>
      </c>
    </row>
    <row r="260" spans="1:9" hidden="1">
      <c r="A260" s="179">
        <v>12</v>
      </c>
      <c r="B260" s="179" t="s">
        <v>1218</v>
      </c>
      <c r="C260" s="307" t="s">
        <v>1217</v>
      </c>
      <c r="D260" s="179" t="s">
        <v>102</v>
      </c>
      <c r="E260" s="281">
        <v>1</v>
      </c>
      <c r="F260" s="281">
        <f>'MINI SSR 2025-26'!C154</f>
        <v>6456</v>
      </c>
      <c r="G260" s="281"/>
      <c r="H260" s="173">
        <f>ROUND(E260*F260,2)</f>
        <v>6456</v>
      </c>
      <c r="I260" s="10"/>
    </row>
    <row r="261" spans="1:9" hidden="1">
      <c r="A261" s="179"/>
      <c r="B261" s="179"/>
      <c r="C261" s="308"/>
      <c r="D261" s="179"/>
      <c r="E261" s="179"/>
      <c r="F261" s="179"/>
      <c r="G261" s="179"/>
      <c r="H261" s="282">
        <f>SUM(H260:H260)</f>
        <v>6456</v>
      </c>
      <c r="I261" s="10"/>
    </row>
    <row r="262" spans="1:9" ht="15.95" customHeight="1"/>
    <row r="263" spans="1:9" ht="15.95" customHeight="1"/>
    <row r="264" spans="1:9" ht="15.95" customHeight="1">
      <c r="D264" s="21" t="str">
        <f>'lead 25-26'!$H$32</f>
        <v>Deputy Executive Engineer</v>
      </c>
      <c r="G264" s="21" t="str">
        <f>'lead 25-26'!K32</f>
        <v>Assistant  Engineer</v>
      </c>
    </row>
    <row r="265" spans="1:9">
      <c r="D265" s="21" t="str">
        <f>'lead 25-26'!$H$33</f>
        <v>PRI Sub Division</v>
      </c>
      <c r="G265" s="21" t="str">
        <f>'lead 25-26'!K33</f>
        <v>Mandal Praja parishad</v>
      </c>
    </row>
    <row r="266" spans="1:9">
      <c r="D266" s="21" t="str">
        <f>'lead 25-26'!$H$34</f>
        <v>Kanigiri</v>
      </c>
      <c r="G266" s="21" t="str">
        <f>'lead 25-26'!K34</f>
        <v>Kanigiri</v>
      </c>
    </row>
  </sheetData>
  <autoFilter ref="A5:H261" xr:uid="{00000000-0009-0000-0000-000009000000}">
    <filterColumn colId="0">
      <colorFilter dxfId="0"/>
    </filterColumn>
  </autoFilter>
  <mergeCells count="2">
    <mergeCell ref="A1:H1"/>
    <mergeCell ref="A2:H2"/>
  </mergeCells>
  <pageMargins left="0.74" right="0.23" top="0.24" bottom="0.45" header="0.24" footer="0.17"/>
  <pageSetup paperSize="9" orientation="portrait" verticalDpi="0" r:id="rId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H155"/>
  <sheetViews>
    <sheetView view="pageBreakPreview" zoomScale="115" zoomScaleNormal="115" zoomScaleSheetLayoutView="115" workbookViewId="0">
      <selection activeCell="I1" sqref="I1"/>
    </sheetView>
  </sheetViews>
  <sheetFormatPr defaultRowHeight="12.75"/>
  <cols>
    <col min="1" max="1" width="22.28515625" style="187" customWidth="1"/>
    <col min="2" max="2" width="11.5703125" style="192" customWidth="1"/>
    <col min="3" max="3" width="10.42578125" style="192" bestFit="1" customWidth="1"/>
    <col min="4" max="4" width="10.7109375" style="192" customWidth="1"/>
    <col min="5" max="5" width="11.85546875" style="676" customWidth="1"/>
    <col min="6" max="6" width="17.42578125" style="187" customWidth="1"/>
    <col min="7" max="7" width="10.140625" style="192" customWidth="1"/>
    <col min="8" max="8" width="9.28515625" style="677" bestFit="1" customWidth="1"/>
    <col min="9" max="16384" width="9.140625" style="187"/>
  </cols>
  <sheetData>
    <row r="1" spans="1:8" ht="18.75">
      <c r="A1" s="1010" t="s">
        <v>2345</v>
      </c>
      <c r="B1" s="1010"/>
      <c r="C1" s="1010"/>
      <c r="D1" s="1010"/>
      <c r="E1" s="1010"/>
      <c r="F1" s="1010"/>
      <c r="G1" s="1010"/>
      <c r="H1" s="1010"/>
    </row>
    <row r="2" spans="1:8">
      <c r="A2" s="178"/>
      <c r="B2" s="179"/>
      <c r="C2" s="179"/>
      <c r="D2" s="179"/>
      <c r="E2" s="369"/>
      <c r="F2" s="178" t="s">
        <v>1478</v>
      </c>
      <c r="G2" s="179" t="s">
        <v>1479</v>
      </c>
      <c r="H2" s="281" t="s">
        <v>8</v>
      </c>
    </row>
    <row r="3" spans="1:8">
      <c r="A3" s="178"/>
      <c r="B3" s="179" t="s">
        <v>1454</v>
      </c>
      <c r="C3" s="179" t="s">
        <v>8</v>
      </c>
      <c r="D3" s="179"/>
      <c r="E3" s="369"/>
      <c r="F3" s="178" t="s">
        <v>1480</v>
      </c>
      <c r="G3" s="179" t="s">
        <v>1487</v>
      </c>
      <c r="H3" s="281">
        <v>735</v>
      </c>
    </row>
    <row r="4" spans="1:8">
      <c r="A4" s="366" t="s">
        <v>804</v>
      </c>
      <c r="B4" s="179" t="s">
        <v>1455</v>
      </c>
      <c r="C4" s="281">
        <v>4218.8</v>
      </c>
      <c r="D4" s="179"/>
      <c r="E4" s="369"/>
      <c r="F4" s="178" t="s">
        <v>1481</v>
      </c>
      <c r="G4" s="179" t="s">
        <v>1488</v>
      </c>
      <c r="H4" s="281">
        <v>665</v>
      </c>
    </row>
    <row r="5" spans="1:8">
      <c r="A5" s="237" t="s">
        <v>1456</v>
      </c>
      <c r="B5" s="179"/>
      <c r="C5" s="281">
        <v>60000</v>
      </c>
      <c r="D5" s="179"/>
      <c r="E5" s="369"/>
      <c r="F5" s="178" t="s">
        <v>1482</v>
      </c>
      <c r="G5" s="179" t="s">
        <v>1489</v>
      </c>
      <c r="H5" s="281">
        <v>615</v>
      </c>
    </row>
    <row r="6" spans="1:8">
      <c r="A6" s="237" t="s">
        <v>1457</v>
      </c>
      <c r="B6" s="179"/>
      <c r="C6" s="281">
        <v>59000</v>
      </c>
      <c r="D6" s="179"/>
      <c r="E6" s="369"/>
      <c r="F6" s="178" t="s">
        <v>1507</v>
      </c>
      <c r="G6" s="179" t="s">
        <v>1508</v>
      </c>
      <c r="H6" s="281">
        <v>870</v>
      </c>
    </row>
    <row r="7" spans="1:8">
      <c r="A7" s="237" t="s">
        <v>805</v>
      </c>
      <c r="B7" s="179"/>
      <c r="C7" s="281">
        <v>61000</v>
      </c>
      <c r="D7" s="179"/>
      <c r="E7" s="369"/>
      <c r="F7" s="178"/>
      <c r="G7" s="179"/>
      <c r="H7" s="281"/>
    </row>
    <row r="8" spans="1:8">
      <c r="A8" s="237" t="s">
        <v>806</v>
      </c>
      <c r="B8" s="179"/>
      <c r="C8" s="281">
        <v>57000</v>
      </c>
      <c r="D8" s="179"/>
      <c r="E8" s="369"/>
      <c r="F8" s="178" t="s">
        <v>1483</v>
      </c>
      <c r="G8" s="179" t="s">
        <v>1562</v>
      </c>
      <c r="H8" s="281">
        <v>820</v>
      </c>
    </row>
    <row r="9" spans="1:8" ht="25.5">
      <c r="A9" s="237" t="s">
        <v>807</v>
      </c>
      <c r="B9" s="179" t="s">
        <v>1460</v>
      </c>
      <c r="C9" s="367">
        <v>128</v>
      </c>
      <c r="D9" s="179"/>
      <c r="E9" s="369"/>
      <c r="F9" s="178" t="s">
        <v>1484</v>
      </c>
      <c r="G9" s="179" t="s">
        <v>1564</v>
      </c>
      <c r="H9" s="281">
        <v>665</v>
      </c>
    </row>
    <row r="10" spans="1:8">
      <c r="A10" s="237" t="s">
        <v>808</v>
      </c>
      <c r="B10" s="179" t="s">
        <v>1458</v>
      </c>
      <c r="C10" s="367">
        <v>0</v>
      </c>
      <c r="D10" s="179"/>
      <c r="E10" s="369"/>
      <c r="F10" s="178" t="s">
        <v>1137</v>
      </c>
      <c r="G10" s="179" t="s">
        <v>1511</v>
      </c>
      <c r="H10" s="281">
        <v>720</v>
      </c>
    </row>
    <row r="11" spans="1:8">
      <c r="A11" s="237" t="s">
        <v>735</v>
      </c>
      <c r="B11" s="179" t="s">
        <v>1459</v>
      </c>
      <c r="C11" s="367">
        <v>0</v>
      </c>
      <c r="D11" s="179" t="s">
        <v>814</v>
      </c>
      <c r="E11" s="369" t="s">
        <v>815</v>
      </c>
      <c r="F11" s="178" t="s">
        <v>1138</v>
      </c>
      <c r="G11" s="179" t="s">
        <v>1512</v>
      </c>
      <c r="H11" s="281">
        <v>695</v>
      </c>
    </row>
    <row r="12" spans="1:8">
      <c r="A12" s="237" t="s">
        <v>1485</v>
      </c>
      <c r="B12" s="179" t="s">
        <v>1461</v>
      </c>
      <c r="C12" s="367">
        <v>8548</v>
      </c>
      <c r="D12" s="179">
        <v>80.2</v>
      </c>
      <c r="E12" s="179">
        <v>80.2</v>
      </c>
      <c r="F12" s="178"/>
      <c r="G12" s="179"/>
      <c r="H12" s="281"/>
    </row>
    <row r="13" spans="1:8">
      <c r="A13" s="237" t="s">
        <v>810</v>
      </c>
      <c r="B13" s="179" t="s">
        <v>1465</v>
      </c>
      <c r="C13" s="367">
        <v>770</v>
      </c>
      <c r="D13" s="179"/>
      <c r="E13" s="369"/>
      <c r="F13" s="178" t="s">
        <v>1631</v>
      </c>
      <c r="G13" s="179" t="s">
        <v>1634</v>
      </c>
      <c r="H13" s="281">
        <v>820</v>
      </c>
    </row>
    <row r="14" spans="1:8" ht="25.5">
      <c r="A14" s="237" t="s">
        <v>811</v>
      </c>
      <c r="B14" s="179" t="s">
        <v>1466</v>
      </c>
      <c r="C14" s="367">
        <v>1285</v>
      </c>
      <c r="D14" s="179"/>
      <c r="E14" s="369"/>
      <c r="F14" s="178" t="s">
        <v>1632</v>
      </c>
      <c r="G14" s="179"/>
      <c r="H14" s="281">
        <f>H9</f>
        <v>665</v>
      </c>
    </row>
    <row r="15" spans="1:8">
      <c r="A15" s="237" t="s">
        <v>1462</v>
      </c>
      <c r="B15" s="179" t="s">
        <v>1467</v>
      </c>
      <c r="C15" s="367">
        <v>1024</v>
      </c>
      <c r="D15" s="179"/>
      <c r="E15" s="369"/>
      <c r="F15" s="178"/>
      <c r="G15" s="179"/>
      <c r="H15" s="281"/>
    </row>
    <row r="16" spans="1:8">
      <c r="A16" s="237" t="s">
        <v>1463</v>
      </c>
      <c r="B16" s="179" t="s">
        <v>1468</v>
      </c>
      <c r="C16" s="367">
        <v>860</v>
      </c>
      <c r="D16" s="179"/>
      <c r="E16" s="369"/>
      <c r="F16" s="178" t="s">
        <v>149</v>
      </c>
      <c r="G16" s="179" t="s">
        <v>1659</v>
      </c>
      <c r="H16" s="281">
        <v>815</v>
      </c>
    </row>
    <row r="17" spans="1:8" ht="25.5">
      <c r="A17" s="237" t="s">
        <v>1464</v>
      </c>
      <c r="B17" s="179" t="s">
        <v>1469</v>
      </c>
      <c r="C17" s="367">
        <v>684</v>
      </c>
      <c r="D17" s="179"/>
      <c r="E17" s="369"/>
      <c r="F17" s="178" t="s">
        <v>1269</v>
      </c>
      <c r="G17" s="179" t="s">
        <v>1660</v>
      </c>
      <c r="H17" s="281">
        <v>665</v>
      </c>
    </row>
    <row r="18" spans="1:8">
      <c r="A18" s="237" t="s">
        <v>968</v>
      </c>
      <c r="B18" s="179" t="s">
        <v>1470</v>
      </c>
      <c r="C18" s="281">
        <v>322</v>
      </c>
      <c r="D18" s="179"/>
      <c r="E18" s="369"/>
      <c r="F18" s="178"/>
      <c r="G18" s="179"/>
      <c r="H18" s="281"/>
    </row>
    <row r="19" spans="1:8">
      <c r="A19" s="240" t="s">
        <v>1486</v>
      </c>
      <c r="B19" s="179" t="s">
        <v>2249</v>
      </c>
      <c r="C19" s="367">
        <v>2000</v>
      </c>
      <c r="D19" s="179"/>
      <c r="E19" s="369"/>
      <c r="F19" s="178"/>
      <c r="G19" s="179"/>
      <c r="H19" s="281"/>
    </row>
    <row r="20" spans="1:8">
      <c r="A20" s="240" t="s">
        <v>1552</v>
      </c>
      <c r="B20" s="179" t="s">
        <v>1553</v>
      </c>
      <c r="C20" s="367">
        <v>331</v>
      </c>
      <c r="D20" s="179"/>
      <c r="E20" s="369"/>
      <c r="F20" s="178"/>
      <c r="G20" s="179"/>
      <c r="H20" s="281"/>
    </row>
    <row r="21" spans="1:8">
      <c r="A21" s="240" t="s">
        <v>1554</v>
      </c>
      <c r="B21" s="179" t="s">
        <v>1555</v>
      </c>
      <c r="C21" s="367">
        <v>625</v>
      </c>
      <c r="D21" s="179"/>
      <c r="E21" s="369"/>
      <c r="F21" s="178"/>
      <c r="G21" s="179"/>
      <c r="H21" s="281"/>
    </row>
    <row r="22" spans="1:8">
      <c r="A22" s="240" t="s">
        <v>1556</v>
      </c>
      <c r="B22" s="179" t="s">
        <v>1557</v>
      </c>
      <c r="C22" s="367">
        <v>396.4</v>
      </c>
      <c r="D22" s="179"/>
      <c r="E22" s="369"/>
      <c r="F22" s="178"/>
      <c r="G22" s="179"/>
      <c r="H22" s="281"/>
    </row>
    <row r="23" spans="1:8">
      <c r="A23" s="240" t="s">
        <v>1559</v>
      </c>
      <c r="B23" s="179" t="s">
        <v>1560</v>
      </c>
      <c r="C23" s="367">
        <v>330</v>
      </c>
      <c r="D23" s="179"/>
      <c r="E23" s="369"/>
      <c r="F23" s="178"/>
      <c r="G23" s="179"/>
      <c r="H23" s="281"/>
    </row>
    <row r="24" spans="1:8">
      <c r="A24" s="237" t="s">
        <v>983</v>
      </c>
      <c r="B24" s="179" t="s">
        <v>1471</v>
      </c>
      <c r="C24" s="281">
        <v>31000</v>
      </c>
      <c r="D24" s="179"/>
      <c r="E24" s="369"/>
      <c r="F24" s="398" t="s">
        <v>1490</v>
      </c>
      <c r="G24" s="399"/>
      <c r="H24" s="400"/>
    </row>
    <row r="25" spans="1:8">
      <c r="A25" s="237" t="s">
        <v>1832</v>
      </c>
      <c r="B25" s="179" t="s">
        <v>2108</v>
      </c>
      <c r="C25" s="281">
        <v>145</v>
      </c>
      <c r="D25" s="179"/>
      <c r="E25" s="369"/>
      <c r="F25" s="398" t="s">
        <v>1228</v>
      </c>
      <c r="G25" s="399"/>
      <c r="H25" s="400">
        <v>6.06</v>
      </c>
    </row>
    <row r="26" spans="1:8">
      <c r="A26" s="237" t="s">
        <v>653</v>
      </c>
      <c r="B26" s="179" t="s">
        <v>1828</v>
      </c>
      <c r="C26" s="281">
        <v>169</v>
      </c>
      <c r="D26" s="179"/>
      <c r="E26" s="369"/>
      <c r="F26" s="398" t="s">
        <v>1229</v>
      </c>
      <c r="G26" s="399"/>
      <c r="H26" s="400">
        <v>144.26</v>
      </c>
    </row>
    <row r="27" spans="1:8">
      <c r="A27" s="237" t="s">
        <v>1539</v>
      </c>
      <c r="B27" s="179" t="s">
        <v>1540</v>
      </c>
      <c r="C27" s="281">
        <v>31</v>
      </c>
      <c r="D27" s="179"/>
      <c r="E27" s="369"/>
      <c r="F27" s="178"/>
      <c r="G27" s="179"/>
      <c r="H27" s="281"/>
    </row>
    <row r="28" spans="1:8">
      <c r="A28" s="178"/>
      <c r="B28" s="179"/>
      <c r="C28" s="179"/>
      <c r="D28" s="179"/>
      <c r="E28" s="1011" t="s">
        <v>1531</v>
      </c>
      <c r="F28" s="1011"/>
      <c r="G28" s="1011"/>
      <c r="H28" s="1011"/>
    </row>
    <row r="29" spans="1:8">
      <c r="A29" s="237" t="s">
        <v>1491</v>
      </c>
      <c r="B29" s="179" t="s">
        <v>1492</v>
      </c>
      <c r="C29" s="281">
        <v>105</v>
      </c>
      <c r="D29" s="179"/>
      <c r="E29" s="675" t="s">
        <v>1496</v>
      </c>
      <c r="F29" s="368" t="s">
        <v>1532</v>
      </c>
      <c r="G29" s="278" t="s">
        <v>1533</v>
      </c>
      <c r="H29" s="278" t="s">
        <v>1534</v>
      </c>
    </row>
    <row r="30" spans="1:8">
      <c r="A30" s="237" t="s">
        <v>1493</v>
      </c>
      <c r="B30" s="179" t="s">
        <v>1494</v>
      </c>
      <c r="C30" s="281">
        <v>722.41</v>
      </c>
      <c r="D30" s="179"/>
      <c r="E30" s="675">
        <v>10.78</v>
      </c>
      <c r="F30" s="278">
        <v>84.62</v>
      </c>
      <c r="G30" s="278">
        <v>121.18</v>
      </c>
      <c r="H30" s="285">
        <v>157.72</v>
      </c>
    </row>
    <row r="31" spans="1:8" ht="25.5">
      <c r="A31" s="237" t="s">
        <v>1495</v>
      </c>
      <c r="B31" s="179" t="s">
        <v>2109</v>
      </c>
      <c r="C31" s="281">
        <v>297.87</v>
      </c>
      <c r="D31" s="179"/>
      <c r="E31" s="1011" t="s">
        <v>1543</v>
      </c>
      <c r="F31" s="1011"/>
      <c r="G31" s="1011"/>
      <c r="H31" s="1011"/>
    </row>
    <row r="32" spans="1:8">
      <c r="A32" s="237" t="s">
        <v>38</v>
      </c>
      <c r="B32" s="179" t="s">
        <v>1506</v>
      </c>
      <c r="C32" s="281">
        <v>70</v>
      </c>
      <c r="D32" s="179"/>
      <c r="E32" s="675" t="s">
        <v>1496</v>
      </c>
      <c r="F32" s="368" t="s">
        <v>1532</v>
      </c>
      <c r="G32" s="278" t="s">
        <v>1533</v>
      </c>
      <c r="H32" s="278" t="s">
        <v>1534</v>
      </c>
    </row>
    <row r="33" spans="1:8">
      <c r="A33" s="237" t="s">
        <v>1509</v>
      </c>
      <c r="B33" s="179" t="s">
        <v>1510</v>
      </c>
      <c r="C33" s="281">
        <v>17</v>
      </c>
      <c r="D33" s="179"/>
      <c r="E33" s="675">
        <v>2.57</v>
      </c>
      <c r="F33" s="278">
        <v>16.940000000000001</v>
      </c>
      <c r="G33" s="278">
        <v>24.04</v>
      </c>
      <c r="H33" s="285">
        <v>31.13</v>
      </c>
    </row>
    <row r="34" spans="1:8" ht="25.5">
      <c r="A34" s="237" t="s">
        <v>1513</v>
      </c>
      <c r="B34" s="179" t="s">
        <v>1514</v>
      </c>
      <c r="C34" s="281">
        <v>119.09</v>
      </c>
      <c r="D34" s="179"/>
      <c r="E34" s="1011" t="s">
        <v>1542</v>
      </c>
      <c r="F34" s="1011"/>
      <c r="G34" s="1011"/>
      <c r="H34" s="1011"/>
    </row>
    <row r="35" spans="1:8">
      <c r="A35" s="237" t="s">
        <v>1519</v>
      </c>
      <c r="B35" s="179" t="s">
        <v>1515</v>
      </c>
      <c r="C35" s="281">
        <v>37</v>
      </c>
      <c r="D35" s="179"/>
      <c r="E35" s="675" t="s">
        <v>1496</v>
      </c>
      <c r="F35" s="368" t="s">
        <v>1532</v>
      </c>
      <c r="G35" s="278" t="s">
        <v>1533</v>
      </c>
      <c r="H35" s="278" t="s">
        <v>1534</v>
      </c>
    </row>
    <row r="36" spans="1:8">
      <c r="A36" s="237" t="s">
        <v>1520</v>
      </c>
      <c r="B36" s="179" t="s">
        <v>1516</v>
      </c>
      <c r="C36" s="281">
        <v>7</v>
      </c>
      <c r="D36" s="179"/>
      <c r="E36" s="675">
        <v>1.08</v>
      </c>
      <c r="F36" s="278">
        <v>8.4700000000000006</v>
      </c>
      <c r="G36" s="278">
        <v>12.12</v>
      </c>
      <c r="H36" s="285">
        <v>15.77</v>
      </c>
    </row>
    <row r="37" spans="1:8">
      <c r="A37" s="237" t="s">
        <v>1517</v>
      </c>
      <c r="B37" s="179" t="s">
        <v>1518</v>
      </c>
      <c r="C37" s="281">
        <v>88</v>
      </c>
      <c r="D37" s="179"/>
      <c r="E37" s="369"/>
      <c r="F37" s="179"/>
      <c r="G37" s="179"/>
      <c r="H37" s="281"/>
    </row>
    <row r="38" spans="1:8">
      <c r="A38" s="237" t="s">
        <v>1521</v>
      </c>
      <c r="B38" s="179" t="s">
        <v>1523</v>
      </c>
      <c r="C38" s="281">
        <v>33</v>
      </c>
      <c r="D38" s="179"/>
      <c r="E38" s="369"/>
      <c r="F38" s="179"/>
      <c r="G38" s="179"/>
      <c r="H38" s="281"/>
    </row>
    <row r="39" spans="1:8">
      <c r="A39" s="237" t="s">
        <v>1522</v>
      </c>
      <c r="B39" s="179" t="s">
        <v>1524</v>
      </c>
      <c r="C39" s="281">
        <v>28</v>
      </c>
      <c r="D39" s="179"/>
      <c r="E39" s="369"/>
      <c r="F39" s="178"/>
      <c r="G39" s="179"/>
      <c r="H39" s="281"/>
    </row>
    <row r="40" spans="1:8">
      <c r="A40" s="237" t="s">
        <v>1324</v>
      </c>
      <c r="B40" s="179" t="s">
        <v>1525</v>
      </c>
      <c r="C40" s="281">
        <v>466</v>
      </c>
      <c r="D40" s="179"/>
      <c r="E40" s="237" t="s">
        <v>1563</v>
      </c>
      <c r="F40" s="179" t="s">
        <v>1561</v>
      </c>
      <c r="G40" s="281">
        <v>420</v>
      </c>
      <c r="H40" s="281"/>
    </row>
    <row r="41" spans="1:8" ht="25.5">
      <c r="A41" s="237" t="s">
        <v>1527</v>
      </c>
      <c r="B41" s="179" t="s">
        <v>1526</v>
      </c>
      <c r="C41" s="281">
        <v>177</v>
      </c>
      <c r="D41" s="179"/>
      <c r="E41" s="369" t="s">
        <v>1566</v>
      </c>
      <c r="F41" s="179" t="s">
        <v>1567</v>
      </c>
      <c r="G41" s="281">
        <v>80.5</v>
      </c>
      <c r="H41" s="281"/>
    </row>
    <row r="42" spans="1:8" ht="25.5">
      <c r="A42" s="237" t="s">
        <v>1529</v>
      </c>
      <c r="B42" s="179" t="s">
        <v>1530</v>
      </c>
      <c r="C42" s="281">
        <v>240</v>
      </c>
      <c r="D42" s="179"/>
      <c r="E42" s="369" t="s">
        <v>1566</v>
      </c>
      <c r="F42" s="179" t="s">
        <v>1568</v>
      </c>
      <c r="G42" s="281">
        <v>92.5</v>
      </c>
      <c r="H42" s="281"/>
    </row>
    <row r="43" spans="1:8" ht="38.25">
      <c r="A43" s="237" t="s">
        <v>1544</v>
      </c>
      <c r="B43" s="179" t="s">
        <v>1545</v>
      </c>
      <c r="C43" s="281">
        <v>24</v>
      </c>
      <c r="D43" s="179"/>
      <c r="E43" s="369" t="s">
        <v>1172</v>
      </c>
      <c r="F43" s="179" t="s">
        <v>1570</v>
      </c>
      <c r="G43" s="281">
        <v>175</v>
      </c>
      <c r="H43" s="281"/>
    </row>
    <row r="44" spans="1:8" ht="38.25">
      <c r="A44" s="237" t="s">
        <v>1548</v>
      </c>
      <c r="B44" s="179" t="s">
        <v>2250</v>
      </c>
      <c r="C44" s="281">
        <v>86</v>
      </c>
      <c r="D44" s="179"/>
      <c r="E44" s="369" t="s">
        <v>1172</v>
      </c>
      <c r="F44" s="179" t="s">
        <v>1571</v>
      </c>
      <c r="G44" s="281">
        <v>184</v>
      </c>
      <c r="H44" s="281"/>
    </row>
    <row r="45" spans="1:8">
      <c r="A45" s="237" t="s">
        <v>659</v>
      </c>
      <c r="B45" s="179" t="s">
        <v>2341</v>
      </c>
      <c r="C45" s="281">
        <v>34</v>
      </c>
      <c r="D45" s="179"/>
      <c r="E45" s="369" t="s">
        <v>1572</v>
      </c>
      <c r="F45" s="179" t="s">
        <v>1573</v>
      </c>
      <c r="G45" s="281">
        <v>189</v>
      </c>
      <c r="H45" s="281"/>
    </row>
    <row r="46" spans="1:8">
      <c r="A46" s="237" t="s">
        <v>1550</v>
      </c>
      <c r="B46" s="179" t="s">
        <v>1551</v>
      </c>
      <c r="C46" s="281">
        <v>556</v>
      </c>
      <c r="D46" s="179"/>
      <c r="E46" s="369" t="s">
        <v>1574</v>
      </c>
      <c r="F46" s="179" t="s">
        <v>1575</v>
      </c>
      <c r="G46" s="281">
        <v>176</v>
      </c>
      <c r="H46" s="281"/>
    </row>
    <row r="47" spans="1:8" ht="38.25">
      <c r="A47" s="178" t="s">
        <v>1578</v>
      </c>
      <c r="B47" s="179" t="s">
        <v>1173</v>
      </c>
      <c r="C47" s="179">
        <v>4517</v>
      </c>
      <c r="D47" s="179"/>
      <c r="E47" s="369" t="s">
        <v>1576</v>
      </c>
      <c r="F47" s="179" t="s">
        <v>1577</v>
      </c>
      <c r="G47" s="281">
        <v>924</v>
      </c>
      <c r="H47" s="281"/>
    </row>
    <row r="48" spans="1:8" ht="38.25">
      <c r="A48" s="237" t="s">
        <v>1579</v>
      </c>
      <c r="B48" s="179" t="s">
        <v>1225</v>
      </c>
      <c r="C48" s="281">
        <v>390</v>
      </c>
      <c r="D48" s="179"/>
      <c r="E48" s="369" t="s">
        <v>1223</v>
      </c>
      <c r="F48" s="179" t="s">
        <v>1222</v>
      </c>
      <c r="G48" s="281">
        <v>186</v>
      </c>
      <c r="H48" s="281"/>
    </row>
    <row r="49" spans="1:8">
      <c r="A49" s="237" t="s">
        <v>1580</v>
      </c>
      <c r="B49" s="179" t="s">
        <v>1227</v>
      </c>
      <c r="C49" s="281">
        <v>250</v>
      </c>
      <c r="D49" s="179"/>
      <c r="E49" s="369"/>
      <c r="F49" s="178"/>
      <c r="G49" s="179"/>
      <c r="H49" s="281"/>
    </row>
    <row r="50" spans="1:8">
      <c r="A50" s="237"/>
      <c r="B50" s="179"/>
      <c r="C50" s="281"/>
      <c r="D50" s="179"/>
      <c r="E50" s="369"/>
      <c r="F50" s="178"/>
      <c r="G50" s="179"/>
      <c r="H50" s="281"/>
    </row>
    <row r="51" spans="1:8">
      <c r="A51" s="178"/>
      <c r="B51" s="179"/>
      <c r="C51" s="179" t="s">
        <v>1496</v>
      </c>
      <c r="D51" s="179" t="s">
        <v>1497</v>
      </c>
      <c r="E51" s="369"/>
      <c r="F51" s="178"/>
      <c r="G51" s="179"/>
      <c r="H51" s="281"/>
    </row>
    <row r="52" spans="1:8">
      <c r="A52" s="237" t="s">
        <v>145</v>
      </c>
      <c r="B52" s="179"/>
      <c r="C52" s="179">
        <v>301</v>
      </c>
      <c r="D52" s="179">
        <v>672</v>
      </c>
      <c r="E52" s="369"/>
      <c r="F52" s="178"/>
      <c r="G52" s="179"/>
      <c r="H52" s="281"/>
    </row>
    <row r="53" spans="1:8">
      <c r="A53" s="237" t="s">
        <v>1498</v>
      </c>
      <c r="B53" s="179"/>
      <c r="C53" s="179">
        <v>67</v>
      </c>
      <c r="D53" s="179">
        <v>363</v>
      </c>
      <c r="E53" s="369"/>
      <c r="F53" s="178"/>
      <c r="G53" s="179"/>
      <c r="H53" s="281"/>
    </row>
    <row r="54" spans="1:8">
      <c r="A54" s="237" t="s">
        <v>1499</v>
      </c>
      <c r="B54" s="179"/>
      <c r="C54" s="179">
        <v>343</v>
      </c>
      <c r="D54" s="179">
        <v>1069</v>
      </c>
      <c r="E54" s="369"/>
      <c r="F54" s="178"/>
      <c r="G54" s="179"/>
      <c r="H54" s="281"/>
    </row>
    <row r="55" spans="1:8">
      <c r="A55" s="237" t="s">
        <v>1231</v>
      </c>
      <c r="B55" s="179"/>
      <c r="C55" s="179">
        <v>1453</v>
      </c>
      <c r="D55" s="179">
        <v>1620</v>
      </c>
      <c r="E55" s="369"/>
      <c r="F55" s="178"/>
      <c r="G55" s="179"/>
      <c r="H55" s="281"/>
    </row>
    <row r="56" spans="1:8">
      <c r="A56" s="178"/>
      <c r="B56" s="179"/>
      <c r="C56" s="179"/>
      <c r="D56" s="179" t="s">
        <v>163</v>
      </c>
      <c r="E56" s="179" t="s">
        <v>164</v>
      </c>
      <c r="F56" s="179" t="s">
        <v>165</v>
      </c>
      <c r="G56" s="179"/>
      <c r="H56" s="281"/>
    </row>
    <row r="57" spans="1:8">
      <c r="A57" s="237" t="s">
        <v>1230</v>
      </c>
      <c r="B57" s="179"/>
      <c r="C57" s="179">
        <v>371</v>
      </c>
      <c r="D57" s="179">
        <v>2415</v>
      </c>
      <c r="E57" s="179">
        <v>2657</v>
      </c>
      <c r="F57" s="179">
        <v>2898</v>
      </c>
      <c r="G57" s="179"/>
      <c r="H57" s="281"/>
    </row>
    <row r="58" spans="1:8">
      <c r="A58" s="237" t="s">
        <v>819</v>
      </c>
      <c r="B58" s="179"/>
      <c r="C58" s="179">
        <v>1233</v>
      </c>
      <c r="D58" s="179">
        <v>1720</v>
      </c>
      <c r="E58" s="179">
        <v>1892</v>
      </c>
      <c r="F58" s="179">
        <v>2064</v>
      </c>
      <c r="G58" s="179"/>
      <c r="H58" s="281"/>
    </row>
    <row r="59" spans="1:8">
      <c r="A59" s="237" t="s">
        <v>1500</v>
      </c>
      <c r="B59" s="179"/>
      <c r="C59" s="179">
        <v>243</v>
      </c>
      <c r="D59" s="179">
        <v>264</v>
      </c>
      <c r="E59" s="179">
        <v>290</v>
      </c>
      <c r="F59" s="179">
        <v>317</v>
      </c>
      <c r="G59" s="179"/>
      <c r="H59" s="281"/>
    </row>
    <row r="60" spans="1:8">
      <c r="A60" s="237" t="s">
        <v>1501</v>
      </c>
      <c r="B60" s="179"/>
      <c r="C60" s="179">
        <v>2179</v>
      </c>
      <c r="D60" s="179">
        <v>2027</v>
      </c>
      <c r="E60" s="179">
        <v>2230</v>
      </c>
      <c r="F60" s="179">
        <v>2432</v>
      </c>
      <c r="G60" s="179"/>
      <c r="H60" s="281"/>
    </row>
    <row r="61" spans="1:8">
      <c r="A61" s="237" t="s">
        <v>1502</v>
      </c>
      <c r="B61" s="179"/>
      <c r="C61" s="179">
        <v>247</v>
      </c>
      <c r="D61" s="179">
        <v>241</v>
      </c>
      <c r="E61" s="179">
        <v>265</v>
      </c>
      <c r="F61" s="179">
        <v>289</v>
      </c>
      <c r="G61" s="179"/>
      <c r="H61" s="281"/>
    </row>
    <row r="62" spans="1:8">
      <c r="A62" s="237" t="s">
        <v>1503</v>
      </c>
      <c r="B62" s="179"/>
      <c r="C62" s="179">
        <v>254</v>
      </c>
      <c r="D62" s="179">
        <v>248</v>
      </c>
      <c r="E62" s="179">
        <v>273</v>
      </c>
      <c r="F62" s="179">
        <v>298</v>
      </c>
      <c r="G62" s="179"/>
      <c r="H62" s="281"/>
    </row>
    <row r="63" spans="1:8">
      <c r="A63" s="178"/>
      <c r="B63" s="179"/>
      <c r="C63" s="179"/>
      <c r="D63" s="179"/>
      <c r="E63" s="369"/>
      <c r="F63" s="179"/>
      <c r="G63" s="179"/>
      <c r="H63" s="281"/>
    </row>
    <row r="64" spans="1:8">
      <c r="A64" s="178"/>
      <c r="B64" s="179"/>
      <c r="C64" s="179"/>
      <c r="D64" s="179"/>
      <c r="E64" s="369"/>
      <c r="F64" s="179"/>
      <c r="G64" s="179"/>
      <c r="H64" s="281"/>
    </row>
    <row r="65" spans="1:8">
      <c r="A65" s="178"/>
      <c r="B65" s="179"/>
      <c r="C65" s="179"/>
      <c r="D65" s="179"/>
      <c r="E65" s="369"/>
      <c r="F65" s="178"/>
      <c r="G65" s="179"/>
      <c r="H65" s="281"/>
    </row>
    <row r="66" spans="1:8" ht="24">
      <c r="A66" s="37" t="s">
        <v>1581</v>
      </c>
      <c r="B66" s="179" t="s">
        <v>1582</v>
      </c>
      <c r="C66" s="281">
        <v>1995</v>
      </c>
      <c r="D66" s="179"/>
      <c r="E66" s="369"/>
      <c r="F66" s="178" t="s">
        <v>1613</v>
      </c>
      <c r="G66" s="179" t="s">
        <v>2110</v>
      </c>
      <c r="H66" s="281">
        <v>9</v>
      </c>
    </row>
    <row r="67" spans="1:8" ht="24">
      <c r="A67" s="37" t="s">
        <v>1583</v>
      </c>
      <c r="B67" s="179" t="s">
        <v>1584</v>
      </c>
      <c r="C67" s="281">
        <v>2488</v>
      </c>
      <c r="D67" s="179"/>
      <c r="E67" s="369"/>
      <c r="F67" s="178" t="s">
        <v>1614</v>
      </c>
      <c r="G67" s="179" t="s">
        <v>2111</v>
      </c>
      <c r="H67" s="281">
        <v>2</v>
      </c>
    </row>
    <row r="68" spans="1:8">
      <c r="A68" s="37" t="s">
        <v>1585</v>
      </c>
      <c r="B68" s="179" t="s">
        <v>1586</v>
      </c>
      <c r="C68" s="281">
        <v>857</v>
      </c>
      <c r="D68" s="179"/>
      <c r="E68" s="369"/>
      <c r="F68" s="37" t="s">
        <v>1618</v>
      </c>
      <c r="G68" s="179" t="s">
        <v>1615</v>
      </c>
      <c r="H68" s="281">
        <v>159</v>
      </c>
    </row>
    <row r="69" spans="1:8">
      <c r="A69" s="178" t="s">
        <v>1587</v>
      </c>
      <c r="B69" s="179" t="s">
        <v>1588</v>
      </c>
      <c r="C69" s="281">
        <v>1045</v>
      </c>
      <c r="D69" s="179"/>
      <c r="E69" s="369"/>
      <c r="F69" s="37" t="s">
        <v>1619</v>
      </c>
      <c r="G69" s="179" t="s">
        <v>1616</v>
      </c>
      <c r="H69" s="281">
        <v>186</v>
      </c>
    </row>
    <row r="70" spans="1:8">
      <c r="A70" s="178" t="s">
        <v>1590</v>
      </c>
      <c r="B70" s="179" t="s">
        <v>1589</v>
      </c>
      <c r="C70" s="281">
        <v>2666</v>
      </c>
      <c r="D70" s="179"/>
      <c r="E70" s="369"/>
      <c r="F70" s="37" t="s">
        <v>1620</v>
      </c>
      <c r="G70" s="179" t="s">
        <v>1829</v>
      </c>
      <c r="H70" s="281">
        <v>224</v>
      </c>
    </row>
    <row r="71" spans="1:8">
      <c r="A71" s="178" t="s">
        <v>1591</v>
      </c>
      <c r="B71" s="179" t="s">
        <v>1592</v>
      </c>
      <c r="C71" s="281">
        <v>1532</v>
      </c>
      <c r="D71" s="179"/>
      <c r="E71" s="369"/>
      <c r="F71" s="37" t="s">
        <v>1621</v>
      </c>
      <c r="G71" s="179" t="s">
        <v>1617</v>
      </c>
      <c r="H71" s="281">
        <v>291</v>
      </c>
    </row>
    <row r="72" spans="1:8">
      <c r="A72" s="178" t="s">
        <v>1610</v>
      </c>
      <c r="B72" s="179" t="s">
        <v>1593</v>
      </c>
      <c r="C72" s="281">
        <v>391</v>
      </c>
      <c r="D72" s="179"/>
      <c r="E72" s="369"/>
      <c r="F72" s="37" t="s">
        <v>1622</v>
      </c>
      <c r="G72" s="179" t="s">
        <v>1633</v>
      </c>
      <c r="H72" s="281">
        <v>25</v>
      </c>
    </row>
    <row r="73" spans="1:8">
      <c r="A73" s="178" t="s">
        <v>1595</v>
      </c>
      <c r="B73" s="179" t="s">
        <v>1594</v>
      </c>
      <c r="C73" s="281">
        <v>96</v>
      </c>
      <c r="D73" s="179"/>
      <c r="E73" s="369"/>
      <c r="F73" s="178" t="s">
        <v>1623</v>
      </c>
      <c r="G73" s="179" t="s">
        <v>1624</v>
      </c>
      <c r="H73" s="281">
        <v>37</v>
      </c>
    </row>
    <row r="74" spans="1:8">
      <c r="A74" s="178" t="s">
        <v>1597</v>
      </c>
      <c r="B74" s="179" t="s">
        <v>1596</v>
      </c>
      <c r="C74" s="281">
        <v>25</v>
      </c>
      <c r="D74" s="179"/>
      <c r="E74" s="369"/>
      <c r="F74" s="178" t="s">
        <v>1625</v>
      </c>
      <c r="G74" s="179" t="s">
        <v>1626</v>
      </c>
      <c r="H74" s="281">
        <v>1175</v>
      </c>
    </row>
    <row r="75" spans="1:8">
      <c r="A75" s="178" t="s">
        <v>1239</v>
      </c>
      <c r="B75" s="179" t="s">
        <v>1598</v>
      </c>
      <c r="C75" s="281">
        <v>94</v>
      </c>
      <c r="D75" s="179"/>
      <c r="E75" s="369"/>
      <c r="F75" s="178" t="s">
        <v>1628</v>
      </c>
      <c r="G75" s="179" t="s">
        <v>1627</v>
      </c>
      <c r="H75" s="281">
        <v>78</v>
      </c>
    </row>
    <row r="76" spans="1:8" ht="25.5">
      <c r="A76" s="178" t="s">
        <v>1600</v>
      </c>
      <c r="B76" s="179" t="s">
        <v>1599</v>
      </c>
      <c r="C76" s="281">
        <v>33</v>
      </c>
      <c r="D76" s="179"/>
      <c r="E76" s="369"/>
      <c r="F76" s="178" t="s">
        <v>1629</v>
      </c>
      <c r="G76" s="179" t="s">
        <v>1630</v>
      </c>
      <c r="H76" s="281">
        <v>18</v>
      </c>
    </row>
    <row r="77" spans="1:8" ht="25.5">
      <c r="A77" s="178" t="s">
        <v>1601</v>
      </c>
      <c r="B77" s="179" t="s">
        <v>1602</v>
      </c>
      <c r="C77" s="281">
        <v>130</v>
      </c>
      <c r="D77" s="179"/>
      <c r="E77" s="369"/>
      <c r="F77" s="178"/>
      <c r="G77" s="179"/>
      <c r="H77" s="281"/>
    </row>
    <row r="78" spans="1:8">
      <c r="A78" s="178" t="s">
        <v>1236</v>
      </c>
      <c r="B78" s="179" t="s">
        <v>1603</v>
      </c>
      <c r="C78" s="281">
        <v>451</v>
      </c>
      <c r="D78" s="179"/>
      <c r="E78" s="369"/>
      <c r="F78" s="178"/>
      <c r="G78" s="179"/>
      <c r="H78" s="281"/>
    </row>
    <row r="79" spans="1:8">
      <c r="A79" s="178" t="s">
        <v>1237</v>
      </c>
      <c r="B79" s="179" t="s">
        <v>1604</v>
      </c>
      <c r="C79" s="281">
        <v>429</v>
      </c>
      <c r="D79" s="179"/>
      <c r="E79" s="369"/>
      <c r="F79" s="178"/>
      <c r="G79" s="179"/>
      <c r="H79" s="281"/>
    </row>
    <row r="80" spans="1:8">
      <c r="A80" s="178" t="s">
        <v>1238</v>
      </c>
      <c r="B80" s="179" t="s">
        <v>1605</v>
      </c>
      <c r="C80" s="281">
        <v>270</v>
      </c>
      <c r="D80" s="179"/>
      <c r="E80" s="369"/>
      <c r="F80" s="178"/>
      <c r="G80" s="179"/>
      <c r="H80" s="281"/>
    </row>
    <row r="81" spans="1:8">
      <c r="A81" s="178" t="s">
        <v>1606</v>
      </c>
      <c r="B81" s="179" t="s">
        <v>1607</v>
      </c>
      <c r="C81" s="281">
        <v>85</v>
      </c>
      <c r="D81" s="179"/>
      <c r="E81" s="369"/>
      <c r="F81" s="178"/>
      <c r="G81" s="179"/>
      <c r="H81" s="281"/>
    </row>
    <row r="82" spans="1:8">
      <c r="A82" s="178" t="s">
        <v>1608</v>
      </c>
      <c r="B82" s="179" t="s">
        <v>1609</v>
      </c>
      <c r="C82" s="281">
        <v>1658</v>
      </c>
      <c r="D82" s="179"/>
      <c r="E82" s="369"/>
      <c r="F82" s="178"/>
      <c r="G82" s="179"/>
      <c r="H82" s="281"/>
    </row>
    <row r="83" spans="1:8">
      <c r="A83" s="178" t="s">
        <v>1611</v>
      </c>
      <c r="B83" s="179" t="s">
        <v>1612</v>
      </c>
      <c r="C83" s="281">
        <v>4200</v>
      </c>
      <c r="D83" s="179"/>
      <c r="E83" s="369"/>
      <c r="F83" s="178"/>
      <c r="G83" s="179"/>
      <c r="H83" s="281"/>
    </row>
    <row r="84" spans="1:8">
      <c r="A84" s="178"/>
      <c r="B84" s="179"/>
      <c r="C84" s="179"/>
      <c r="D84" s="179"/>
      <c r="E84" s="369"/>
      <c r="F84" s="178"/>
      <c r="G84" s="179"/>
      <c r="H84" s="281"/>
    </row>
    <row r="85" spans="1:8">
      <c r="A85" s="178"/>
      <c r="B85" s="179"/>
      <c r="C85" s="179"/>
      <c r="D85" s="179"/>
      <c r="E85" s="369"/>
      <c r="F85" s="178"/>
      <c r="G85" s="179"/>
      <c r="H85" s="281"/>
    </row>
    <row r="86" spans="1:8">
      <c r="A86" s="178" t="s">
        <v>1635</v>
      </c>
      <c r="B86" s="179" t="s">
        <v>2342</v>
      </c>
      <c r="C86" s="281">
        <v>492.16</v>
      </c>
      <c r="D86" s="179"/>
      <c r="E86" s="369"/>
      <c r="F86" s="178"/>
      <c r="G86" s="179"/>
      <c r="H86" s="281"/>
    </row>
    <row r="87" spans="1:8">
      <c r="A87" s="178" t="s">
        <v>1636</v>
      </c>
      <c r="B87" s="179" t="s">
        <v>2342</v>
      </c>
      <c r="C87" s="281">
        <v>526.54999999999995</v>
      </c>
      <c r="D87" s="179"/>
      <c r="E87" s="369"/>
      <c r="F87" s="178"/>
      <c r="G87" s="179"/>
      <c r="H87" s="281"/>
    </row>
    <row r="88" spans="1:8">
      <c r="A88" s="178" t="s">
        <v>1637</v>
      </c>
      <c r="B88" s="179" t="s">
        <v>2342</v>
      </c>
      <c r="C88" s="281">
        <v>590.61</v>
      </c>
      <c r="D88" s="179"/>
      <c r="E88" s="369"/>
      <c r="F88" s="178"/>
      <c r="G88" s="179"/>
      <c r="H88" s="281"/>
    </row>
    <row r="89" spans="1:8">
      <c r="A89" s="178" t="s">
        <v>1638</v>
      </c>
      <c r="B89" s="179" t="s">
        <v>1639</v>
      </c>
      <c r="C89" s="281">
        <v>32343</v>
      </c>
      <c r="D89" s="179"/>
      <c r="E89" s="369"/>
      <c r="F89" s="178"/>
      <c r="G89" s="179"/>
      <c r="H89" s="281"/>
    </row>
    <row r="90" spans="1:8">
      <c r="A90" s="178" t="s">
        <v>2112</v>
      </c>
      <c r="B90" s="179" t="s">
        <v>1640</v>
      </c>
      <c r="C90" s="281">
        <v>22228</v>
      </c>
      <c r="D90" s="179"/>
      <c r="E90" s="369"/>
      <c r="F90" s="178"/>
      <c r="G90" s="179"/>
      <c r="H90" s="281"/>
    </row>
    <row r="91" spans="1:8">
      <c r="A91" s="178" t="s">
        <v>1641</v>
      </c>
      <c r="B91" s="179" t="s">
        <v>2251</v>
      </c>
      <c r="C91" s="281">
        <v>358.31</v>
      </c>
      <c r="D91" s="179"/>
      <c r="E91" s="369"/>
      <c r="F91" s="178"/>
      <c r="G91" s="179"/>
      <c r="H91" s="281"/>
    </row>
    <row r="92" spans="1:8">
      <c r="A92" s="178" t="s">
        <v>1642</v>
      </c>
      <c r="B92" s="179" t="s">
        <v>1650</v>
      </c>
      <c r="C92" s="281">
        <v>80</v>
      </c>
      <c r="D92" s="179"/>
      <c r="E92" s="369"/>
      <c r="F92" s="178"/>
      <c r="G92" s="179"/>
      <c r="H92" s="281"/>
    </row>
    <row r="93" spans="1:8">
      <c r="A93" s="178" t="s">
        <v>1643</v>
      </c>
      <c r="B93" s="179" t="s">
        <v>1644</v>
      </c>
      <c r="C93" s="281">
        <v>173</v>
      </c>
      <c r="D93" s="179"/>
      <c r="E93" s="369"/>
      <c r="F93" s="178"/>
      <c r="G93" s="179"/>
      <c r="H93" s="281"/>
    </row>
    <row r="94" spans="1:8">
      <c r="A94" s="178" t="s">
        <v>1240</v>
      </c>
      <c r="B94" s="179" t="s">
        <v>2343</v>
      </c>
      <c r="C94" s="281">
        <v>330.75</v>
      </c>
      <c r="D94" s="179"/>
      <c r="E94" s="369"/>
      <c r="F94" s="178"/>
      <c r="G94" s="179"/>
      <c r="H94" s="281"/>
    </row>
    <row r="95" spans="1:8">
      <c r="A95" s="178" t="s">
        <v>1645</v>
      </c>
      <c r="B95" s="179" t="s">
        <v>2343</v>
      </c>
      <c r="C95" s="281">
        <v>400</v>
      </c>
      <c r="D95" s="179"/>
      <c r="E95" s="369"/>
      <c r="F95" s="178"/>
      <c r="G95" s="179"/>
      <c r="H95" s="281"/>
    </row>
    <row r="96" spans="1:8">
      <c r="A96" s="178" t="s">
        <v>1646</v>
      </c>
      <c r="B96" s="179" t="s">
        <v>1651</v>
      </c>
      <c r="C96" s="281">
        <v>78</v>
      </c>
      <c r="D96" s="179"/>
      <c r="E96" s="369"/>
      <c r="F96" s="178"/>
      <c r="G96" s="179"/>
      <c r="H96" s="281"/>
    </row>
    <row r="97" spans="1:8">
      <c r="A97" s="178" t="s">
        <v>1647</v>
      </c>
      <c r="B97" s="179" t="s">
        <v>2252</v>
      </c>
      <c r="C97" s="281">
        <v>109</v>
      </c>
      <c r="D97" s="179"/>
      <c r="E97" s="369"/>
      <c r="F97" s="178"/>
      <c r="G97" s="179"/>
      <c r="H97" s="281"/>
    </row>
    <row r="98" spans="1:8">
      <c r="A98" s="178" t="s">
        <v>1649</v>
      </c>
      <c r="B98" s="179" t="s">
        <v>1648</v>
      </c>
      <c r="C98" s="281">
        <v>5990</v>
      </c>
      <c r="D98" s="179"/>
      <c r="E98" s="369"/>
      <c r="F98" s="178"/>
      <c r="G98" s="179"/>
      <c r="H98" s="281"/>
    </row>
    <row r="99" spans="1:8">
      <c r="A99" s="178"/>
      <c r="B99" s="179"/>
      <c r="C99" s="179"/>
      <c r="D99" s="179"/>
      <c r="E99" s="369"/>
      <c r="F99" s="178"/>
      <c r="G99" s="179"/>
      <c r="H99" s="281"/>
    </row>
    <row r="100" spans="1:8" ht="22.5">
      <c r="A100" s="362" t="s">
        <v>1267</v>
      </c>
      <c r="B100" s="370" t="s">
        <v>1271</v>
      </c>
      <c r="C100" s="281">
        <v>28</v>
      </c>
      <c r="D100" s="179"/>
      <c r="E100" s="369"/>
      <c r="F100" s="178"/>
      <c r="G100" s="179"/>
      <c r="H100" s="281"/>
    </row>
    <row r="101" spans="1:8">
      <c r="A101" s="362" t="s">
        <v>1268</v>
      </c>
      <c r="B101" s="370" t="s">
        <v>1272</v>
      </c>
      <c r="C101" s="281">
        <v>12</v>
      </c>
      <c r="D101" s="179"/>
      <c r="E101" s="369"/>
      <c r="F101" s="178"/>
      <c r="G101" s="179"/>
      <c r="H101" s="281"/>
    </row>
    <row r="102" spans="1:8" ht="22.5">
      <c r="A102" s="362" t="s">
        <v>1277</v>
      </c>
      <c r="B102" s="370" t="s">
        <v>1273</v>
      </c>
      <c r="C102" s="281">
        <v>36</v>
      </c>
      <c r="D102" s="179"/>
      <c r="E102" s="369"/>
      <c r="F102" s="178"/>
      <c r="G102" s="179"/>
      <c r="H102" s="281"/>
    </row>
    <row r="103" spans="1:8">
      <c r="A103" s="363" t="s">
        <v>1275</v>
      </c>
      <c r="B103" s="370" t="s">
        <v>1279</v>
      </c>
      <c r="C103" s="281">
        <v>39</v>
      </c>
      <c r="D103" s="179"/>
      <c r="E103" s="369"/>
      <c r="F103" s="178"/>
      <c r="G103" s="179"/>
      <c r="H103" s="281"/>
    </row>
    <row r="104" spans="1:8">
      <c r="A104" s="178" t="s">
        <v>1661</v>
      </c>
      <c r="B104" s="179" t="s">
        <v>1662</v>
      </c>
      <c r="C104" s="281">
        <v>78</v>
      </c>
      <c r="D104" s="179"/>
      <c r="E104" s="369"/>
      <c r="F104" s="178"/>
      <c r="G104" s="179"/>
      <c r="H104" s="281"/>
    </row>
    <row r="105" spans="1:8">
      <c r="A105" s="178"/>
      <c r="B105" s="179"/>
      <c r="C105" s="179" t="s">
        <v>1666</v>
      </c>
      <c r="D105" s="178"/>
      <c r="E105" s="179" t="s">
        <v>1667</v>
      </c>
      <c r="F105" s="178"/>
      <c r="G105" s="179"/>
      <c r="H105" s="281"/>
    </row>
    <row r="106" spans="1:8">
      <c r="A106" s="178" t="s">
        <v>1241</v>
      </c>
      <c r="B106" s="179" t="s">
        <v>1668</v>
      </c>
      <c r="C106" s="281">
        <v>245</v>
      </c>
      <c r="D106" s="179" t="s">
        <v>1673</v>
      </c>
      <c r="E106" s="281">
        <v>240</v>
      </c>
      <c r="F106" s="178"/>
      <c r="G106" s="179"/>
      <c r="H106" s="281"/>
    </row>
    <row r="107" spans="1:8">
      <c r="A107" s="178" t="s">
        <v>1242</v>
      </c>
      <c r="B107" s="179" t="s">
        <v>1669</v>
      </c>
      <c r="C107" s="281">
        <v>203</v>
      </c>
      <c r="D107" s="179" t="s">
        <v>1674</v>
      </c>
      <c r="E107" s="281">
        <v>197</v>
      </c>
      <c r="F107" s="178"/>
      <c r="G107" s="179"/>
      <c r="H107" s="281"/>
    </row>
    <row r="108" spans="1:8">
      <c r="A108" s="178" t="s">
        <v>1243</v>
      </c>
      <c r="B108" s="179" t="s">
        <v>1670</v>
      </c>
      <c r="C108" s="281">
        <v>155</v>
      </c>
      <c r="D108" s="179" t="s">
        <v>1675</v>
      </c>
      <c r="E108" s="281">
        <v>152</v>
      </c>
      <c r="F108" s="178"/>
      <c r="G108" s="179"/>
      <c r="H108" s="281"/>
    </row>
    <row r="109" spans="1:8">
      <c r="A109" s="178" t="s">
        <v>1244</v>
      </c>
      <c r="B109" s="179" t="s">
        <v>1671</v>
      </c>
      <c r="C109" s="281">
        <v>114</v>
      </c>
      <c r="D109" s="179" t="s">
        <v>1676</v>
      </c>
      <c r="E109" s="281">
        <v>101</v>
      </c>
      <c r="F109" s="178"/>
      <c r="G109" s="179"/>
      <c r="H109" s="281"/>
    </row>
    <row r="110" spans="1:8">
      <c r="A110" s="178" t="s">
        <v>1663</v>
      </c>
      <c r="B110" s="179"/>
      <c r="C110" s="281">
        <f>C106+C108</f>
        <v>400</v>
      </c>
      <c r="D110" s="179"/>
      <c r="E110" s="281">
        <f>E106+E108</f>
        <v>392</v>
      </c>
      <c r="F110" s="178"/>
      <c r="G110" s="179"/>
      <c r="H110" s="281"/>
    </row>
    <row r="111" spans="1:8">
      <c r="A111" s="178" t="s">
        <v>1664</v>
      </c>
      <c r="B111" s="179"/>
      <c r="C111" s="281">
        <f>C106+C109</f>
        <v>359</v>
      </c>
      <c r="D111" s="179"/>
      <c r="E111" s="281">
        <f>E106+E109</f>
        <v>341</v>
      </c>
      <c r="F111" s="178"/>
      <c r="G111" s="179"/>
      <c r="H111" s="281"/>
    </row>
    <row r="112" spans="1:8">
      <c r="A112" s="178" t="s">
        <v>1665</v>
      </c>
      <c r="B112" s="179" t="s">
        <v>1672</v>
      </c>
      <c r="C112" s="281">
        <v>68</v>
      </c>
      <c r="D112" s="179" t="s">
        <v>1677</v>
      </c>
      <c r="E112" s="281">
        <v>76</v>
      </c>
      <c r="F112" s="178"/>
      <c r="G112" s="179"/>
      <c r="H112" s="281"/>
    </row>
    <row r="113" spans="1:8">
      <c r="A113" s="178"/>
      <c r="B113" s="179"/>
      <c r="C113" s="179"/>
      <c r="D113" s="179"/>
      <c r="E113" s="369"/>
      <c r="F113" s="178"/>
      <c r="G113" s="179"/>
      <c r="H113" s="281"/>
    </row>
    <row r="114" spans="1:8" ht="25.5">
      <c r="A114" s="178" t="s">
        <v>1678</v>
      </c>
      <c r="B114" s="179" t="s">
        <v>1679</v>
      </c>
      <c r="C114" s="281">
        <v>21</v>
      </c>
      <c r="D114" s="179"/>
      <c r="E114" s="369" t="s">
        <v>1710</v>
      </c>
      <c r="F114" s="178" t="s">
        <v>1711</v>
      </c>
      <c r="G114" s="281">
        <v>21</v>
      </c>
      <c r="H114" s="281"/>
    </row>
    <row r="115" spans="1:8" ht="25.5">
      <c r="A115" s="178" t="s">
        <v>1245</v>
      </c>
      <c r="B115" s="179" t="s">
        <v>1680</v>
      </c>
      <c r="C115" s="281">
        <v>1552</v>
      </c>
      <c r="D115" s="179"/>
      <c r="E115" s="369" t="s">
        <v>1712</v>
      </c>
      <c r="F115" s="178" t="s">
        <v>1713</v>
      </c>
      <c r="G115" s="281">
        <v>46</v>
      </c>
      <c r="H115" s="281"/>
    </row>
    <row r="116" spans="1:8" ht="25.5">
      <c r="A116" s="178" t="s">
        <v>1681</v>
      </c>
      <c r="B116" s="179" t="s">
        <v>1682</v>
      </c>
      <c r="C116" s="281">
        <v>18</v>
      </c>
      <c r="D116" s="179"/>
      <c r="E116" s="369" t="s">
        <v>1714</v>
      </c>
      <c r="F116" s="178" t="s">
        <v>2255</v>
      </c>
      <c r="G116" s="281">
        <v>1288</v>
      </c>
      <c r="H116" s="281"/>
    </row>
    <row r="117" spans="1:8" ht="25.5">
      <c r="A117" s="178" t="s">
        <v>1758</v>
      </c>
      <c r="B117" s="179" t="s">
        <v>1757</v>
      </c>
      <c r="C117" s="281">
        <v>21</v>
      </c>
      <c r="D117" s="179"/>
      <c r="E117" s="369" t="s">
        <v>1715</v>
      </c>
      <c r="F117" s="178" t="s">
        <v>1716</v>
      </c>
      <c r="G117" s="281">
        <v>208</v>
      </c>
      <c r="H117" s="281"/>
    </row>
    <row r="118" spans="1:8">
      <c r="A118" s="178" t="s">
        <v>1759</v>
      </c>
      <c r="B118" s="179" t="s">
        <v>1686</v>
      </c>
      <c r="C118" s="281">
        <v>27</v>
      </c>
      <c r="D118" s="179"/>
      <c r="E118" s="369" t="s">
        <v>1717</v>
      </c>
      <c r="F118" s="178" t="s">
        <v>1718</v>
      </c>
      <c r="G118" s="281">
        <v>2904</v>
      </c>
      <c r="H118" s="281"/>
    </row>
    <row r="119" spans="1:8" ht="38.25">
      <c r="A119" s="178" t="s">
        <v>1683</v>
      </c>
      <c r="B119" s="179" t="s">
        <v>2344</v>
      </c>
      <c r="C119" s="281">
        <v>1424</v>
      </c>
      <c r="D119" s="179"/>
      <c r="E119" s="369" t="s">
        <v>1719</v>
      </c>
      <c r="F119" s="178" t="s">
        <v>1751</v>
      </c>
      <c r="G119" s="281">
        <v>119</v>
      </c>
      <c r="H119" s="281"/>
    </row>
    <row r="120" spans="1:8">
      <c r="A120" s="178" t="s">
        <v>1684</v>
      </c>
      <c r="B120" s="179" t="s">
        <v>1685</v>
      </c>
      <c r="C120" s="281">
        <v>22</v>
      </c>
      <c r="D120" s="179"/>
      <c r="E120" s="369" t="s">
        <v>1328</v>
      </c>
      <c r="F120" s="178" t="s">
        <v>1768</v>
      </c>
      <c r="G120" s="281">
        <v>42</v>
      </c>
      <c r="H120" s="281"/>
    </row>
    <row r="121" spans="1:8" ht="51">
      <c r="A121" s="178" t="s">
        <v>1687</v>
      </c>
      <c r="B121" s="179" t="s">
        <v>2253</v>
      </c>
      <c r="C121" s="281">
        <v>51</v>
      </c>
      <c r="D121" s="179"/>
      <c r="E121" s="369" t="s">
        <v>1720</v>
      </c>
      <c r="F121" s="178" t="s">
        <v>1750</v>
      </c>
      <c r="G121" s="281">
        <v>248</v>
      </c>
      <c r="H121" s="281"/>
    </row>
    <row r="122" spans="1:8" ht="22.5">
      <c r="A122" s="178" t="s">
        <v>1688</v>
      </c>
      <c r="B122" s="179" t="s">
        <v>1689</v>
      </c>
      <c r="C122" s="281">
        <v>124</v>
      </c>
      <c r="D122" s="179"/>
      <c r="E122" s="362" t="s">
        <v>1770</v>
      </c>
      <c r="F122" s="178" t="s">
        <v>1721</v>
      </c>
      <c r="G122" s="281">
        <v>1105</v>
      </c>
      <c r="H122" s="281"/>
    </row>
    <row r="123" spans="1:8" ht="38.25">
      <c r="A123" s="178" t="s">
        <v>1690</v>
      </c>
      <c r="B123" s="179" t="s">
        <v>1691</v>
      </c>
      <c r="C123" s="281">
        <v>124</v>
      </c>
      <c r="D123" s="179"/>
      <c r="E123" s="364" t="s">
        <v>1722</v>
      </c>
      <c r="F123" s="178" t="s">
        <v>1723</v>
      </c>
      <c r="G123" s="281">
        <v>432</v>
      </c>
      <c r="H123" s="281"/>
    </row>
    <row r="124" spans="1:8" ht="25.5">
      <c r="A124" s="178" t="s">
        <v>1692</v>
      </c>
      <c r="B124" s="179" t="s">
        <v>1693</v>
      </c>
      <c r="C124" s="281">
        <v>72</v>
      </c>
      <c r="D124" s="179"/>
      <c r="E124" s="364" t="s">
        <v>1724</v>
      </c>
      <c r="F124" s="178" t="s">
        <v>1725</v>
      </c>
      <c r="G124" s="281">
        <v>228</v>
      </c>
      <c r="H124" s="281"/>
    </row>
    <row r="125" spans="1:8" ht="45">
      <c r="A125" s="178" t="s">
        <v>1694</v>
      </c>
      <c r="B125" s="179" t="s">
        <v>1695</v>
      </c>
      <c r="C125" s="281">
        <v>122</v>
      </c>
      <c r="D125" s="179"/>
      <c r="E125" s="362" t="s">
        <v>1726</v>
      </c>
      <c r="F125" s="178" t="s">
        <v>1727</v>
      </c>
      <c r="G125" s="281">
        <v>161</v>
      </c>
      <c r="H125" s="281"/>
    </row>
    <row r="126" spans="1:8" ht="56.25">
      <c r="A126" s="178" t="s">
        <v>1697</v>
      </c>
      <c r="B126" s="179" t="s">
        <v>1696</v>
      </c>
      <c r="C126" s="281">
        <v>95</v>
      </c>
      <c r="D126" s="179"/>
      <c r="E126" s="364" t="s">
        <v>1728</v>
      </c>
      <c r="F126" s="178" t="s">
        <v>1729</v>
      </c>
      <c r="G126" s="281">
        <v>6908</v>
      </c>
      <c r="H126" s="281"/>
    </row>
    <row r="127" spans="1:8" ht="25.5">
      <c r="A127" s="178" t="s">
        <v>1698</v>
      </c>
      <c r="B127" s="179" t="s">
        <v>1752</v>
      </c>
      <c r="C127" s="281">
        <v>89</v>
      </c>
      <c r="D127" s="179"/>
      <c r="E127" s="364" t="s">
        <v>1730</v>
      </c>
      <c r="F127" s="178" t="s">
        <v>1731</v>
      </c>
      <c r="G127" s="281">
        <v>246</v>
      </c>
      <c r="H127" s="281"/>
    </row>
    <row r="128" spans="1:8" ht="33.75">
      <c r="A128" s="178" t="s">
        <v>1699</v>
      </c>
      <c r="B128" s="179" t="s">
        <v>1700</v>
      </c>
      <c r="C128" s="281">
        <v>2046</v>
      </c>
      <c r="D128" s="179"/>
      <c r="E128" s="365" t="s">
        <v>1732</v>
      </c>
      <c r="F128" s="178" t="s">
        <v>1733</v>
      </c>
      <c r="G128" s="281">
        <v>455</v>
      </c>
      <c r="H128" s="281"/>
    </row>
    <row r="129" spans="1:8" ht="25.5">
      <c r="A129" s="178" t="s">
        <v>1701</v>
      </c>
      <c r="B129" s="179" t="s">
        <v>1702</v>
      </c>
      <c r="C129" s="281">
        <v>3305</v>
      </c>
      <c r="D129" s="179"/>
      <c r="E129" s="362" t="s">
        <v>1734</v>
      </c>
      <c r="F129" s="178" t="s">
        <v>1735</v>
      </c>
      <c r="G129" s="281">
        <v>94</v>
      </c>
      <c r="H129" s="281"/>
    </row>
    <row r="130" spans="1:8" ht="25.5">
      <c r="A130" s="178" t="s">
        <v>1703</v>
      </c>
      <c r="B130" s="179" t="s">
        <v>1704</v>
      </c>
      <c r="C130" s="281">
        <v>5046</v>
      </c>
      <c r="D130" s="179"/>
      <c r="E130" s="362" t="s">
        <v>1736</v>
      </c>
      <c r="F130" s="178" t="s">
        <v>1735</v>
      </c>
      <c r="G130" s="281">
        <v>94</v>
      </c>
      <c r="H130" s="281"/>
    </row>
    <row r="131" spans="1:8" ht="45">
      <c r="A131" s="178" t="s">
        <v>1705</v>
      </c>
      <c r="B131" s="179" t="s">
        <v>2254</v>
      </c>
      <c r="C131" s="281">
        <v>1816</v>
      </c>
      <c r="D131" s="179"/>
      <c r="E131" s="365" t="s">
        <v>1737</v>
      </c>
      <c r="F131" s="178" t="s">
        <v>1738</v>
      </c>
      <c r="G131" s="281">
        <v>9</v>
      </c>
      <c r="H131" s="281"/>
    </row>
    <row r="132" spans="1:8" ht="33.75">
      <c r="A132" s="178" t="s">
        <v>1706</v>
      </c>
      <c r="B132" s="179" t="s">
        <v>1707</v>
      </c>
      <c r="C132" s="281">
        <v>94</v>
      </c>
      <c r="D132" s="179"/>
      <c r="E132" s="365" t="s">
        <v>1739</v>
      </c>
      <c r="F132" s="178" t="s">
        <v>1740</v>
      </c>
      <c r="G132" s="281">
        <v>15</v>
      </c>
      <c r="H132" s="281"/>
    </row>
    <row r="133" spans="1:8" ht="22.5">
      <c r="A133" s="178" t="s">
        <v>1708</v>
      </c>
      <c r="B133" s="179" t="s">
        <v>1709</v>
      </c>
      <c r="C133" s="281">
        <v>556</v>
      </c>
      <c r="D133" s="179"/>
      <c r="E133" s="365" t="s">
        <v>1741</v>
      </c>
      <c r="F133" s="178" t="s">
        <v>1225</v>
      </c>
      <c r="G133" s="281">
        <v>390</v>
      </c>
      <c r="H133" s="281"/>
    </row>
    <row r="134" spans="1:8" ht="45">
      <c r="A134" s="178"/>
      <c r="B134" s="179"/>
      <c r="C134" s="179"/>
      <c r="D134" s="179"/>
      <c r="E134" s="365" t="s">
        <v>1742</v>
      </c>
      <c r="F134" s="178" t="s">
        <v>1227</v>
      </c>
      <c r="G134" s="281">
        <v>250</v>
      </c>
      <c r="H134" s="281"/>
    </row>
    <row r="135" spans="1:8">
      <c r="A135" s="178"/>
      <c r="B135" s="179"/>
      <c r="C135" s="179"/>
      <c r="D135" s="179"/>
      <c r="E135" s="365" t="s">
        <v>1743</v>
      </c>
      <c r="F135" s="178" t="s">
        <v>1744</v>
      </c>
      <c r="G135" s="281">
        <v>26</v>
      </c>
      <c r="H135" s="281"/>
    </row>
    <row r="136" spans="1:8">
      <c r="A136" s="178"/>
      <c r="B136" s="179"/>
      <c r="C136" s="179"/>
      <c r="D136" s="179"/>
      <c r="E136" s="365" t="s">
        <v>1745</v>
      </c>
      <c r="F136" s="178" t="s">
        <v>1746</v>
      </c>
      <c r="G136" s="281">
        <v>20</v>
      </c>
      <c r="H136" s="281"/>
    </row>
    <row r="137" spans="1:8" ht="22.5">
      <c r="A137" s="178"/>
      <c r="B137" s="179"/>
      <c r="C137" s="179"/>
      <c r="D137" s="179"/>
      <c r="E137" s="362" t="s">
        <v>1748</v>
      </c>
      <c r="F137" s="178" t="s">
        <v>1747</v>
      </c>
      <c r="G137" s="281">
        <v>348</v>
      </c>
      <c r="H137" s="281"/>
    </row>
    <row r="138" spans="1:8" ht="22.5">
      <c r="A138" s="178"/>
      <c r="B138" s="179"/>
      <c r="C138" s="179"/>
      <c r="D138" s="179"/>
      <c r="E138" s="362" t="s">
        <v>1748</v>
      </c>
      <c r="F138" s="178" t="s">
        <v>1747</v>
      </c>
      <c r="G138" s="281">
        <v>348</v>
      </c>
      <c r="H138" s="281"/>
    </row>
    <row r="139" spans="1:8">
      <c r="A139" s="178"/>
      <c r="B139" s="179"/>
      <c r="C139" s="179"/>
      <c r="D139" s="179"/>
      <c r="E139" s="369" t="s">
        <v>1323</v>
      </c>
      <c r="F139" s="178" t="s">
        <v>1749</v>
      </c>
      <c r="G139" s="281">
        <v>4089</v>
      </c>
      <c r="H139" s="281"/>
    </row>
    <row r="140" spans="1:8">
      <c r="A140" s="178"/>
      <c r="B140" s="179"/>
      <c r="C140" s="179"/>
      <c r="D140" s="179"/>
      <c r="E140" s="369"/>
      <c r="F140" s="178"/>
      <c r="G140" s="179"/>
      <c r="H140" s="281"/>
    </row>
    <row r="141" spans="1:8">
      <c r="A141" s="178"/>
      <c r="B141" s="179"/>
      <c r="C141" s="179"/>
      <c r="D141" s="179"/>
      <c r="E141" s="369"/>
      <c r="F141" s="178"/>
      <c r="G141" s="179"/>
      <c r="H141" s="281"/>
    </row>
    <row r="142" spans="1:8" ht="25.5">
      <c r="A142" s="307" t="s">
        <v>1773</v>
      </c>
      <c r="B142" s="278" t="s">
        <v>1175</v>
      </c>
      <c r="C142" s="179">
        <v>86688</v>
      </c>
      <c r="D142" s="179"/>
      <c r="E142" s="307" t="s">
        <v>1178</v>
      </c>
      <c r="F142" s="278" t="s">
        <v>1179</v>
      </c>
      <c r="G142" s="179">
        <v>303</v>
      </c>
      <c r="H142" s="281"/>
    </row>
    <row r="143" spans="1:8" ht="38.25">
      <c r="A143" s="307" t="s">
        <v>1774</v>
      </c>
      <c r="B143" s="278" t="s">
        <v>1177</v>
      </c>
      <c r="C143" s="179">
        <v>174890</v>
      </c>
      <c r="D143" s="179"/>
      <c r="E143" s="307" t="s">
        <v>1196</v>
      </c>
      <c r="F143" s="179" t="s">
        <v>1197</v>
      </c>
      <c r="G143" s="179">
        <v>95</v>
      </c>
      <c r="H143" s="281"/>
    </row>
    <row r="144" spans="1:8" ht="38.25">
      <c r="A144" s="307" t="s">
        <v>1777</v>
      </c>
      <c r="B144" s="278" t="s">
        <v>1779</v>
      </c>
      <c r="C144" s="179">
        <v>55780</v>
      </c>
      <c r="D144" s="179"/>
      <c r="E144" s="369" t="s">
        <v>1212</v>
      </c>
      <c r="F144" s="179" t="s">
        <v>1213</v>
      </c>
      <c r="G144" s="179">
        <v>124</v>
      </c>
      <c r="H144" s="281"/>
    </row>
    <row r="145" spans="1:8" ht="38.25">
      <c r="A145" s="307" t="s">
        <v>1778</v>
      </c>
      <c r="B145" s="278" t="s">
        <v>1780</v>
      </c>
      <c r="C145" s="179">
        <v>79384</v>
      </c>
      <c r="D145" s="179"/>
      <c r="E145" s="307" t="s">
        <v>1180</v>
      </c>
      <c r="F145" s="278" t="s">
        <v>1181</v>
      </c>
      <c r="G145" s="179">
        <v>300</v>
      </c>
      <c r="H145" s="281"/>
    </row>
    <row r="146" spans="1:8" ht="38.25">
      <c r="A146" s="178" t="s">
        <v>1192</v>
      </c>
      <c r="B146" s="179" t="s">
        <v>2256</v>
      </c>
      <c r="C146" s="179">
        <v>3688</v>
      </c>
      <c r="D146" s="179"/>
      <c r="E146" s="307" t="s">
        <v>1198</v>
      </c>
      <c r="F146" s="179" t="s">
        <v>1199</v>
      </c>
      <c r="G146" s="179">
        <v>142</v>
      </c>
      <c r="H146" s="281"/>
    </row>
    <row r="147" spans="1:8" ht="38.25">
      <c r="A147" s="178" t="s">
        <v>1785</v>
      </c>
      <c r="B147" s="179" t="s">
        <v>1210</v>
      </c>
      <c r="C147" s="179">
        <v>1001</v>
      </c>
      <c r="D147" s="179"/>
      <c r="E147" s="307" t="s">
        <v>1182</v>
      </c>
      <c r="F147" s="278" t="s">
        <v>1183</v>
      </c>
      <c r="G147" s="179">
        <v>134</v>
      </c>
      <c r="H147" s="281"/>
    </row>
    <row r="148" spans="1:8" ht="25.5">
      <c r="A148" s="178"/>
      <c r="B148" s="179"/>
      <c r="C148" s="179"/>
      <c r="D148" s="179"/>
      <c r="E148" s="307" t="s">
        <v>1184</v>
      </c>
      <c r="F148" s="278" t="s">
        <v>1185</v>
      </c>
      <c r="G148" s="179">
        <v>1378</v>
      </c>
      <c r="H148" s="281"/>
    </row>
    <row r="149" spans="1:8" ht="38.25">
      <c r="A149" s="178" t="s">
        <v>1775</v>
      </c>
      <c r="B149" s="179" t="s">
        <v>1191</v>
      </c>
      <c r="C149" s="179">
        <v>2115</v>
      </c>
      <c r="D149" s="179"/>
      <c r="E149" s="307" t="s">
        <v>1200</v>
      </c>
      <c r="F149" s="179" t="s">
        <v>1201</v>
      </c>
      <c r="G149" s="179">
        <v>368</v>
      </c>
      <c r="H149" s="281"/>
    </row>
    <row r="150" spans="1:8" ht="25.5">
      <c r="A150" s="178" t="s">
        <v>1781</v>
      </c>
      <c r="B150" s="179" t="s">
        <v>1782</v>
      </c>
      <c r="C150" s="179">
        <v>2083</v>
      </c>
      <c r="D150" s="179"/>
      <c r="E150" s="307" t="s">
        <v>1186</v>
      </c>
      <c r="F150" s="278" t="s">
        <v>1187</v>
      </c>
      <c r="G150" s="179">
        <v>214</v>
      </c>
      <c r="H150" s="281"/>
    </row>
    <row r="151" spans="1:8" ht="38.25">
      <c r="A151" s="178" t="s">
        <v>1776</v>
      </c>
      <c r="B151" s="179" t="s">
        <v>1195</v>
      </c>
      <c r="C151" s="179">
        <v>1269</v>
      </c>
      <c r="D151" s="179"/>
      <c r="E151" s="307" t="s">
        <v>1202</v>
      </c>
      <c r="F151" s="179" t="s">
        <v>1203</v>
      </c>
      <c r="G151" s="179">
        <v>54</v>
      </c>
      <c r="H151" s="281"/>
    </row>
    <row r="152" spans="1:8" ht="38.25">
      <c r="A152" s="178" t="s">
        <v>1788</v>
      </c>
      <c r="B152" s="179" t="s">
        <v>1791</v>
      </c>
      <c r="C152" s="179">
        <v>9000</v>
      </c>
      <c r="D152" s="179"/>
      <c r="E152" s="307" t="s">
        <v>1188</v>
      </c>
      <c r="F152" s="278" t="s">
        <v>1189</v>
      </c>
      <c r="G152" s="179">
        <v>43</v>
      </c>
      <c r="H152" s="281"/>
    </row>
    <row r="153" spans="1:8">
      <c r="A153" s="178" t="s">
        <v>1789</v>
      </c>
      <c r="B153" s="179" t="s">
        <v>1215</v>
      </c>
      <c r="C153" s="179">
        <v>6698</v>
      </c>
      <c r="D153" s="179"/>
      <c r="E153" s="369" t="s">
        <v>1783</v>
      </c>
      <c r="F153" s="179" t="s">
        <v>1208</v>
      </c>
      <c r="G153" s="179">
        <v>479</v>
      </c>
      <c r="H153" s="281"/>
    </row>
    <row r="154" spans="1:8" ht="38.25">
      <c r="A154" s="178" t="s">
        <v>1790</v>
      </c>
      <c r="B154" s="179" t="s">
        <v>1218</v>
      </c>
      <c r="C154" s="179">
        <v>6456</v>
      </c>
      <c r="D154" s="179"/>
      <c r="E154" s="369" t="s">
        <v>1784</v>
      </c>
      <c r="F154" s="179" t="s">
        <v>1209</v>
      </c>
      <c r="G154" s="179">
        <v>424</v>
      </c>
      <c r="H154" s="281"/>
    </row>
    <row r="155" spans="1:8" ht="25.5">
      <c r="A155" s="178"/>
      <c r="B155" s="179"/>
      <c r="C155" s="179"/>
      <c r="D155" s="179"/>
      <c r="E155" s="307" t="s">
        <v>1786</v>
      </c>
      <c r="F155" s="179" t="s">
        <v>1787</v>
      </c>
      <c r="G155" s="179">
        <v>70</v>
      </c>
      <c r="H155" s="281"/>
    </row>
  </sheetData>
  <mergeCells count="4">
    <mergeCell ref="A1:H1"/>
    <mergeCell ref="E28:H28"/>
    <mergeCell ref="E31:H31"/>
    <mergeCell ref="E34:H34"/>
  </mergeCells>
  <pageMargins left="0.41" right="0.22" top="0.48" bottom="0.31" header="0.3" footer="0.3"/>
  <pageSetup paperSize="9" scale="95" orientation="portrait" verticalDpi="0" r:id="rId1"/>
  <rowBreaks count="2" manualBreakCount="2">
    <brk id="50" max="16383" man="1"/>
    <brk id="99" max="16383" man="1"/>
  </rowBreaks>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F305"/>
  <sheetViews>
    <sheetView topLeftCell="A298" workbookViewId="0">
      <selection activeCell="E36" sqref="E36:E305"/>
    </sheetView>
  </sheetViews>
  <sheetFormatPr defaultRowHeight="15"/>
  <cols>
    <col min="1" max="1" width="9.140625" style="371"/>
    <col min="2" max="5" width="14.42578125" style="371" customWidth="1"/>
    <col min="6" max="6" width="11.7109375" style="371" customWidth="1"/>
    <col min="7" max="16384" width="9.140625" style="371"/>
  </cols>
  <sheetData>
    <row r="1" spans="1:6" ht="23.25">
      <c r="A1" s="1012" t="s">
        <v>2340</v>
      </c>
      <c r="B1" s="1012"/>
      <c r="C1" s="1012"/>
      <c r="D1" s="1012"/>
      <c r="E1" s="1012"/>
      <c r="F1" s="1012"/>
    </row>
    <row r="2" spans="1:6" ht="18">
      <c r="A2" s="372"/>
      <c r="B2" s="1013" t="s">
        <v>1821</v>
      </c>
      <c r="C2" s="1013"/>
      <c r="D2" s="1013"/>
      <c r="E2" s="372"/>
      <c r="F2" s="372"/>
    </row>
    <row r="3" spans="1:6" ht="15" customHeight="1">
      <c r="A3" s="1014" t="s">
        <v>247</v>
      </c>
      <c r="B3" s="373" t="s">
        <v>1822</v>
      </c>
      <c r="C3" s="373" t="s">
        <v>137</v>
      </c>
      <c r="D3" s="388" t="s">
        <v>1823</v>
      </c>
      <c r="E3" s="389" t="s">
        <v>1827</v>
      </c>
      <c r="F3" s="390"/>
    </row>
    <row r="4" spans="1:6" ht="42" customHeight="1">
      <c r="A4" s="1014"/>
      <c r="B4" s="374" t="s">
        <v>1824</v>
      </c>
      <c r="C4" s="374" t="s">
        <v>1824</v>
      </c>
      <c r="D4" s="374" t="s">
        <v>1824</v>
      </c>
      <c r="E4" s="375" t="s">
        <v>1825</v>
      </c>
      <c r="F4" s="376" t="s">
        <v>1826</v>
      </c>
    </row>
    <row r="5" spans="1:6">
      <c r="A5" s="377">
        <v>1</v>
      </c>
      <c r="B5" s="378">
        <v>2</v>
      </c>
      <c r="C5" s="377">
        <v>3</v>
      </c>
      <c r="D5" s="378">
        <v>4</v>
      </c>
      <c r="E5" s="377">
        <v>5</v>
      </c>
      <c r="F5" s="378">
        <v>6</v>
      </c>
    </row>
    <row r="6" spans="1:6" ht="18" customHeight="1">
      <c r="A6" s="379">
        <v>1</v>
      </c>
      <c r="B6" s="573">
        <v>38.619999999999997</v>
      </c>
      <c r="C6" s="573">
        <v>37.07</v>
      </c>
      <c r="D6" s="573">
        <v>61.79</v>
      </c>
      <c r="E6" s="380">
        <v>54.52</v>
      </c>
      <c r="F6" s="381"/>
    </row>
    <row r="7" spans="1:6" ht="18" customHeight="1">
      <c r="A7" s="379">
        <v>2</v>
      </c>
      <c r="B7" s="573">
        <v>54.08</v>
      </c>
      <c r="C7" s="573">
        <v>51.91</v>
      </c>
      <c r="D7" s="573">
        <v>86.51</v>
      </c>
      <c r="E7" s="380">
        <v>76.33</v>
      </c>
      <c r="F7" s="381"/>
    </row>
    <row r="8" spans="1:6" ht="18" customHeight="1">
      <c r="A8" s="379">
        <v>3</v>
      </c>
      <c r="B8" s="573">
        <v>72.099999999999994</v>
      </c>
      <c r="C8" s="573">
        <v>69.209999999999994</v>
      </c>
      <c r="D8" s="573">
        <v>115.34</v>
      </c>
      <c r="E8" s="380">
        <v>101.77</v>
      </c>
      <c r="F8" s="381"/>
    </row>
    <row r="9" spans="1:6" ht="18" customHeight="1">
      <c r="A9" s="379">
        <v>4</v>
      </c>
      <c r="B9" s="573">
        <v>87.55</v>
      </c>
      <c r="C9" s="573">
        <v>84.04</v>
      </c>
      <c r="D9" s="573">
        <v>140.06</v>
      </c>
      <c r="E9" s="380">
        <v>123.58</v>
      </c>
      <c r="F9" s="381"/>
    </row>
    <row r="10" spans="1:6" s="385" customFormat="1" ht="18" customHeight="1">
      <c r="A10" s="382">
        <v>5</v>
      </c>
      <c r="B10" s="941">
        <v>103</v>
      </c>
      <c r="C10" s="941">
        <v>98.86</v>
      </c>
      <c r="D10" s="941">
        <v>164.77</v>
      </c>
      <c r="E10" s="383">
        <v>145.38999999999999</v>
      </c>
      <c r="F10" s="384"/>
    </row>
    <row r="11" spans="1:6" ht="18" customHeight="1">
      <c r="A11" s="379">
        <v>6</v>
      </c>
      <c r="B11" s="573">
        <f>B10+15.45</f>
        <v>118.45</v>
      </c>
      <c r="C11" s="573">
        <f>C10+14.83</f>
        <v>113.69</v>
      </c>
      <c r="D11" s="573">
        <f>D10+24.72</f>
        <v>189.49</v>
      </c>
      <c r="E11" s="380">
        <f>E10+21.81</f>
        <v>167.2</v>
      </c>
      <c r="F11" s="381"/>
    </row>
    <row r="12" spans="1:6" ht="18" customHeight="1">
      <c r="A12" s="379">
        <v>7</v>
      </c>
      <c r="B12" s="573">
        <f t="shared" ref="B12:B35" si="0">B11+15.45</f>
        <v>133.9</v>
      </c>
      <c r="C12" s="573">
        <f t="shared" ref="C12:C35" si="1">C11+14.83</f>
        <v>128.52000000000001</v>
      </c>
      <c r="D12" s="573">
        <f t="shared" ref="D12:D35" si="2">D11+24.72</f>
        <v>214.21</v>
      </c>
      <c r="E12" s="380">
        <f t="shared" ref="E12:E35" si="3">E11+21.81</f>
        <v>189.01</v>
      </c>
      <c r="F12" s="381"/>
    </row>
    <row r="13" spans="1:6" ht="18" customHeight="1">
      <c r="A13" s="379">
        <v>8</v>
      </c>
      <c r="B13" s="573">
        <f t="shared" si="0"/>
        <v>149.35</v>
      </c>
      <c r="C13" s="573">
        <f t="shared" si="1"/>
        <v>143.35000000000002</v>
      </c>
      <c r="D13" s="573">
        <f t="shared" si="2"/>
        <v>238.93</v>
      </c>
      <c r="E13" s="380">
        <f t="shared" si="3"/>
        <v>210.82</v>
      </c>
      <c r="F13" s="381"/>
    </row>
    <row r="14" spans="1:6" ht="18" customHeight="1">
      <c r="A14" s="379">
        <v>9</v>
      </c>
      <c r="B14" s="573">
        <f t="shared" si="0"/>
        <v>164.79999999999998</v>
      </c>
      <c r="C14" s="573">
        <f t="shared" si="1"/>
        <v>158.18000000000004</v>
      </c>
      <c r="D14" s="573">
        <f t="shared" si="2"/>
        <v>263.64999999999998</v>
      </c>
      <c r="E14" s="380">
        <f t="shared" si="3"/>
        <v>232.63</v>
      </c>
      <c r="F14" s="381"/>
    </row>
    <row r="15" spans="1:6" ht="18" customHeight="1">
      <c r="A15" s="379">
        <v>10</v>
      </c>
      <c r="B15" s="573">
        <f t="shared" si="0"/>
        <v>180.24999999999997</v>
      </c>
      <c r="C15" s="573">
        <f t="shared" si="1"/>
        <v>173.01000000000005</v>
      </c>
      <c r="D15" s="573">
        <f t="shared" si="2"/>
        <v>288.37</v>
      </c>
      <c r="E15" s="380">
        <f t="shared" si="3"/>
        <v>254.44</v>
      </c>
      <c r="F15" s="381"/>
    </row>
    <row r="16" spans="1:6" ht="18" customHeight="1">
      <c r="A16" s="379">
        <v>11</v>
      </c>
      <c r="B16" s="573">
        <f t="shared" si="0"/>
        <v>195.69999999999996</v>
      </c>
      <c r="C16" s="573">
        <f t="shared" si="1"/>
        <v>187.84000000000006</v>
      </c>
      <c r="D16" s="573">
        <f t="shared" si="2"/>
        <v>313.09000000000003</v>
      </c>
      <c r="E16" s="380">
        <f t="shared" si="3"/>
        <v>276.25</v>
      </c>
      <c r="F16" s="381"/>
    </row>
    <row r="17" spans="1:6" ht="18" customHeight="1">
      <c r="A17" s="379">
        <v>12</v>
      </c>
      <c r="B17" s="573">
        <f t="shared" si="0"/>
        <v>211.14999999999995</v>
      </c>
      <c r="C17" s="573">
        <f t="shared" si="1"/>
        <v>202.67000000000007</v>
      </c>
      <c r="D17" s="573">
        <f t="shared" si="2"/>
        <v>337.81000000000006</v>
      </c>
      <c r="E17" s="380">
        <f t="shared" si="3"/>
        <v>298.06</v>
      </c>
      <c r="F17" s="381"/>
    </row>
    <row r="18" spans="1:6" ht="18" customHeight="1">
      <c r="A18" s="379">
        <v>13</v>
      </c>
      <c r="B18" s="573">
        <f t="shared" si="0"/>
        <v>226.59999999999994</v>
      </c>
      <c r="C18" s="573">
        <f t="shared" si="1"/>
        <v>217.50000000000009</v>
      </c>
      <c r="D18" s="573">
        <f t="shared" si="2"/>
        <v>362.53000000000009</v>
      </c>
      <c r="E18" s="380">
        <f t="shared" si="3"/>
        <v>319.87</v>
      </c>
      <c r="F18" s="381"/>
    </row>
    <row r="19" spans="1:6" ht="18" customHeight="1">
      <c r="A19" s="379">
        <v>14</v>
      </c>
      <c r="B19" s="573">
        <f t="shared" si="0"/>
        <v>242.04999999999993</v>
      </c>
      <c r="C19" s="573">
        <f t="shared" si="1"/>
        <v>232.3300000000001</v>
      </c>
      <c r="D19" s="573">
        <f t="shared" si="2"/>
        <v>387.25000000000011</v>
      </c>
      <c r="E19" s="380">
        <f t="shared" si="3"/>
        <v>341.68</v>
      </c>
      <c r="F19" s="381"/>
    </row>
    <row r="20" spans="1:6" ht="18" customHeight="1">
      <c r="A20" s="379">
        <v>15</v>
      </c>
      <c r="B20" s="573">
        <f t="shared" si="0"/>
        <v>257.49999999999994</v>
      </c>
      <c r="C20" s="573">
        <f t="shared" si="1"/>
        <v>247.16000000000011</v>
      </c>
      <c r="D20" s="573">
        <f t="shared" si="2"/>
        <v>411.97000000000014</v>
      </c>
      <c r="E20" s="380">
        <f t="shared" si="3"/>
        <v>363.49</v>
      </c>
      <c r="F20" s="381"/>
    </row>
    <row r="21" spans="1:6" ht="18" customHeight="1">
      <c r="A21" s="379">
        <v>16</v>
      </c>
      <c r="B21" s="573">
        <f t="shared" si="0"/>
        <v>272.94999999999993</v>
      </c>
      <c r="C21" s="573">
        <f t="shared" si="1"/>
        <v>261.99000000000012</v>
      </c>
      <c r="D21" s="573">
        <f t="shared" si="2"/>
        <v>436.69000000000017</v>
      </c>
      <c r="E21" s="380">
        <f t="shared" si="3"/>
        <v>385.3</v>
      </c>
      <c r="F21" s="381"/>
    </row>
    <row r="22" spans="1:6" ht="18" customHeight="1">
      <c r="A22" s="379">
        <v>17</v>
      </c>
      <c r="B22" s="573">
        <f t="shared" si="0"/>
        <v>288.39999999999992</v>
      </c>
      <c r="C22" s="573">
        <f t="shared" si="1"/>
        <v>276.82000000000011</v>
      </c>
      <c r="D22" s="573">
        <f t="shared" si="2"/>
        <v>461.4100000000002</v>
      </c>
      <c r="E22" s="380">
        <f t="shared" si="3"/>
        <v>407.11</v>
      </c>
      <c r="F22" s="381"/>
    </row>
    <row r="23" spans="1:6" ht="18" customHeight="1">
      <c r="A23" s="379">
        <v>18</v>
      </c>
      <c r="B23" s="573">
        <f t="shared" si="0"/>
        <v>303.84999999999991</v>
      </c>
      <c r="C23" s="573">
        <f t="shared" si="1"/>
        <v>291.65000000000009</v>
      </c>
      <c r="D23" s="573">
        <f t="shared" si="2"/>
        <v>486.13000000000022</v>
      </c>
      <c r="E23" s="380">
        <f t="shared" si="3"/>
        <v>428.92</v>
      </c>
      <c r="F23" s="381"/>
    </row>
    <row r="24" spans="1:6" ht="18" customHeight="1">
      <c r="A24" s="379">
        <v>19</v>
      </c>
      <c r="B24" s="573">
        <f t="shared" si="0"/>
        <v>319.2999999999999</v>
      </c>
      <c r="C24" s="573">
        <f t="shared" si="1"/>
        <v>306.48000000000008</v>
      </c>
      <c r="D24" s="573">
        <f t="shared" si="2"/>
        <v>510.85000000000025</v>
      </c>
      <c r="E24" s="380">
        <f t="shared" si="3"/>
        <v>450.73</v>
      </c>
      <c r="F24" s="381"/>
    </row>
    <row r="25" spans="1:6" ht="18" customHeight="1">
      <c r="A25" s="379">
        <v>20</v>
      </c>
      <c r="B25" s="573">
        <f t="shared" si="0"/>
        <v>334.74999999999989</v>
      </c>
      <c r="C25" s="573">
        <f t="shared" si="1"/>
        <v>321.31000000000006</v>
      </c>
      <c r="D25" s="573">
        <f t="shared" si="2"/>
        <v>535.57000000000028</v>
      </c>
      <c r="E25" s="380">
        <f t="shared" si="3"/>
        <v>472.54</v>
      </c>
      <c r="F25" s="381"/>
    </row>
    <row r="26" spans="1:6" ht="18" customHeight="1">
      <c r="A26" s="379">
        <v>21</v>
      </c>
      <c r="B26" s="573">
        <f t="shared" si="0"/>
        <v>350.19999999999987</v>
      </c>
      <c r="C26" s="573">
        <f t="shared" si="1"/>
        <v>336.14000000000004</v>
      </c>
      <c r="D26" s="573">
        <f t="shared" si="2"/>
        <v>560.2900000000003</v>
      </c>
      <c r="E26" s="380">
        <f t="shared" si="3"/>
        <v>494.35</v>
      </c>
      <c r="F26" s="381"/>
    </row>
    <row r="27" spans="1:6" ht="18" customHeight="1">
      <c r="A27" s="379">
        <v>22</v>
      </c>
      <c r="B27" s="573">
        <f t="shared" si="0"/>
        <v>365.64999999999986</v>
      </c>
      <c r="C27" s="573">
        <f t="shared" si="1"/>
        <v>350.97</v>
      </c>
      <c r="D27" s="573">
        <f t="shared" si="2"/>
        <v>585.01000000000033</v>
      </c>
      <c r="E27" s="380">
        <f t="shared" si="3"/>
        <v>516.16</v>
      </c>
      <c r="F27" s="381"/>
    </row>
    <row r="28" spans="1:6" ht="18" customHeight="1">
      <c r="A28" s="379">
        <v>23</v>
      </c>
      <c r="B28" s="573">
        <f t="shared" si="0"/>
        <v>381.09999999999985</v>
      </c>
      <c r="C28" s="573">
        <f t="shared" si="1"/>
        <v>365.8</v>
      </c>
      <c r="D28" s="573">
        <f t="shared" si="2"/>
        <v>609.73000000000036</v>
      </c>
      <c r="E28" s="380">
        <f t="shared" si="3"/>
        <v>537.96999999999991</v>
      </c>
      <c r="F28" s="381"/>
    </row>
    <row r="29" spans="1:6" ht="18" customHeight="1">
      <c r="A29" s="379">
        <v>24</v>
      </c>
      <c r="B29" s="573">
        <f t="shared" si="0"/>
        <v>396.54999999999984</v>
      </c>
      <c r="C29" s="573">
        <f t="shared" si="1"/>
        <v>380.63</v>
      </c>
      <c r="D29" s="573">
        <f t="shared" si="2"/>
        <v>634.45000000000039</v>
      </c>
      <c r="E29" s="380">
        <f t="shared" si="3"/>
        <v>559.77999999999986</v>
      </c>
      <c r="F29" s="381"/>
    </row>
    <row r="30" spans="1:6" ht="18" customHeight="1">
      <c r="A30" s="379">
        <v>25</v>
      </c>
      <c r="B30" s="573">
        <f t="shared" si="0"/>
        <v>411.99999999999983</v>
      </c>
      <c r="C30" s="573">
        <f t="shared" si="1"/>
        <v>395.46</v>
      </c>
      <c r="D30" s="573">
        <f t="shared" si="2"/>
        <v>659.17000000000041</v>
      </c>
      <c r="E30" s="380">
        <f t="shared" si="3"/>
        <v>581.5899999999998</v>
      </c>
      <c r="F30" s="381"/>
    </row>
    <row r="31" spans="1:6" ht="18" customHeight="1">
      <c r="A31" s="379">
        <v>26</v>
      </c>
      <c r="B31" s="573">
        <f t="shared" si="0"/>
        <v>427.44999999999982</v>
      </c>
      <c r="C31" s="573">
        <f t="shared" si="1"/>
        <v>410.28999999999996</v>
      </c>
      <c r="D31" s="573">
        <f t="shared" si="2"/>
        <v>683.89000000000044</v>
      </c>
      <c r="E31" s="380">
        <f t="shared" si="3"/>
        <v>603.39999999999975</v>
      </c>
      <c r="F31" s="381"/>
    </row>
    <row r="32" spans="1:6" ht="18" customHeight="1">
      <c r="A32" s="379">
        <v>27</v>
      </c>
      <c r="B32" s="573">
        <f t="shared" si="0"/>
        <v>442.89999999999981</v>
      </c>
      <c r="C32" s="573">
        <f t="shared" si="1"/>
        <v>425.11999999999995</v>
      </c>
      <c r="D32" s="573">
        <f t="shared" si="2"/>
        <v>708.61000000000047</v>
      </c>
      <c r="E32" s="380">
        <f t="shared" si="3"/>
        <v>625.2099999999997</v>
      </c>
      <c r="F32" s="381"/>
    </row>
    <row r="33" spans="1:6" ht="18" customHeight="1">
      <c r="A33" s="379">
        <v>28</v>
      </c>
      <c r="B33" s="573">
        <f t="shared" si="0"/>
        <v>458.3499999999998</v>
      </c>
      <c r="C33" s="573">
        <f t="shared" si="1"/>
        <v>439.94999999999993</v>
      </c>
      <c r="D33" s="573">
        <f t="shared" si="2"/>
        <v>733.3300000000005</v>
      </c>
      <c r="E33" s="380">
        <f t="shared" si="3"/>
        <v>647.01999999999964</v>
      </c>
      <c r="F33" s="381"/>
    </row>
    <row r="34" spans="1:6" ht="18" customHeight="1">
      <c r="A34" s="379">
        <v>29</v>
      </c>
      <c r="B34" s="573">
        <f t="shared" si="0"/>
        <v>473.79999999999978</v>
      </c>
      <c r="C34" s="573">
        <f t="shared" si="1"/>
        <v>454.77999999999992</v>
      </c>
      <c r="D34" s="573">
        <f t="shared" si="2"/>
        <v>758.05000000000052</v>
      </c>
      <c r="E34" s="380">
        <f t="shared" si="3"/>
        <v>668.82999999999959</v>
      </c>
      <c r="F34" s="381"/>
    </row>
    <row r="35" spans="1:6" ht="18" customHeight="1">
      <c r="A35" s="379">
        <v>30</v>
      </c>
      <c r="B35" s="573">
        <f t="shared" si="0"/>
        <v>489.24999999999977</v>
      </c>
      <c r="C35" s="573">
        <f t="shared" si="1"/>
        <v>469.6099999999999</v>
      </c>
      <c r="D35" s="573">
        <f t="shared" si="2"/>
        <v>782.77000000000055</v>
      </c>
      <c r="E35" s="380">
        <f t="shared" si="3"/>
        <v>690.63999999999953</v>
      </c>
      <c r="F35" s="381"/>
    </row>
    <row r="36" spans="1:6" ht="18" customHeight="1">
      <c r="A36" s="379">
        <v>31</v>
      </c>
      <c r="B36" s="573">
        <f>B35+12.87</f>
        <v>502.11999999999978</v>
      </c>
      <c r="C36" s="573">
        <f>C35+12.36</f>
        <v>481.96999999999991</v>
      </c>
      <c r="D36" s="573">
        <f>D35+20.6</f>
        <v>803.37000000000057</v>
      </c>
      <c r="E36" s="380">
        <f>E35+18.17</f>
        <v>708.80999999999949</v>
      </c>
      <c r="F36" s="381"/>
    </row>
    <row r="37" spans="1:6" ht="18" customHeight="1">
      <c r="A37" s="379">
        <v>32</v>
      </c>
      <c r="B37" s="573">
        <f t="shared" ref="B37:B100" si="4">B36+12.87</f>
        <v>514.98999999999978</v>
      </c>
      <c r="C37" s="573">
        <f t="shared" ref="C37:C100" si="5">C36+12.36</f>
        <v>494.32999999999993</v>
      </c>
      <c r="D37" s="573">
        <f t="shared" ref="D37:D100" si="6">D36+20.6</f>
        <v>823.9700000000006</v>
      </c>
      <c r="E37" s="380">
        <f t="shared" ref="E37:E100" si="7">E36+18.17</f>
        <v>726.97999999999945</v>
      </c>
      <c r="F37" s="381"/>
    </row>
    <row r="38" spans="1:6" ht="18" customHeight="1">
      <c r="A38" s="379">
        <v>33</v>
      </c>
      <c r="B38" s="573">
        <f t="shared" si="4"/>
        <v>527.85999999999979</v>
      </c>
      <c r="C38" s="573">
        <f t="shared" si="5"/>
        <v>506.68999999999994</v>
      </c>
      <c r="D38" s="573">
        <f t="shared" si="6"/>
        <v>844.57000000000062</v>
      </c>
      <c r="E38" s="380">
        <f t="shared" si="7"/>
        <v>745.14999999999941</v>
      </c>
      <c r="F38" s="381"/>
    </row>
    <row r="39" spans="1:6" ht="18" customHeight="1">
      <c r="A39" s="379">
        <v>34</v>
      </c>
      <c r="B39" s="573">
        <f t="shared" si="4"/>
        <v>540.72999999999979</v>
      </c>
      <c r="C39" s="573">
        <f t="shared" si="5"/>
        <v>519.04999999999995</v>
      </c>
      <c r="D39" s="573">
        <f t="shared" si="6"/>
        <v>865.17000000000064</v>
      </c>
      <c r="E39" s="380">
        <f t="shared" si="7"/>
        <v>763.31999999999937</v>
      </c>
      <c r="F39" s="381"/>
    </row>
    <row r="40" spans="1:6" ht="18" customHeight="1">
      <c r="A40" s="379">
        <v>35</v>
      </c>
      <c r="B40" s="573">
        <f t="shared" si="4"/>
        <v>553.5999999999998</v>
      </c>
      <c r="C40" s="573">
        <f t="shared" si="5"/>
        <v>531.41</v>
      </c>
      <c r="D40" s="573">
        <f t="shared" si="6"/>
        <v>885.77000000000066</v>
      </c>
      <c r="E40" s="380">
        <f t="shared" si="7"/>
        <v>781.48999999999933</v>
      </c>
      <c r="F40" s="381"/>
    </row>
    <row r="41" spans="1:6" ht="18" customHeight="1">
      <c r="A41" s="379">
        <v>36</v>
      </c>
      <c r="B41" s="573">
        <f t="shared" si="4"/>
        <v>566.4699999999998</v>
      </c>
      <c r="C41" s="573">
        <f t="shared" si="5"/>
        <v>543.77</v>
      </c>
      <c r="D41" s="573">
        <f t="shared" si="6"/>
        <v>906.37000000000069</v>
      </c>
      <c r="E41" s="380">
        <f t="shared" si="7"/>
        <v>799.65999999999929</v>
      </c>
      <c r="F41" s="381"/>
    </row>
    <row r="42" spans="1:6" ht="18" customHeight="1">
      <c r="A42" s="379">
        <v>37</v>
      </c>
      <c r="B42" s="573">
        <f t="shared" si="4"/>
        <v>579.3399999999998</v>
      </c>
      <c r="C42" s="573">
        <f t="shared" si="5"/>
        <v>556.13</v>
      </c>
      <c r="D42" s="573">
        <f t="shared" si="6"/>
        <v>926.97000000000071</v>
      </c>
      <c r="E42" s="380">
        <f t="shared" si="7"/>
        <v>817.82999999999925</v>
      </c>
      <c r="F42" s="381"/>
    </row>
    <row r="43" spans="1:6" ht="18" customHeight="1">
      <c r="A43" s="379">
        <v>38</v>
      </c>
      <c r="B43" s="573">
        <f t="shared" si="4"/>
        <v>592.20999999999981</v>
      </c>
      <c r="C43" s="573">
        <f t="shared" si="5"/>
        <v>568.49</v>
      </c>
      <c r="D43" s="573">
        <f t="shared" si="6"/>
        <v>947.57000000000073</v>
      </c>
      <c r="E43" s="380">
        <f t="shared" si="7"/>
        <v>835.9999999999992</v>
      </c>
      <c r="F43" s="381"/>
    </row>
    <row r="44" spans="1:6" ht="18" customHeight="1">
      <c r="A44" s="379">
        <v>39</v>
      </c>
      <c r="B44" s="573">
        <f t="shared" si="4"/>
        <v>605.07999999999981</v>
      </c>
      <c r="C44" s="573">
        <f t="shared" si="5"/>
        <v>580.85</v>
      </c>
      <c r="D44" s="573">
        <f t="shared" si="6"/>
        <v>968.17000000000075</v>
      </c>
      <c r="E44" s="380">
        <f t="shared" si="7"/>
        <v>854.16999999999916</v>
      </c>
      <c r="F44" s="381"/>
    </row>
    <row r="45" spans="1:6" ht="18" customHeight="1">
      <c r="A45" s="379">
        <v>40</v>
      </c>
      <c r="B45" s="573">
        <f t="shared" si="4"/>
        <v>617.94999999999982</v>
      </c>
      <c r="C45" s="573">
        <f t="shared" si="5"/>
        <v>593.21</v>
      </c>
      <c r="D45" s="573">
        <f t="shared" si="6"/>
        <v>988.77000000000078</v>
      </c>
      <c r="E45" s="380">
        <f t="shared" si="7"/>
        <v>872.33999999999912</v>
      </c>
      <c r="F45" s="381"/>
    </row>
    <row r="46" spans="1:6" ht="18" customHeight="1">
      <c r="A46" s="379">
        <v>41</v>
      </c>
      <c r="B46" s="573">
        <f t="shared" si="4"/>
        <v>630.81999999999982</v>
      </c>
      <c r="C46" s="573">
        <f t="shared" si="5"/>
        <v>605.57000000000005</v>
      </c>
      <c r="D46" s="573">
        <f t="shared" si="6"/>
        <v>1009.3700000000008</v>
      </c>
      <c r="E46" s="380">
        <f t="shared" si="7"/>
        <v>890.50999999999908</v>
      </c>
      <c r="F46" s="381"/>
    </row>
    <row r="47" spans="1:6" ht="18" customHeight="1">
      <c r="A47" s="379">
        <v>42</v>
      </c>
      <c r="B47" s="573">
        <f t="shared" si="4"/>
        <v>643.68999999999983</v>
      </c>
      <c r="C47" s="573">
        <f t="shared" si="5"/>
        <v>617.93000000000006</v>
      </c>
      <c r="D47" s="573">
        <f t="shared" si="6"/>
        <v>1029.9700000000007</v>
      </c>
      <c r="E47" s="380">
        <f t="shared" si="7"/>
        <v>908.67999999999904</v>
      </c>
      <c r="F47" s="381"/>
    </row>
    <row r="48" spans="1:6" ht="18" customHeight="1">
      <c r="A48" s="379">
        <v>43</v>
      </c>
      <c r="B48" s="573">
        <f t="shared" si="4"/>
        <v>656.55999999999983</v>
      </c>
      <c r="C48" s="573">
        <f t="shared" si="5"/>
        <v>630.29000000000008</v>
      </c>
      <c r="D48" s="573">
        <f t="shared" si="6"/>
        <v>1050.5700000000006</v>
      </c>
      <c r="E48" s="380">
        <f t="shared" si="7"/>
        <v>926.849999999999</v>
      </c>
      <c r="F48" s="381"/>
    </row>
    <row r="49" spans="1:6" ht="18" customHeight="1">
      <c r="A49" s="379">
        <v>44</v>
      </c>
      <c r="B49" s="573">
        <f t="shared" si="4"/>
        <v>669.42999999999984</v>
      </c>
      <c r="C49" s="573">
        <f t="shared" si="5"/>
        <v>642.65000000000009</v>
      </c>
      <c r="D49" s="573">
        <f t="shared" si="6"/>
        <v>1071.1700000000005</v>
      </c>
      <c r="E49" s="380">
        <f t="shared" si="7"/>
        <v>945.01999999999896</v>
      </c>
      <c r="F49" s="381"/>
    </row>
    <row r="50" spans="1:6" ht="18" customHeight="1">
      <c r="A50" s="379">
        <v>45</v>
      </c>
      <c r="B50" s="573">
        <f t="shared" si="4"/>
        <v>682.29999999999984</v>
      </c>
      <c r="C50" s="573">
        <f t="shared" si="5"/>
        <v>655.0100000000001</v>
      </c>
      <c r="D50" s="573">
        <f t="shared" si="6"/>
        <v>1091.7700000000004</v>
      </c>
      <c r="E50" s="380">
        <f t="shared" si="7"/>
        <v>963.18999999999892</v>
      </c>
      <c r="F50" s="381"/>
    </row>
    <row r="51" spans="1:6" ht="18" customHeight="1">
      <c r="A51" s="379">
        <v>46</v>
      </c>
      <c r="B51" s="573">
        <f t="shared" si="4"/>
        <v>695.16999999999985</v>
      </c>
      <c r="C51" s="573">
        <f t="shared" si="5"/>
        <v>667.37000000000012</v>
      </c>
      <c r="D51" s="573">
        <f t="shared" si="6"/>
        <v>1112.3700000000003</v>
      </c>
      <c r="E51" s="380">
        <f t="shared" si="7"/>
        <v>981.35999999999888</v>
      </c>
      <c r="F51" s="381"/>
    </row>
    <row r="52" spans="1:6" ht="18" customHeight="1">
      <c r="A52" s="379">
        <v>47</v>
      </c>
      <c r="B52" s="573">
        <f t="shared" si="4"/>
        <v>708.03999999999985</v>
      </c>
      <c r="C52" s="573">
        <f t="shared" si="5"/>
        <v>679.73000000000013</v>
      </c>
      <c r="D52" s="573">
        <f t="shared" si="6"/>
        <v>1132.9700000000003</v>
      </c>
      <c r="E52" s="380">
        <f t="shared" si="7"/>
        <v>999.52999999999884</v>
      </c>
      <c r="F52" s="381"/>
    </row>
    <row r="53" spans="1:6" ht="18" customHeight="1">
      <c r="A53" s="379">
        <v>48</v>
      </c>
      <c r="B53" s="573">
        <f t="shared" si="4"/>
        <v>720.90999999999985</v>
      </c>
      <c r="C53" s="573">
        <f t="shared" si="5"/>
        <v>692.09000000000015</v>
      </c>
      <c r="D53" s="573">
        <f t="shared" si="6"/>
        <v>1153.5700000000002</v>
      </c>
      <c r="E53" s="380">
        <f t="shared" si="7"/>
        <v>1017.6999999999988</v>
      </c>
      <c r="F53" s="381"/>
    </row>
    <row r="54" spans="1:6" ht="18" customHeight="1">
      <c r="A54" s="379">
        <v>49</v>
      </c>
      <c r="B54" s="573">
        <f t="shared" si="4"/>
        <v>733.77999999999986</v>
      </c>
      <c r="C54" s="573">
        <f t="shared" si="5"/>
        <v>704.45000000000016</v>
      </c>
      <c r="D54" s="573">
        <f t="shared" si="6"/>
        <v>1174.17</v>
      </c>
      <c r="E54" s="380">
        <f t="shared" si="7"/>
        <v>1035.8699999999988</v>
      </c>
      <c r="F54" s="381"/>
    </row>
    <row r="55" spans="1:6" ht="18" customHeight="1">
      <c r="A55" s="386">
        <v>50</v>
      </c>
      <c r="B55" s="573">
        <f t="shared" si="4"/>
        <v>746.64999999999986</v>
      </c>
      <c r="C55" s="573">
        <f t="shared" si="5"/>
        <v>716.81000000000017</v>
      </c>
      <c r="D55" s="573">
        <f t="shared" si="6"/>
        <v>1194.77</v>
      </c>
      <c r="E55" s="380">
        <f t="shared" si="7"/>
        <v>1054.0399999999988</v>
      </c>
      <c r="F55" s="381"/>
    </row>
    <row r="56" spans="1:6" ht="18" customHeight="1">
      <c r="A56" s="387">
        <v>51</v>
      </c>
      <c r="B56" s="573">
        <f t="shared" si="4"/>
        <v>759.51999999999987</v>
      </c>
      <c r="C56" s="573">
        <f t="shared" si="5"/>
        <v>729.17000000000019</v>
      </c>
      <c r="D56" s="573">
        <f t="shared" si="6"/>
        <v>1215.3699999999999</v>
      </c>
      <c r="E56" s="380">
        <f t="shared" si="7"/>
        <v>1072.2099999999989</v>
      </c>
      <c r="F56" s="381"/>
    </row>
    <row r="57" spans="1:6" ht="18" customHeight="1">
      <c r="A57" s="379">
        <v>52</v>
      </c>
      <c r="B57" s="573">
        <f t="shared" si="4"/>
        <v>772.38999999999987</v>
      </c>
      <c r="C57" s="573">
        <f t="shared" si="5"/>
        <v>741.5300000000002</v>
      </c>
      <c r="D57" s="573">
        <f t="shared" si="6"/>
        <v>1235.9699999999998</v>
      </c>
      <c r="E57" s="380">
        <f t="shared" si="7"/>
        <v>1090.379999999999</v>
      </c>
      <c r="F57" s="381"/>
    </row>
    <row r="58" spans="1:6" ht="18" customHeight="1">
      <c r="A58" s="379">
        <v>53</v>
      </c>
      <c r="B58" s="573">
        <f t="shared" si="4"/>
        <v>785.25999999999988</v>
      </c>
      <c r="C58" s="573">
        <f t="shared" si="5"/>
        <v>753.89000000000021</v>
      </c>
      <c r="D58" s="573">
        <f t="shared" si="6"/>
        <v>1256.5699999999997</v>
      </c>
      <c r="E58" s="380">
        <f t="shared" si="7"/>
        <v>1108.549999999999</v>
      </c>
      <c r="F58" s="381"/>
    </row>
    <row r="59" spans="1:6" ht="18" customHeight="1">
      <c r="A59" s="379">
        <v>54</v>
      </c>
      <c r="B59" s="573">
        <f t="shared" si="4"/>
        <v>798.12999999999988</v>
      </c>
      <c r="C59" s="573">
        <f t="shared" si="5"/>
        <v>766.25000000000023</v>
      </c>
      <c r="D59" s="573">
        <f t="shared" si="6"/>
        <v>1277.1699999999996</v>
      </c>
      <c r="E59" s="380">
        <f t="shared" si="7"/>
        <v>1126.7199999999991</v>
      </c>
      <c r="F59" s="381"/>
    </row>
    <row r="60" spans="1:6" ht="18" customHeight="1">
      <c r="A60" s="379">
        <v>55</v>
      </c>
      <c r="B60" s="573">
        <f t="shared" si="4"/>
        <v>810.99999999999989</v>
      </c>
      <c r="C60" s="573">
        <f t="shared" si="5"/>
        <v>778.61000000000024</v>
      </c>
      <c r="D60" s="573">
        <f t="shared" si="6"/>
        <v>1297.7699999999995</v>
      </c>
      <c r="E60" s="380">
        <f t="shared" si="7"/>
        <v>1144.8899999999992</v>
      </c>
      <c r="F60" s="381"/>
    </row>
    <row r="61" spans="1:6" ht="18" customHeight="1">
      <c r="A61" s="379">
        <v>56</v>
      </c>
      <c r="B61" s="573">
        <f t="shared" si="4"/>
        <v>823.86999999999989</v>
      </c>
      <c r="C61" s="573">
        <f t="shared" si="5"/>
        <v>790.97000000000025</v>
      </c>
      <c r="D61" s="573">
        <f t="shared" si="6"/>
        <v>1318.3699999999994</v>
      </c>
      <c r="E61" s="380">
        <f t="shared" si="7"/>
        <v>1163.0599999999993</v>
      </c>
      <c r="F61" s="381"/>
    </row>
    <row r="62" spans="1:6" ht="18" customHeight="1">
      <c r="A62" s="379">
        <v>57</v>
      </c>
      <c r="B62" s="573">
        <f t="shared" si="4"/>
        <v>836.7399999999999</v>
      </c>
      <c r="C62" s="573">
        <f t="shared" si="5"/>
        <v>803.33000000000027</v>
      </c>
      <c r="D62" s="573">
        <f t="shared" si="6"/>
        <v>1338.9699999999993</v>
      </c>
      <c r="E62" s="380">
        <f t="shared" si="7"/>
        <v>1181.2299999999993</v>
      </c>
      <c r="F62" s="381"/>
    </row>
    <row r="63" spans="1:6" ht="18" customHeight="1">
      <c r="A63" s="379">
        <v>58</v>
      </c>
      <c r="B63" s="573">
        <f t="shared" si="4"/>
        <v>849.6099999999999</v>
      </c>
      <c r="C63" s="573">
        <f t="shared" si="5"/>
        <v>815.69000000000028</v>
      </c>
      <c r="D63" s="573">
        <f t="shared" si="6"/>
        <v>1359.5699999999993</v>
      </c>
      <c r="E63" s="380">
        <f t="shared" si="7"/>
        <v>1199.3999999999994</v>
      </c>
      <c r="F63" s="381"/>
    </row>
    <row r="64" spans="1:6" ht="18" customHeight="1">
      <c r="A64" s="379">
        <v>59</v>
      </c>
      <c r="B64" s="573">
        <f t="shared" si="4"/>
        <v>862.4799999999999</v>
      </c>
      <c r="C64" s="573">
        <f t="shared" si="5"/>
        <v>828.0500000000003</v>
      </c>
      <c r="D64" s="573">
        <f t="shared" si="6"/>
        <v>1380.1699999999992</v>
      </c>
      <c r="E64" s="380">
        <f t="shared" si="7"/>
        <v>1217.5699999999995</v>
      </c>
      <c r="F64" s="381"/>
    </row>
    <row r="65" spans="1:6" ht="18" customHeight="1">
      <c r="A65" s="379">
        <v>60</v>
      </c>
      <c r="B65" s="573">
        <f t="shared" si="4"/>
        <v>875.34999999999991</v>
      </c>
      <c r="C65" s="573">
        <f t="shared" si="5"/>
        <v>840.41000000000031</v>
      </c>
      <c r="D65" s="573">
        <f t="shared" si="6"/>
        <v>1400.7699999999991</v>
      </c>
      <c r="E65" s="380">
        <f t="shared" si="7"/>
        <v>1235.7399999999996</v>
      </c>
      <c r="F65" s="381"/>
    </row>
    <row r="66" spans="1:6" ht="18" customHeight="1">
      <c r="A66" s="379">
        <v>61</v>
      </c>
      <c r="B66" s="573">
        <f t="shared" si="4"/>
        <v>888.21999999999991</v>
      </c>
      <c r="C66" s="573">
        <f t="shared" si="5"/>
        <v>852.77000000000032</v>
      </c>
      <c r="D66" s="573">
        <f t="shared" si="6"/>
        <v>1421.369999999999</v>
      </c>
      <c r="E66" s="380">
        <f t="shared" si="7"/>
        <v>1253.9099999999996</v>
      </c>
      <c r="F66" s="381"/>
    </row>
    <row r="67" spans="1:6" ht="18" customHeight="1">
      <c r="A67" s="379">
        <v>62</v>
      </c>
      <c r="B67" s="573">
        <f t="shared" si="4"/>
        <v>901.08999999999992</v>
      </c>
      <c r="C67" s="573">
        <f t="shared" si="5"/>
        <v>865.13000000000034</v>
      </c>
      <c r="D67" s="573">
        <f t="shared" si="6"/>
        <v>1441.9699999999989</v>
      </c>
      <c r="E67" s="380">
        <f t="shared" si="7"/>
        <v>1272.0799999999997</v>
      </c>
      <c r="F67" s="381"/>
    </row>
    <row r="68" spans="1:6" ht="18" customHeight="1">
      <c r="A68" s="379">
        <v>63</v>
      </c>
      <c r="B68" s="573">
        <f t="shared" si="4"/>
        <v>913.95999999999992</v>
      </c>
      <c r="C68" s="573">
        <f t="shared" si="5"/>
        <v>877.49000000000035</v>
      </c>
      <c r="D68" s="573">
        <f t="shared" si="6"/>
        <v>1462.5699999999988</v>
      </c>
      <c r="E68" s="380">
        <f t="shared" si="7"/>
        <v>1290.2499999999998</v>
      </c>
      <c r="F68" s="381"/>
    </row>
    <row r="69" spans="1:6" ht="18" customHeight="1">
      <c r="A69" s="379">
        <v>64</v>
      </c>
      <c r="B69" s="573">
        <f t="shared" si="4"/>
        <v>926.82999999999993</v>
      </c>
      <c r="C69" s="573">
        <f t="shared" si="5"/>
        <v>889.85000000000036</v>
      </c>
      <c r="D69" s="573">
        <f t="shared" si="6"/>
        <v>1483.1699999999987</v>
      </c>
      <c r="E69" s="380">
        <f t="shared" si="7"/>
        <v>1308.4199999999998</v>
      </c>
      <c r="F69" s="381"/>
    </row>
    <row r="70" spans="1:6" ht="18" customHeight="1">
      <c r="A70" s="379">
        <v>65</v>
      </c>
      <c r="B70" s="573">
        <f t="shared" si="4"/>
        <v>939.69999999999993</v>
      </c>
      <c r="C70" s="573">
        <f t="shared" si="5"/>
        <v>902.21000000000038</v>
      </c>
      <c r="D70" s="573">
        <f t="shared" si="6"/>
        <v>1503.7699999999986</v>
      </c>
      <c r="E70" s="380">
        <f t="shared" si="7"/>
        <v>1326.59</v>
      </c>
      <c r="F70" s="381"/>
    </row>
    <row r="71" spans="1:6" ht="18" customHeight="1">
      <c r="A71" s="379">
        <v>66</v>
      </c>
      <c r="B71" s="573">
        <f t="shared" si="4"/>
        <v>952.56999999999994</v>
      </c>
      <c r="C71" s="573">
        <f t="shared" si="5"/>
        <v>914.57000000000039</v>
      </c>
      <c r="D71" s="573">
        <f t="shared" si="6"/>
        <v>1524.3699999999985</v>
      </c>
      <c r="E71" s="380">
        <f t="shared" si="7"/>
        <v>1344.76</v>
      </c>
      <c r="F71" s="381"/>
    </row>
    <row r="72" spans="1:6" ht="18" customHeight="1">
      <c r="A72" s="379">
        <v>67</v>
      </c>
      <c r="B72" s="573">
        <f t="shared" si="4"/>
        <v>965.43999999999994</v>
      </c>
      <c r="C72" s="573">
        <f t="shared" si="5"/>
        <v>926.9300000000004</v>
      </c>
      <c r="D72" s="573">
        <f t="shared" si="6"/>
        <v>1544.9699999999984</v>
      </c>
      <c r="E72" s="380">
        <f t="shared" si="7"/>
        <v>1362.93</v>
      </c>
      <c r="F72" s="381"/>
    </row>
    <row r="73" spans="1:6" ht="18" customHeight="1">
      <c r="A73" s="379">
        <v>68</v>
      </c>
      <c r="B73" s="573">
        <f t="shared" si="4"/>
        <v>978.31</v>
      </c>
      <c r="C73" s="573">
        <f t="shared" si="5"/>
        <v>939.29000000000042</v>
      </c>
      <c r="D73" s="573">
        <f t="shared" si="6"/>
        <v>1565.5699999999983</v>
      </c>
      <c r="E73" s="380">
        <f t="shared" si="7"/>
        <v>1381.1000000000001</v>
      </c>
      <c r="F73" s="381"/>
    </row>
    <row r="74" spans="1:6" ht="18" customHeight="1">
      <c r="A74" s="379">
        <v>69</v>
      </c>
      <c r="B74" s="573">
        <f t="shared" si="4"/>
        <v>991.18</v>
      </c>
      <c r="C74" s="573">
        <f t="shared" si="5"/>
        <v>951.65000000000043</v>
      </c>
      <c r="D74" s="573">
        <f t="shared" si="6"/>
        <v>1586.1699999999983</v>
      </c>
      <c r="E74" s="380">
        <f t="shared" si="7"/>
        <v>1399.2700000000002</v>
      </c>
      <c r="F74" s="381"/>
    </row>
    <row r="75" spans="1:6" ht="18" customHeight="1">
      <c r="A75" s="379">
        <v>70</v>
      </c>
      <c r="B75" s="573">
        <f t="shared" si="4"/>
        <v>1004.05</v>
      </c>
      <c r="C75" s="573">
        <f t="shared" si="5"/>
        <v>964.01000000000045</v>
      </c>
      <c r="D75" s="573">
        <f t="shared" si="6"/>
        <v>1606.7699999999982</v>
      </c>
      <c r="E75" s="380">
        <f t="shared" si="7"/>
        <v>1417.4400000000003</v>
      </c>
      <c r="F75" s="381"/>
    </row>
    <row r="76" spans="1:6" ht="18" customHeight="1">
      <c r="A76" s="379">
        <v>71</v>
      </c>
      <c r="B76" s="573">
        <f t="shared" si="4"/>
        <v>1016.92</v>
      </c>
      <c r="C76" s="573">
        <f t="shared" si="5"/>
        <v>976.37000000000046</v>
      </c>
      <c r="D76" s="573">
        <f t="shared" si="6"/>
        <v>1627.3699999999981</v>
      </c>
      <c r="E76" s="380">
        <f t="shared" si="7"/>
        <v>1435.6100000000004</v>
      </c>
      <c r="F76" s="381"/>
    </row>
    <row r="77" spans="1:6" ht="18" customHeight="1">
      <c r="A77" s="379">
        <v>72</v>
      </c>
      <c r="B77" s="573">
        <f t="shared" si="4"/>
        <v>1029.79</v>
      </c>
      <c r="C77" s="573">
        <f t="shared" si="5"/>
        <v>988.73000000000047</v>
      </c>
      <c r="D77" s="573">
        <f t="shared" si="6"/>
        <v>1647.969999999998</v>
      </c>
      <c r="E77" s="380">
        <f t="shared" si="7"/>
        <v>1453.7800000000004</v>
      </c>
      <c r="F77" s="381"/>
    </row>
    <row r="78" spans="1:6" ht="18" customHeight="1">
      <c r="A78" s="379">
        <v>73</v>
      </c>
      <c r="B78" s="573">
        <f t="shared" si="4"/>
        <v>1042.6599999999999</v>
      </c>
      <c r="C78" s="573">
        <f t="shared" si="5"/>
        <v>1001.0900000000005</v>
      </c>
      <c r="D78" s="573">
        <f t="shared" si="6"/>
        <v>1668.5699999999979</v>
      </c>
      <c r="E78" s="380">
        <f t="shared" si="7"/>
        <v>1471.9500000000005</v>
      </c>
      <c r="F78" s="381"/>
    </row>
    <row r="79" spans="1:6" ht="18" customHeight="1">
      <c r="A79" s="379">
        <v>74</v>
      </c>
      <c r="B79" s="573">
        <f t="shared" si="4"/>
        <v>1055.5299999999997</v>
      </c>
      <c r="C79" s="573">
        <f t="shared" si="5"/>
        <v>1013.4500000000005</v>
      </c>
      <c r="D79" s="573">
        <f t="shared" si="6"/>
        <v>1689.1699999999978</v>
      </c>
      <c r="E79" s="380">
        <f t="shared" si="7"/>
        <v>1490.1200000000006</v>
      </c>
      <c r="F79" s="381"/>
    </row>
    <row r="80" spans="1:6" ht="18" customHeight="1">
      <c r="A80" s="379">
        <v>75</v>
      </c>
      <c r="B80" s="573">
        <f t="shared" si="4"/>
        <v>1068.3999999999996</v>
      </c>
      <c r="C80" s="573">
        <f t="shared" si="5"/>
        <v>1025.8100000000004</v>
      </c>
      <c r="D80" s="573">
        <f t="shared" si="6"/>
        <v>1709.7699999999977</v>
      </c>
      <c r="E80" s="380">
        <f t="shared" si="7"/>
        <v>1508.2900000000006</v>
      </c>
      <c r="F80" s="381"/>
    </row>
    <row r="81" spans="1:6" ht="18" customHeight="1">
      <c r="A81" s="379">
        <v>76</v>
      </c>
      <c r="B81" s="573">
        <f t="shared" si="4"/>
        <v>1081.2699999999995</v>
      </c>
      <c r="C81" s="573">
        <f t="shared" si="5"/>
        <v>1038.1700000000003</v>
      </c>
      <c r="D81" s="573">
        <f t="shared" si="6"/>
        <v>1730.3699999999976</v>
      </c>
      <c r="E81" s="380">
        <f t="shared" si="7"/>
        <v>1526.4600000000007</v>
      </c>
      <c r="F81" s="381"/>
    </row>
    <row r="82" spans="1:6" ht="18" customHeight="1">
      <c r="A82" s="379">
        <v>77</v>
      </c>
      <c r="B82" s="573">
        <f t="shared" si="4"/>
        <v>1094.1399999999994</v>
      </c>
      <c r="C82" s="573">
        <f t="shared" si="5"/>
        <v>1050.5300000000002</v>
      </c>
      <c r="D82" s="573">
        <f t="shared" si="6"/>
        <v>1750.9699999999975</v>
      </c>
      <c r="E82" s="380">
        <f t="shared" si="7"/>
        <v>1544.6300000000008</v>
      </c>
      <c r="F82" s="381"/>
    </row>
    <row r="83" spans="1:6" ht="18" customHeight="1">
      <c r="A83" s="379">
        <v>78</v>
      </c>
      <c r="B83" s="573">
        <f t="shared" si="4"/>
        <v>1107.0099999999993</v>
      </c>
      <c r="C83" s="573">
        <f t="shared" si="5"/>
        <v>1062.8900000000001</v>
      </c>
      <c r="D83" s="573">
        <f t="shared" si="6"/>
        <v>1771.5699999999974</v>
      </c>
      <c r="E83" s="380">
        <f t="shared" si="7"/>
        <v>1562.8000000000009</v>
      </c>
      <c r="F83" s="381"/>
    </row>
    <row r="84" spans="1:6" ht="18" customHeight="1">
      <c r="A84" s="379">
        <v>79</v>
      </c>
      <c r="B84" s="573">
        <f t="shared" si="4"/>
        <v>1119.8799999999992</v>
      </c>
      <c r="C84" s="573">
        <f t="shared" si="5"/>
        <v>1075.25</v>
      </c>
      <c r="D84" s="573">
        <f t="shared" si="6"/>
        <v>1792.1699999999973</v>
      </c>
      <c r="E84" s="380">
        <f t="shared" si="7"/>
        <v>1580.9700000000009</v>
      </c>
      <c r="F84" s="381"/>
    </row>
    <row r="85" spans="1:6" ht="18" customHeight="1">
      <c r="A85" s="379">
        <v>80</v>
      </c>
      <c r="B85" s="573">
        <f t="shared" si="4"/>
        <v>1132.7499999999991</v>
      </c>
      <c r="C85" s="573">
        <f t="shared" si="5"/>
        <v>1087.6099999999999</v>
      </c>
      <c r="D85" s="573">
        <f t="shared" si="6"/>
        <v>1812.7699999999973</v>
      </c>
      <c r="E85" s="380">
        <f t="shared" si="7"/>
        <v>1599.140000000001</v>
      </c>
      <c r="F85" s="381"/>
    </row>
    <row r="86" spans="1:6" ht="18" customHeight="1">
      <c r="A86" s="379">
        <v>81</v>
      </c>
      <c r="B86" s="573">
        <f t="shared" si="4"/>
        <v>1145.619999999999</v>
      </c>
      <c r="C86" s="573">
        <f t="shared" si="5"/>
        <v>1099.9699999999998</v>
      </c>
      <c r="D86" s="573">
        <f t="shared" si="6"/>
        <v>1833.3699999999972</v>
      </c>
      <c r="E86" s="380">
        <f t="shared" si="7"/>
        <v>1617.3100000000011</v>
      </c>
      <c r="F86" s="381"/>
    </row>
    <row r="87" spans="1:6" ht="18" customHeight="1">
      <c r="A87" s="379">
        <v>82</v>
      </c>
      <c r="B87" s="573">
        <f t="shared" si="4"/>
        <v>1158.4899999999989</v>
      </c>
      <c r="C87" s="573">
        <f t="shared" si="5"/>
        <v>1112.3299999999997</v>
      </c>
      <c r="D87" s="573">
        <f t="shared" si="6"/>
        <v>1853.9699999999971</v>
      </c>
      <c r="E87" s="380">
        <f t="shared" si="7"/>
        <v>1635.4800000000012</v>
      </c>
      <c r="F87" s="381"/>
    </row>
    <row r="88" spans="1:6" ht="18" customHeight="1">
      <c r="A88" s="379">
        <v>83</v>
      </c>
      <c r="B88" s="573">
        <f t="shared" si="4"/>
        <v>1171.3599999999988</v>
      </c>
      <c r="C88" s="573">
        <f t="shared" si="5"/>
        <v>1124.6899999999996</v>
      </c>
      <c r="D88" s="573">
        <f t="shared" si="6"/>
        <v>1874.569999999997</v>
      </c>
      <c r="E88" s="380">
        <f t="shared" si="7"/>
        <v>1653.6500000000012</v>
      </c>
      <c r="F88" s="381"/>
    </row>
    <row r="89" spans="1:6" ht="18" customHeight="1">
      <c r="A89" s="379">
        <v>84</v>
      </c>
      <c r="B89" s="573">
        <f t="shared" si="4"/>
        <v>1184.2299999999987</v>
      </c>
      <c r="C89" s="573">
        <f t="shared" si="5"/>
        <v>1137.0499999999995</v>
      </c>
      <c r="D89" s="573">
        <f t="shared" si="6"/>
        <v>1895.1699999999969</v>
      </c>
      <c r="E89" s="380">
        <f t="shared" si="7"/>
        <v>1671.8200000000013</v>
      </c>
      <c r="F89" s="381"/>
    </row>
    <row r="90" spans="1:6" ht="18" customHeight="1">
      <c r="A90" s="379">
        <v>85</v>
      </c>
      <c r="B90" s="573">
        <f t="shared" si="4"/>
        <v>1197.0999999999985</v>
      </c>
      <c r="C90" s="573">
        <f t="shared" si="5"/>
        <v>1149.4099999999994</v>
      </c>
      <c r="D90" s="573">
        <f t="shared" si="6"/>
        <v>1915.7699999999968</v>
      </c>
      <c r="E90" s="380">
        <f t="shared" si="7"/>
        <v>1689.9900000000014</v>
      </c>
      <c r="F90" s="381"/>
    </row>
    <row r="91" spans="1:6" ht="18" customHeight="1">
      <c r="A91" s="379">
        <v>86</v>
      </c>
      <c r="B91" s="573">
        <f t="shared" si="4"/>
        <v>1209.9699999999984</v>
      </c>
      <c r="C91" s="573">
        <f t="shared" si="5"/>
        <v>1161.7699999999993</v>
      </c>
      <c r="D91" s="573">
        <f t="shared" si="6"/>
        <v>1936.3699999999967</v>
      </c>
      <c r="E91" s="380">
        <f t="shared" si="7"/>
        <v>1708.1600000000014</v>
      </c>
      <c r="F91" s="381"/>
    </row>
    <row r="92" spans="1:6" ht="18" customHeight="1">
      <c r="A92" s="379">
        <v>87</v>
      </c>
      <c r="B92" s="573">
        <f t="shared" si="4"/>
        <v>1222.8399999999983</v>
      </c>
      <c r="C92" s="573">
        <f t="shared" si="5"/>
        <v>1174.1299999999992</v>
      </c>
      <c r="D92" s="573">
        <f t="shared" si="6"/>
        <v>1956.9699999999966</v>
      </c>
      <c r="E92" s="380">
        <f t="shared" si="7"/>
        <v>1726.3300000000015</v>
      </c>
      <c r="F92" s="381"/>
    </row>
    <row r="93" spans="1:6" ht="18" customHeight="1">
      <c r="A93" s="379">
        <v>88</v>
      </c>
      <c r="B93" s="573">
        <f t="shared" si="4"/>
        <v>1235.7099999999982</v>
      </c>
      <c r="C93" s="573">
        <f t="shared" si="5"/>
        <v>1186.4899999999991</v>
      </c>
      <c r="D93" s="573">
        <f t="shared" si="6"/>
        <v>1977.5699999999965</v>
      </c>
      <c r="E93" s="380">
        <f t="shared" si="7"/>
        <v>1744.5000000000016</v>
      </c>
      <c r="F93" s="381"/>
    </row>
    <row r="94" spans="1:6" ht="18" customHeight="1">
      <c r="A94" s="379">
        <v>89</v>
      </c>
      <c r="B94" s="573">
        <f t="shared" si="4"/>
        <v>1248.5799999999981</v>
      </c>
      <c r="C94" s="573">
        <f t="shared" si="5"/>
        <v>1198.849999999999</v>
      </c>
      <c r="D94" s="573">
        <f t="shared" si="6"/>
        <v>1998.1699999999964</v>
      </c>
      <c r="E94" s="380">
        <f t="shared" si="7"/>
        <v>1762.6700000000017</v>
      </c>
      <c r="F94" s="381"/>
    </row>
    <row r="95" spans="1:6" ht="18" customHeight="1">
      <c r="A95" s="379">
        <v>90</v>
      </c>
      <c r="B95" s="573">
        <f t="shared" si="4"/>
        <v>1261.449999999998</v>
      </c>
      <c r="C95" s="573">
        <f t="shared" si="5"/>
        <v>1211.2099999999989</v>
      </c>
      <c r="D95" s="573">
        <f t="shared" si="6"/>
        <v>2018.7699999999963</v>
      </c>
      <c r="E95" s="380">
        <f t="shared" si="7"/>
        <v>1780.8400000000017</v>
      </c>
      <c r="F95" s="381"/>
    </row>
    <row r="96" spans="1:6" ht="18" customHeight="1">
      <c r="A96" s="379">
        <v>91</v>
      </c>
      <c r="B96" s="573">
        <f t="shared" si="4"/>
        <v>1274.3199999999979</v>
      </c>
      <c r="C96" s="573">
        <f t="shared" si="5"/>
        <v>1223.5699999999988</v>
      </c>
      <c r="D96" s="573">
        <f t="shared" si="6"/>
        <v>2039.3699999999963</v>
      </c>
      <c r="E96" s="380">
        <f t="shared" si="7"/>
        <v>1799.0100000000018</v>
      </c>
      <c r="F96" s="381"/>
    </row>
    <row r="97" spans="1:6" ht="18" customHeight="1">
      <c r="A97" s="379">
        <v>92</v>
      </c>
      <c r="B97" s="573">
        <f t="shared" si="4"/>
        <v>1287.1899999999978</v>
      </c>
      <c r="C97" s="573">
        <f t="shared" si="5"/>
        <v>1235.9299999999987</v>
      </c>
      <c r="D97" s="573">
        <f t="shared" si="6"/>
        <v>2059.9699999999962</v>
      </c>
      <c r="E97" s="380">
        <f t="shared" si="7"/>
        <v>1817.1800000000019</v>
      </c>
      <c r="F97" s="381"/>
    </row>
    <row r="98" spans="1:6" ht="18" customHeight="1">
      <c r="A98" s="379">
        <v>93</v>
      </c>
      <c r="B98" s="573">
        <f t="shared" si="4"/>
        <v>1300.0599999999977</v>
      </c>
      <c r="C98" s="573">
        <f t="shared" si="5"/>
        <v>1248.2899999999986</v>
      </c>
      <c r="D98" s="573">
        <f t="shared" si="6"/>
        <v>2080.5699999999961</v>
      </c>
      <c r="E98" s="380">
        <f t="shared" si="7"/>
        <v>1835.350000000002</v>
      </c>
      <c r="F98" s="381"/>
    </row>
    <row r="99" spans="1:6" ht="18" customHeight="1">
      <c r="A99" s="379">
        <v>94</v>
      </c>
      <c r="B99" s="573">
        <f t="shared" si="4"/>
        <v>1312.9299999999976</v>
      </c>
      <c r="C99" s="573">
        <f t="shared" si="5"/>
        <v>1260.6499999999985</v>
      </c>
      <c r="D99" s="573">
        <f t="shared" si="6"/>
        <v>2101.169999999996</v>
      </c>
      <c r="E99" s="380">
        <f t="shared" si="7"/>
        <v>1853.520000000002</v>
      </c>
      <c r="F99" s="381"/>
    </row>
    <row r="100" spans="1:6" ht="18" customHeight="1">
      <c r="A100" s="379">
        <v>95</v>
      </c>
      <c r="B100" s="573">
        <f t="shared" si="4"/>
        <v>1325.7999999999975</v>
      </c>
      <c r="C100" s="573">
        <f t="shared" si="5"/>
        <v>1273.0099999999984</v>
      </c>
      <c r="D100" s="573">
        <f t="shared" si="6"/>
        <v>2121.7699999999959</v>
      </c>
      <c r="E100" s="380">
        <f t="shared" si="7"/>
        <v>1871.6900000000021</v>
      </c>
      <c r="F100" s="381"/>
    </row>
    <row r="101" spans="1:6" ht="18" customHeight="1">
      <c r="A101" s="379">
        <v>96</v>
      </c>
      <c r="B101" s="573">
        <f t="shared" ref="B101:B164" si="8">B100+12.87</f>
        <v>1338.6699999999973</v>
      </c>
      <c r="C101" s="573">
        <f t="shared" ref="C101:C164" si="9">C100+12.36</f>
        <v>1285.3699999999983</v>
      </c>
      <c r="D101" s="573">
        <f t="shared" ref="D101:D164" si="10">D100+20.6</f>
        <v>2142.3699999999958</v>
      </c>
      <c r="E101" s="380">
        <f t="shared" ref="E101:E164" si="11">E100+18.17</f>
        <v>1889.8600000000022</v>
      </c>
      <c r="F101" s="381"/>
    </row>
    <row r="102" spans="1:6" ht="18" customHeight="1">
      <c r="A102" s="379">
        <v>97</v>
      </c>
      <c r="B102" s="573">
        <f t="shared" si="8"/>
        <v>1351.5399999999972</v>
      </c>
      <c r="C102" s="573">
        <f t="shared" si="9"/>
        <v>1297.7299999999982</v>
      </c>
      <c r="D102" s="573">
        <f t="shared" si="10"/>
        <v>2162.9699999999957</v>
      </c>
      <c r="E102" s="380">
        <f t="shared" si="11"/>
        <v>1908.0300000000022</v>
      </c>
      <c r="F102" s="381"/>
    </row>
    <row r="103" spans="1:6" ht="18" customHeight="1">
      <c r="A103" s="379">
        <v>98</v>
      </c>
      <c r="B103" s="573">
        <f t="shared" si="8"/>
        <v>1364.4099999999971</v>
      </c>
      <c r="C103" s="573">
        <f t="shared" si="9"/>
        <v>1310.0899999999981</v>
      </c>
      <c r="D103" s="573">
        <f t="shared" si="10"/>
        <v>2183.5699999999956</v>
      </c>
      <c r="E103" s="380">
        <f t="shared" si="11"/>
        <v>1926.2000000000023</v>
      </c>
      <c r="F103" s="381"/>
    </row>
    <row r="104" spans="1:6" ht="18" customHeight="1">
      <c r="A104" s="379">
        <v>99</v>
      </c>
      <c r="B104" s="573">
        <f t="shared" si="8"/>
        <v>1377.279999999997</v>
      </c>
      <c r="C104" s="573">
        <f t="shared" si="9"/>
        <v>1322.449999999998</v>
      </c>
      <c r="D104" s="573">
        <f t="shared" si="10"/>
        <v>2204.1699999999955</v>
      </c>
      <c r="E104" s="380">
        <f t="shared" si="11"/>
        <v>1944.3700000000024</v>
      </c>
      <c r="F104" s="381"/>
    </row>
    <row r="105" spans="1:6" ht="18" customHeight="1">
      <c r="A105" s="379">
        <v>100</v>
      </c>
      <c r="B105" s="573">
        <f t="shared" si="8"/>
        <v>1390.1499999999969</v>
      </c>
      <c r="C105" s="573">
        <f t="shared" si="9"/>
        <v>1334.8099999999979</v>
      </c>
      <c r="D105" s="573">
        <f t="shared" si="10"/>
        <v>2224.7699999999954</v>
      </c>
      <c r="E105" s="380">
        <f t="shared" si="11"/>
        <v>1962.5400000000025</v>
      </c>
      <c r="F105" s="381"/>
    </row>
    <row r="106" spans="1:6" ht="18" customHeight="1">
      <c r="A106" s="379">
        <v>101</v>
      </c>
      <c r="B106" s="573">
        <f t="shared" si="8"/>
        <v>1403.0199999999968</v>
      </c>
      <c r="C106" s="573">
        <f t="shared" si="9"/>
        <v>1347.1699999999978</v>
      </c>
      <c r="D106" s="573">
        <f t="shared" si="10"/>
        <v>2245.3699999999953</v>
      </c>
      <c r="E106" s="380">
        <f t="shared" si="11"/>
        <v>1980.7100000000025</v>
      </c>
      <c r="F106" s="381"/>
    </row>
    <row r="107" spans="1:6" ht="18" customHeight="1">
      <c r="A107" s="379">
        <v>102</v>
      </c>
      <c r="B107" s="573">
        <f t="shared" si="8"/>
        <v>1415.8899999999967</v>
      </c>
      <c r="C107" s="573">
        <f t="shared" si="9"/>
        <v>1359.5299999999977</v>
      </c>
      <c r="D107" s="573">
        <f t="shared" si="10"/>
        <v>2265.9699999999953</v>
      </c>
      <c r="E107" s="380">
        <f t="shared" si="11"/>
        <v>1998.8800000000026</v>
      </c>
      <c r="F107" s="381"/>
    </row>
    <row r="108" spans="1:6" ht="18" customHeight="1">
      <c r="A108" s="379">
        <v>103</v>
      </c>
      <c r="B108" s="573">
        <f t="shared" si="8"/>
        <v>1428.7599999999966</v>
      </c>
      <c r="C108" s="573">
        <f t="shared" si="9"/>
        <v>1371.8899999999976</v>
      </c>
      <c r="D108" s="573">
        <f t="shared" si="10"/>
        <v>2286.5699999999952</v>
      </c>
      <c r="E108" s="380">
        <f t="shared" si="11"/>
        <v>2017.0500000000027</v>
      </c>
      <c r="F108" s="381"/>
    </row>
    <row r="109" spans="1:6" ht="18" customHeight="1">
      <c r="A109" s="379">
        <v>104</v>
      </c>
      <c r="B109" s="573">
        <f t="shared" si="8"/>
        <v>1441.6299999999965</v>
      </c>
      <c r="C109" s="573">
        <f t="shared" si="9"/>
        <v>1384.2499999999975</v>
      </c>
      <c r="D109" s="573">
        <f t="shared" si="10"/>
        <v>2307.1699999999951</v>
      </c>
      <c r="E109" s="380">
        <f t="shared" si="11"/>
        <v>2035.2200000000028</v>
      </c>
      <c r="F109" s="381"/>
    </row>
    <row r="110" spans="1:6" ht="18" customHeight="1">
      <c r="A110" s="379">
        <v>105</v>
      </c>
      <c r="B110" s="573">
        <f t="shared" si="8"/>
        <v>1454.4999999999964</v>
      </c>
      <c r="C110" s="573">
        <f t="shared" si="9"/>
        <v>1396.6099999999974</v>
      </c>
      <c r="D110" s="573">
        <f t="shared" si="10"/>
        <v>2327.769999999995</v>
      </c>
      <c r="E110" s="380">
        <f t="shared" si="11"/>
        <v>2053.3900000000026</v>
      </c>
      <c r="F110" s="381"/>
    </row>
    <row r="111" spans="1:6" ht="18" customHeight="1">
      <c r="A111" s="379">
        <v>106</v>
      </c>
      <c r="B111" s="573">
        <f t="shared" si="8"/>
        <v>1467.3699999999963</v>
      </c>
      <c r="C111" s="573">
        <f t="shared" si="9"/>
        <v>1408.9699999999973</v>
      </c>
      <c r="D111" s="573">
        <f t="shared" si="10"/>
        <v>2348.3699999999949</v>
      </c>
      <c r="E111" s="380">
        <f t="shared" si="11"/>
        <v>2071.5600000000027</v>
      </c>
      <c r="F111" s="381"/>
    </row>
    <row r="112" spans="1:6" ht="18" customHeight="1">
      <c r="A112" s="379">
        <v>107</v>
      </c>
      <c r="B112" s="573">
        <f t="shared" si="8"/>
        <v>1480.2399999999961</v>
      </c>
      <c r="C112" s="573">
        <f t="shared" si="9"/>
        <v>1421.3299999999972</v>
      </c>
      <c r="D112" s="573">
        <f t="shared" si="10"/>
        <v>2368.9699999999948</v>
      </c>
      <c r="E112" s="380">
        <f t="shared" si="11"/>
        <v>2089.7300000000027</v>
      </c>
      <c r="F112" s="381"/>
    </row>
    <row r="113" spans="1:6" ht="18" customHeight="1">
      <c r="A113" s="379">
        <v>108</v>
      </c>
      <c r="B113" s="573">
        <f t="shared" si="8"/>
        <v>1493.109999999996</v>
      </c>
      <c r="C113" s="573">
        <f t="shared" si="9"/>
        <v>1433.6899999999971</v>
      </c>
      <c r="D113" s="573">
        <f t="shared" si="10"/>
        <v>2389.5699999999947</v>
      </c>
      <c r="E113" s="380">
        <f t="shared" si="11"/>
        <v>2107.9000000000028</v>
      </c>
      <c r="F113" s="381"/>
    </row>
    <row r="114" spans="1:6" ht="18" customHeight="1">
      <c r="A114" s="379">
        <v>109</v>
      </c>
      <c r="B114" s="573">
        <f t="shared" si="8"/>
        <v>1505.9799999999959</v>
      </c>
      <c r="C114" s="573">
        <f t="shared" si="9"/>
        <v>1446.049999999997</v>
      </c>
      <c r="D114" s="573">
        <f t="shared" si="10"/>
        <v>2410.1699999999946</v>
      </c>
      <c r="E114" s="380">
        <f t="shared" si="11"/>
        <v>2126.0700000000029</v>
      </c>
      <c r="F114" s="381"/>
    </row>
    <row r="115" spans="1:6" ht="18" customHeight="1">
      <c r="A115" s="379">
        <v>110</v>
      </c>
      <c r="B115" s="573">
        <f t="shared" si="8"/>
        <v>1518.8499999999958</v>
      </c>
      <c r="C115" s="573">
        <f t="shared" si="9"/>
        <v>1458.4099999999969</v>
      </c>
      <c r="D115" s="573">
        <f t="shared" si="10"/>
        <v>2430.7699999999945</v>
      </c>
      <c r="E115" s="380">
        <f t="shared" si="11"/>
        <v>2144.240000000003</v>
      </c>
      <c r="F115" s="381"/>
    </row>
    <row r="116" spans="1:6" ht="18" customHeight="1">
      <c r="A116" s="379">
        <v>111</v>
      </c>
      <c r="B116" s="573">
        <f t="shared" si="8"/>
        <v>1531.7199999999957</v>
      </c>
      <c r="C116" s="573">
        <f t="shared" si="9"/>
        <v>1470.7699999999968</v>
      </c>
      <c r="D116" s="573">
        <f t="shared" si="10"/>
        <v>2451.3699999999944</v>
      </c>
      <c r="E116" s="380">
        <f t="shared" si="11"/>
        <v>2162.410000000003</v>
      </c>
      <c r="F116" s="381"/>
    </row>
    <row r="117" spans="1:6" ht="18" customHeight="1">
      <c r="A117" s="379">
        <v>112</v>
      </c>
      <c r="B117" s="573">
        <f t="shared" si="8"/>
        <v>1544.5899999999956</v>
      </c>
      <c r="C117" s="573">
        <f t="shared" si="9"/>
        <v>1483.1299999999967</v>
      </c>
      <c r="D117" s="573">
        <f t="shared" si="10"/>
        <v>2471.9699999999943</v>
      </c>
      <c r="E117" s="380">
        <f t="shared" si="11"/>
        <v>2180.5800000000031</v>
      </c>
      <c r="F117" s="381"/>
    </row>
    <row r="118" spans="1:6" ht="18" customHeight="1">
      <c r="A118" s="379">
        <v>113</v>
      </c>
      <c r="B118" s="573">
        <f t="shared" si="8"/>
        <v>1557.4599999999955</v>
      </c>
      <c r="C118" s="573">
        <f t="shared" si="9"/>
        <v>1495.4899999999966</v>
      </c>
      <c r="D118" s="573">
        <f t="shared" si="10"/>
        <v>2492.5699999999943</v>
      </c>
      <c r="E118" s="380">
        <f t="shared" si="11"/>
        <v>2198.7500000000032</v>
      </c>
      <c r="F118" s="381"/>
    </row>
    <row r="119" spans="1:6" ht="18" customHeight="1">
      <c r="A119" s="379">
        <v>114</v>
      </c>
      <c r="B119" s="573">
        <f t="shared" si="8"/>
        <v>1570.3299999999954</v>
      </c>
      <c r="C119" s="573">
        <f t="shared" si="9"/>
        <v>1507.8499999999965</v>
      </c>
      <c r="D119" s="573">
        <f t="shared" si="10"/>
        <v>2513.1699999999942</v>
      </c>
      <c r="E119" s="380">
        <f t="shared" si="11"/>
        <v>2216.9200000000033</v>
      </c>
      <c r="F119" s="381"/>
    </row>
    <row r="120" spans="1:6" ht="18" customHeight="1">
      <c r="A120" s="379">
        <v>115</v>
      </c>
      <c r="B120" s="573">
        <f t="shared" si="8"/>
        <v>1583.1999999999953</v>
      </c>
      <c r="C120" s="573">
        <f t="shared" si="9"/>
        <v>1520.2099999999964</v>
      </c>
      <c r="D120" s="573">
        <f t="shared" si="10"/>
        <v>2533.7699999999941</v>
      </c>
      <c r="E120" s="380">
        <f t="shared" si="11"/>
        <v>2235.0900000000033</v>
      </c>
      <c r="F120" s="381"/>
    </row>
    <row r="121" spans="1:6" ht="18" customHeight="1">
      <c r="A121" s="379">
        <v>116</v>
      </c>
      <c r="B121" s="573">
        <f t="shared" si="8"/>
        <v>1596.0699999999952</v>
      </c>
      <c r="C121" s="573">
        <f t="shared" si="9"/>
        <v>1532.5699999999963</v>
      </c>
      <c r="D121" s="573">
        <f t="shared" si="10"/>
        <v>2554.369999999994</v>
      </c>
      <c r="E121" s="380">
        <f t="shared" si="11"/>
        <v>2253.2600000000034</v>
      </c>
      <c r="F121" s="381"/>
    </row>
    <row r="122" spans="1:6" ht="18" customHeight="1">
      <c r="A122" s="379">
        <v>117</v>
      </c>
      <c r="B122" s="573">
        <f t="shared" si="8"/>
        <v>1608.9399999999951</v>
      </c>
      <c r="C122" s="573">
        <f t="shared" si="9"/>
        <v>1544.9299999999962</v>
      </c>
      <c r="D122" s="573">
        <f t="shared" si="10"/>
        <v>2574.9699999999939</v>
      </c>
      <c r="E122" s="380">
        <f t="shared" si="11"/>
        <v>2271.4300000000035</v>
      </c>
      <c r="F122" s="381"/>
    </row>
    <row r="123" spans="1:6" ht="18" customHeight="1">
      <c r="A123" s="379">
        <v>118</v>
      </c>
      <c r="B123" s="573">
        <f t="shared" si="8"/>
        <v>1621.8099999999949</v>
      </c>
      <c r="C123" s="573">
        <f t="shared" si="9"/>
        <v>1557.2899999999961</v>
      </c>
      <c r="D123" s="573">
        <f t="shared" si="10"/>
        <v>2595.5699999999938</v>
      </c>
      <c r="E123" s="380">
        <f t="shared" si="11"/>
        <v>2289.6000000000035</v>
      </c>
      <c r="F123" s="381"/>
    </row>
    <row r="124" spans="1:6" ht="18" customHeight="1">
      <c r="A124" s="379">
        <v>119</v>
      </c>
      <c r="B124" s="573">
        <f t="shared" si="8"/>
        <v>1634.6799999999948</v>
      </c>
      <c r="C124" s="573">
        <f t="shared" si="9"/>
        <v>1569.649999999996</v>
      </c>
      <c r="D124" s="573">
        <f t="shared" si="10"/>
        <v>2616.1699999999937</v>
      </c>
      <c r="E124" s="380">
        <f t="shared" si="11"/>
        <v>2307.7700000000036</v>
      </c>
      <c r="F124" s="381"/>
    </row>
    <row r="125" spans="1:6" ht="18" customHeight="1">
      <c r="A125" s="379">
        <v>120</v>
      </c>
      <c r="B125" s="573">
        <f t="shared" si="8"/>
        <v>1647.5499999999947</v>
      </c>
      <c r="C125" s="573">
        <f t="shared" si="9"/>
        <v>1582.0099999999959</v>
      </c>
      <c r="D125" s="573">
        <f t="shared" si="10"/>
        <v>2636.7699999999936</v>
      </c>
      <c r="E125" s="380">
        <f t="shared" si="11"/>
        <v>2325.9400000000037</v>
      </c>
      <c r="F125" s="381"/>
    </row>
    <row r="126" spans="1:6" ht="18" customHeight="1">
      <c r="A126" s="379">
        <v>121</v>
      </c>
      <c r="B126" s="573">
        <f t="shared" si="8"/>
        <v>1660.4199999999946</v>
      </c>
      <c r="C126" s="573">
        <f t="shared" si="9"/>
        <v>1594.3699999999958</v>
      </c>
      <c r="D126" s="573">
        <f t="shared" si="10"/>
        <v>2657.3699999999935</v>
      </c>
      <c r="E126" s="380">
        <f t="shared" si="11"/>
        <v>2344.1100000000038</v>
      </c>
      <c r="F126" s="381"/>
    </row>
    <row r="127" spans="1:6" ht="18" customHeight="1">
      <c r="A127" s="379">
        <v>122</v>
      </c>
      <c r="B127" s="573">
        <f t="shared" si="8"/>
        <v>1673.2899999999945</v>
      </c>
      <c r="C127" s="573">
        <f t="shared" si="9"/>
        <v>1606.7299999999957</v>
      </c>
      <c r="D127" s="573">
        <f t="shared" si="10"/>
        <v>2677.9699999999934</v>
      </c>
      <c r="E127" s="380">
        <f t="shared" si="11"/>
        <v>2362.2800000000038</v>
      </c>
      <c r="F127" s="381"/>
    </row>
    <row r="128" spans="1:6" ht="18" customHeight="1">
      <c r="A128" s="379">
        <v>123</v>
      </c>
      <c r="B128" s="573">
        <f t="shared" si="8"/>
        <v>1686.1599999999944</v>
      </c>
      <c r="C128" s="573">
        <f t="shared" si="9"/>
        <v>1619.0899999999956</v>
      </c>
      <c r="D128" s="573">
        <f t="shared" si="10"/>
        <v>2698.5699999999933</v>
      </c>
      <c r="E128" s="380">
        <f t="shared" si="11"/>
        <v>2380.4500000000039</v>
      </c>
      <c r="F128" s="381"/>
    </row>
    <row r="129" spans="1:6" ht="18" customHeight="1">
      <c r="A129" s="379">
        <v>124</v>
      </c>
      <c r="B129" s="573">
        <f t="shared" si="8"/>
        <v>1699.0299999999943</v>
      </c>
      <c r="C129" s="573">
        <f t="shared" si="9"/>
        <v>1631.4499999999955</v>
      </c>
      <c r="D129" s="573">
        <f t="shared" si="10"/>
        <v>2719.1699999999933</v>
      </c>
      <c r="E129" s="380">
        <f t="shared" si="11"/>
        <v>2398.620000000004</v>
      </c>
      <c r="F129" s="381"/>
    </row>
    <row r="130" spans="1:6" ht="18" customHeight="1">
      <c r="A130" s="379">
        <v>125</v>
      </c>
      <c r="B130" s="573">
        <f t="shared" si="8"/>
        <v>1711.8999999999942</v>
      </c>
      <c r="C130" s="573">
        <f t="shared" si="9"/>
        <v>1643.8099999999954</v>
      </c>
      <c r="D130" s="573">
        <f t="shared" si="10"/>
        <v>2739.7699999999932</v>
      </c>
      <c r="E130" s="380">
        <f t="shared" si="11"/>
        <v>2416.7900000000041</v>
      </c>
      <c r="F130" s="381"/>
    </row>
    <row r="131" spans="1:6" ht="18" customHeight="1">
      <c r="A131" s="379">
        <v>126</v>
      </c>
      <c r="B131" s="573">
        <f t="shared" si="8"/>
        <v>1724.7699999999941</v>
      </c>
      <c r="C131" s="573">
        <f t="shared" si="9"/>
        <v>1656.1699999999953</v>
      </c>
      <c r="D131" s="573">
        <f t="shared" si="10"/>
        <v>2760.3699999999931</v>
      </c>
      <c r="E131" s="380">
        <f t="shared" si="11"/>
        <v>2434.9600000000041</v>
      </c>
      <c r="F131" s="381"/>
    </row>
    <row r="132" spans="1:6" ht="18" customHeight="1">
      <c r="A132" s="379">
        <v>127</v>
      </c>
      <c r="B132" s="573">
        <f t="shared" si="8"/>
        <v>1737.639999999994</v>
      </c>
      <c r="C132" s="573">
        <f t="shared" si="9"/>
        <v>1668.5299999999952</v>
      </c>
      <c r="D132" s="573">
        <f t="shared" si="10"/>
        <v>2780.969999999993</v>
      </c>
      <c r="E132" s="380">
        <f t="shared" si="11"/>
        <v>2453.1300000000042</v>
      </c>
      <c r="F132" s="381"/>
    </row>
    <row r="133" spans="1:6" ht="18" customHeight="1">
      <c r="A133" s="379">
        <v>128</v>
      </c>
      <c r="B133" s="573">
        <f t="shared" si="8"/>
        <v>1750.5099999999939</v>
      </c>
      <c r="C133" s="573">
        <f t="shared" si="9"/>
        <v>1680.8899999999951</v>
      </c>
      <c r="D133" s="573">
        <f t="shared" si="10"/>
        <v>2801.5699999999929</v>
      </c>
      <c r="E133" s="380">
        <f t="shared" si="11"/>
        <v>2471.3000000000043</v>
      </c>
      <c r="F133" s="381"/>
    </row>
    <row r="134" spans="1:6" ht="18" customHeight="1">
      <c r="A134" s="379">
        <v>129</v>
      </c>
      <c r="B134" s="573">
        <f t="shared" si="8"/>
        <v>1763.3799999999937</v>
      </c>
      <c r="C134" s="573">
        <f t="shared" si="9"/>
        <v>1693.249999999995</v>
      </c>
      <c r="D134" s="573">
        <f t="shared" si="10"/>
        <v>2822.1699999999928</v>
      </c>
      <c r="E134" s="380">
        <f t="shared" si="11"/>
        <v>2489.4700000000043</v>
      </c>
      <c r="F134" s="381"/>
    </row>
    <row r="135" spans="1:6" ht="18" customHeight="1">
      <c r="A135" s="379">
        <v>130</v>
      </c>
      <c r="B135" s="573">
        <f t="shared" si="8"/>
        <v>1776.2499999999936</v>
      </c>
      <c r="C135" s="573">
        <f t="shared" si="9"/>
        <v>1705.6099999999949</v>
      </c>
      <c r="D135" s="573">
        <f t="shared" si="10"/>
        <v>2842.7699999999927</v>
      </c>
      <c r="E135" s="380">
        <f t="shared" si="11"/>
        <v>2507.6400000000044</v>
      </c>
      <c r="F135" s="381"/>
    </row>
    <row r="136" spans="1:6" ht="18" customHeight="1">
      <c r="A136" s="379">
        <v>131</v>
      </c>
      <c r="B136" s="573">
        <f t="shared" si="8"/>
        <v>1789.1199999999935</v>
      </c>
      <c r="C136" s="573">
        <f t="shared" si="9"/>
        <v>1717.9699999999948</v>
      </c>
      <c r="D136" s="573">
        <f t="shared" si="10"/>
        <v>2863.3699999999926</v>
      </c>
      <c r="E136" s="380">
        <f t="shared" si="11"/>
        <v>2525.8100000000045</v>
      </c>
      <c r="F136" s="381"/>
    </row>
    <row r="137" spans="1:6" ht="18" customHeight="1">
      <c r="A137" s="379">
        <v>132</v>
      </c>
      <c r="B137" s="573">
        <f t="shared" si="8"/>
        <v>1801.9899999999934</v>
      </c>
      <c r="C137" s="573">
        <f t="shared" si="9"/>
        <v>1730.3299999999947</v>
      </c>
      <c r="D137" s="573">
        <f t="shared" si="10"/>
        <v>2883.9699999999925</v>
      </c>
      <c r="E137" s="380">
        <f t="shared" si="11"/>
        <v>2543.9800000000046</v>
      </c>
      <c r="F137" s="381"/>
    </row>
    <row r="138" spans="1:6" ht="18" customHeight="1">
      <c r="A138" s="379">
        <v>133</v>
      </c>
      <c r="B138" s="573">
        <f t="shared" si="8"/>
        <v>1814.8599999999933</v>
      </c>
      <c r="C138" s="573">
        <f t="shared" si="9"/>
        <v>1742.6899999999946</v>
      </c>
      <c r="D138" s="573">
        <f t="shared" si="10"/>
        <v>2904.5699999999924</v>
      </c>
      <c r="E138" s="380">
        <f t="shared" si="11"/>
        <v>2562.1500000000046</v>
      </c>
      <c r="F138" s="381"/>
    </row>
    <row r="139" spans="1:6" ht="18" customHeight="1">
      <c r="A139" s="379">
        <v>134</v>
      </c>
      <c r="B139" s="573">
        <f t="shared" si="8"/>
        <v>1827.7299999999932</v>
      </c>
      <c r="C139" s="573">
        <f t="shared" si="9"/>
        <v>1755.0499999999945</v>
      </c>
      <c r="D139" s="573">
        <f t="shared" si="10"/>
        <v>2925.1699999999923</v>
      </c>
      <c r="E139" s="380">
        <f t="shared" si="11"/>
        <v>2580.3200000000047</v>
      </c>
      <c r="F139" s="381"/>
    </row>
    <row r="140" spans="1:6" ht="18" customHeight="1">
      <c r="A140" s="387">
        <v>135</v>
      </c>
      <c r="B140" s="573">
        <f t="shared" si="8"/>
        <v>1840.5999999999931</v>
      </c>
      <c r="C140" s="573">
        <f t="shared" si="9"/>
        <v>1767.4099999999944</v>
      </c>
      <c r="D140" s="573">
        <f t="shared" si="10"/>
        <v>2945.7699999999923</v>
      </c>
      <c r="E140" s="380">
        <f t="shared" si="11"/>
        <v>2598.4900000000048</v>
      </c>
      <c r="F140" s="381"/>
    </row>
    <row r="141" spans="1:6" ht="18" customHeight="1">
      <c r="A141" s="379">
        <v>136</v>
      </c>
      <c r="B141" s="573">
        <f t="shared" si="8"/>
        <v>1853.469999999993</v>
      </c>
      <c r="C141" s="573">
        <f t="shared" si="9"/>
        <v>1779.7699999999943</v>
      </c>
      <c r="D141" s="573">
        <f t="shared" si="10"/>
        <v>2966.3699999999922</v>
      </c>
      <c r="E141" s="380">
        <f t="shared" si="11"/>
        <v>2616.6600000000049</v>
      </c>
      <c r="F141" s="381"/>
    </row>
    <row r="142" spans="1:6" ht="18" customHeight="1">
      <c r="A142" s="379">
        <v>137</v>
      </c>
      <c r="B142" s="573">
        <f t="shared" si="8"/>
        <v>1866.3399999999929</v>
      </c>
      <c r="C142" s="573">
        <f t="shared" si="9"/>
        <v>1792.1299999999942</v>
      </c>
      <c r="D142" s="573">
        <f t="shared" si="10"/>
        <v>2986.9699999999921</v>
      </c>
      <c r="E142" s="380">
        <f t="shared" si="11"/>
        <v>2634.8300000000049</v>
      </c>
      <c r="F142" s="381"/>
    </row>
    <row r="143" spans="1:6" ht="18" customHeight="1">
      <c r="A143" s="379">
        <v>138</v>
      </c>
      <c r="B143" s="573">
        <f t="shared" si="8"/>
        <v>1879.2099999999928</v>
      </c>
      <c r="C143" s="573">
        <f t="shared" si="9"/>
        <v>1804.4899999999941</v>
      </c>
      <c r="D143" s="573">
        <f t="shared" si="10"/>
        <v>3007.569999999992</v>
      </c>
      <c r="E143" s="380">
        <f t="shared" si="11"/>
        <v>2653.000000000005</v>
      </c>
      <c r="F143" s="381"/>
    </row>
    <row r="144" spans="1:6" ht="18" customHeight="1">
      <c r="A144" s="379">
        <v>139</v>
      </c>
      <c r="B144" s="573">
        <f t="shared" si="8"/>
        <v>1892.0799999999927</v>
      </c>
      <c r="C144" s="573">
        <f t="shared" si="9"/>
        <v>1816.849999999994</v>
      </c>
      <c r="D144" s="573">
        <f t="shared" si="10"/>
        <v>3028.1699999999919</v>
      </c>
      <c r="E144" s="380">
        <f t="shared" si="11"/>
        <v>2671.1700000000051</v>
      </c>
      <c r="F144" s="381"/>
    </row>
    <row r="145" spans="1:6" ht="18" customHeight="1">
      <c r="A145" s="379">
        <v>140</v>
      </c>
      <c r="B145" s="573">
        <f t="shared" si="8"/>
        <v>1904.9499999999925</v>
      </c>
      <c r="C145" s="573">
        <f t="shared" si="9"/>
        <v>1829.2099999999939</v>
      </c>
      <c r="D145" s="573">
        <f t="shared" si="10"/>
        <v>3048.7699999999918</v>
      </c>
      <c r="E145" s="380">
        <f t="shared" si="11"/>
        <v>2689.3400000000051</v>
      </c>
      <c r="F145" s="381"/>
    </row>
    <row r="146" spans="1:6" ht="18" customHeight="1">
      <c r="A146" s="379">
        <v>141</v>
      </c>
      <c r="B146" s="573">
        <f t="shared" si="8"/>
        <v>1917.8199999999924</v>
      </c>
      <c r="C146" s="573">
        <f t="shared" si="9"/>
        <v>1841.5699999999938</v>
      </c>
      <c r="D146" s="573">
        <f t="shared" si="10"/>
        <v>3069.3699999999917</v>
      </c>
      <c r="E146" s="380">
        <f t="shared" si="11"/>
        <v>2707.5100000000052</v>
      </c>
      <c r="F146" s="381"/>
    </row>
    <row r="147" spans="1:6" ht="18" customHeight="1">
      <c r="A147" s="379">
        <v>142</v>
      </c>
      <c r="B147" s="573">
        <f t="shared" si="8"/>
        <v>1930.6899999999923</v>
      </c>
      <c r="C147" s="573">
        <f t="shared" si="9"/>
        <v>1853.9299999999937</v>
      </c>
      <c r="D147" s="573">
        <f t="shared" si="10"/>
        <v>3089.9699999999916</v>
      </c>
      <c r="E147" s="380">
        <f t="shared" si="11"/>
        <v>2725.6800000000053</v>
      </c>
      <c r="F147" s="381"/>
    </row>
    <row r="148" spans="1:6" ht="18" customHeight="1">
      <c r="A148" s="379">
        <v>143</v>
      </c>
      <c r="B148" s="573">
        <f t="shared" si="8"/>
        <v>1943.5599999999922</v>
      </c>
      <c r="C148" s="573">
        <f t="shared" si="9"/>
        <v>1866.2899999999936</v>
      </c>
      <c r="D148" s="573">
        <f t="shared" si="10"/>
        <v>3110.5699999999915</v>
      </c>
      <c r="E148" s="380">
        <f t="shared" si="11"/>
        <v>2743.8500000000054</v>
      </c>
      <c r="F148" s="381"/>
    </row>
    <row r="149" spans="1:6" ht="18" customHeight="1">
      <c r="A149" s="379">
        <v>144</v>
      </c>
      <c r="B149" s="573">
        <f t="shared" si="8"/>
        <v>1956.4299999999921</v>
      </c>
      <c r="C149" s="573">
        <f t="shared" si="9"/>
        <v>1878.6499999999935</v>
      </c>
      <c r="D149" s="573">
        <f t="shared" si="10"/>
        <v>3131.1699999999914</v>
      </c>
      <c r="E149" s="380">
        <f t="shared" si="11"/>
        <v>2762.0200000000054</v>
      </c>
      <c r="F149" s="381"/>
    </row>
    <row r="150" spans="1:6" ht="18" customHeight="1">
      <c r="A150" s="379">
        <v>145</v>
      </c>
      <c r="B150" s="573">
        <f t="shared" si="8"/>
        <v>1969.299999999992</v>
      </c>
      <c r="C150" s="573">
        <f t="shared" si="9"/>
        <v>1891.0099999999934</v>
      </c>
      <c r="D150" s="573">
        <f t="shared" si="10"/>
        <v>3151.7699999999913</v>
      </c>
      <c r="E150" s="380">
        <f t="shared" si="11"/>
        <v>2780.1900000000055</v>
      </c>
      <c r="F150" s="381"/>
    </row>
    <row r="151" spans="1:6" ht="18" customHeight="1">
      <c r="A151" s="379">
        <v>146</v>
      </c>
      <c r="B151" s="573">
        <f t="shared" si="8"/>
        <v>1982.1699999999919</v>
      </c>
      <c r="C151" s="573">
        <f t="shared" si="9"/>
        <v>1903.3699999999933</v>
      </c>
      <c r="D151" s="573">
        <f t="shared" si="10"/>
        <v>3172.3699999999913</v>
      </c>
      <c r="E151" s="380">
        <f t="shared" si="11"/>
        <v>2798.3600000000056</v>
      </c>
      <c r="F151" s="381"/>
    </row>
    <row r="152" spans="1:6" ht="18" customHeight="1">
      <c r="A152" s="379">
        <v>147</v>
      </c>
      <c r="B152" s="573">
        <f t="shared" si="8"/>
        <v>1995.0399999999918</v>
      </c>
      <c r="C152" s="573">
        <f t="shared" si="9"/>
        <v>1915.7299999999932</v>
      </c>
      <c r="D152" s="573">
        <f t="shared" si="10"/>
        <v>3192.9699999999912</v>
      </c>
      <c r="E152" s="380">
        <f t="shared" si="11"/>
        <v>2816.5300000000057</v>
      </c>
      <c r="F152" s="381"/>
    </row>
    <row r="153" spans="1:6" ht="18" customHeight="1">
      <c r="A153" s="379">
        <v>148</v>
      </c>
      <c r="B153" s="573">
        <f t="shared" si="8"/>
        <v>2007.9099999999917</v>
      </c>
      <c r="C153" s="573">
        <f t="shared" si="9"/>
        <v>1928.0899999999931</v>
      </c>
      <c r="D153" s="573">
        <f t="shared" si="10"/>
        <v>3213.5699999999911</v>
      </c>
      <c r="E153" s="380">
        <f t="shared" si="11"/>
        <v>2834.7000000000057</v>
      </c>
      <c r="F153" s="381"/>
    </row>
    <row r="154" spans="1:6" ht="18" customHeight="1">
      <c r="A154" s="379">
        <v>149</v>
      </c>
      <c r="B154" s="573">
        <f t="shared" si="8"/>
        <v>2020.7799999999916</v>
      </c>
      <c r="C154" s="573">
        <f t="shared" si="9"/>
        <v>1940.449999999993</v>
      </c>
      <c r="D154" s="573">
        <f t="shared" si="10"/>
        <v>3234.169999999991</v>
      </c>
      <c r="E154" s="380">
        <f t="shared" si="11"/>
        <v>2852.8700000000058</v>
      </c>
      <c r="F154" s="381"/>
    </row>
    <row r="155" spans="1:6" ht="18" customHeight="1">
      <c r="A155" s="379">
        <v>150</v>
      </c>
      <c r="B155" s="573">
        <f t="shared" si="8"/>
        <v>2033.6499999999915</v>
      </c>
      <c r="C155" s="573">
        <f t="shared" si="9"/>
        <v>1952.8099999999929</v>
      </c>
      <c r="D155" s="573">
        <f t="shared" si="10"/>
        <v>3254.7699999999909</v>
      </c>
      <c r="E155" s="380">
        <f t="shared" si="11"/>
        <v>2871.0400000000059</v>
      </c>
      <c r="F155" s="381"/>
    </row>
    <row r="156" spans="1:6" ht="18" customHeight="1">
      <c r="A156" s="379">
        <v>151</v>
      </c>
      <c r="B156" s="573">
        <f t="shared" si="8"/>
        <v>2046.5199999999913</v>
      </c>
      <c r="C156" s="573">
        <f t="shared" si="9"/>
        <v>1965.1699999999928</v>
      </c>
      <c r="D156" s="573">
        <f t="shared" si="10"/>
        <v>3275.3699999999908</v>
      </c>
      <c r="E156" s="380">
        <f t="shared" si="11"/>
        <v>2889.2100000000059</v>
      </c>
      <c r="F156" s="381"/>
    </row>
    <row r="157" spans="1:6" ht="18" customHeight="1">
      <c r="A157" s="379">
        <v>152</v>
      </c>
      <c r="B157" s="573">
        <f t="shared" si="8"/>
        <v>2059.3899999999912</v>
      </c>
      <c r="C157" s="573">
        <f t="shared" si="9"/>
        <v>1977.5299999999927</v>
      </c>
      <c r="D157" s="573">
        <f t="shared" si="10"/>
        <v>3295.9699999999907</v>
      </c>
      <c r="E157" s="380">
        <f t="shared" si="11"/>
        <v>2907.380000000006</v>
      </c>
      <c r="F157" s="381"/>
    </row>
    <row r="158" spans="1:6" ht="18" customHeight="1">
      <c r="A158" s="379">
        <v>153</v>
      </c>
      <c r="B158" s="573">
        <f t="shared" si="8"/>
        <v>2072.2599999999911</v>
      </c>
      <c r="C158" s="573">
        <f t="shared" si="9"/>
        <v>1989.8899999999926</v>
      </c>
      <c r="D158" s="573">
        <f t="shared" si="10"/>
        <v>3316.5699999999906</v>
      </c>
      <c r="E158" s="380">
        <f t="shared" si="11"/>
        <v>2925.5500000000061</v>
      </c>
      <c r="F158" s="381"/>
    </row>
    <row r="159" spans="1:6" ht="18" customHeight="1">
      <c r="A159" s="379">
        <v>154</v>
      </c>
      <c r="B159" s="573">
        <f t="shared" si="8"/>
        <v>2085.129999999991</v>
      </c>
      <c r="C159" s="573">
        <f t="shared" si="9"/>
        <v>2002.2499999999925</v>
      </c>
      <c r="D159" s="573">
        <f t="shared" si="10"/>
        <v>3337.1699999999905</v>
      </c>
      <c r="E159" s="380">
        <f t="shared" si="11"/>
        <v>2943.7200000000062</v>
      </c>
      <c r="F159" s="381"/>
    </row>
    <row r="160" spans="1:6" ht="18" customHeight="1">
      <c r="A160" s="379">
        <v>155</v>
      </c>
      <c r="B160" s="573">
        <f t="shared" si="8"/>
        <v>2097.9999999999909</v>
      </c>
      <c r="C160" s="573">
        <f t="shared" si="9"/>
        <v>2014.6099999999924</v>
      </c>
      <c r="D160" s="573">
        <f t="shared" si="10"/>
        <v>3357.7699999999904</v>
      </c>
      <c r="E160" s="380">
        <f t="shared" si="11"/>
        <v>2961.8900000000062</v>
      </c>
      <c r="F160" s="381"/>
    </row>
    <row r="161" spans="1:6" ht="18" customHeight="1">
      <c r="A161" s="379">
        <v>156</v>
      </c>
      <c r="B161" s="573">
        <f t="shared" si="8"/>
        <v>2110.8699999999908</v>
      </c>
      <c r="C161" s="573">
        <f t="shared" si="9"/>
        <v>2026.9699999999923</v>
      </c>
      <c r="D161" s="573">
        <f t="shared" si="10"/>
        <v>3378.3699999999903</v>
      </c>
      <c r="E161" s="380">
        <f t="shared" si="11"/>
        <v>2980.0600000000063</v>
      </c>
      <c r="F161" s="381"/>
    </row>
    <row r="162" spans="1:6" ht="18" customHeight="1">
      <c r="A162" s="379">
        <v>157</v>
      </c>
      <c r="B162" s="573">
        <f t="shared" si="8"/>
        <v>2123.7399999999907</v>
      </c>
      <c r="C162" s="573">
        <f t="shared" si="9"/>
        <v>2039.3299999999922</v>
      </c>
      <c r="D162" s="573">
        <f t="shared" si="10"/>
        <v>3398.9699999999903</v>
      </c>
      <c r="E162" s="380">
        <f t="shared" si="11"/>
        <v>2998.2300000000064</v>
      </c>
      <c r="F162" s="381"/>
    </row>
    <row r="163" spans="1:6" ht="18" customHeight="1">
      <c r="A163" s="379">
        <v>158</v>
      </c>
      <c r="B163" s="573">
        <f t="shared" si="8"/>
        <v>2136.6099999999906</v>
      </c>
      <c r="C163" s="573">
        <f t="shared" si="9"/>
        <v>2051.6899999999923</v>
      </c>
      <c r="D163" s="573">
        <f t="shared" si="10"/>
        <v>3419.5699999999902</v>
      </c>
      <c r="E163" s="380">
        <f t="shared" si="11"/>
        <v>3016.4000000000065</v>
      </c>
      <c r="F163" s="381"/>
    </row>
    <row r="164" spans="1:6" ht="18" customHeight="1">
      <c r="A164" s="379">
        <v>159</v>
      </c>
      <c r="B164" s="573">
        <f t="shared" si="8"/>
        <v>2149.4799999999905</v>
      </c>
      <c r="C164" s="573">
        <f t="shared" si="9"/>
        <v>2064.0499999999925</v>
      </c>
      <c r="D164" s="573">
        <f t="shared" si="10"/>
        <v>3440.1699999999901</v>
      </c>
      <c r="E164" s="380">
        <f t="shared" si="11"/>
        <v>3034.5700000000065</v>
      </c>
      <c r="F164" s="381"/>
    </row>
    <row r="165" spans="1:6" ht="18" customHeight="1">
      <c r="A165" s="379">
        <v>160</v>
      </c>
      <c r="B165" s="573">
        <f t="shared" ref="B165:B228" si="12">B164+12.87</f>
        <v>2162.3499999999904</v>
      </c>
      <c r="C165" s="573">
        <f t="shared" ref="C165:C228" si="13">C164+12.36</f>
        <v>2076.4099999999926</v>
      </c>
      <c r="D165" s="573">
        <f t="shared" ref="D165:D228" si="14">D164+20.6</f>
        <v>3460.76999999999</v>
      </c>
      <c r="E165" s="380">
        <f t="shared" ref="E165:E228" si="15">E164+18.17</f>
        <v>3052.7400000000066</v>
      </c>
      <c r="F165" s="381"/>
    </row>
    <row r="166" spans="1:6" ht="18" customHeight="1">
      <c r="A166" s="379">
        <v>161</v>
      </c>
      <c r="B166" s="573">
        <f t="shared" si="12"/>
        <v>2175.2199999999903</v>
      </c>
      <c r="C166" s="573">
        <f t="shared" si="13"/>
        <v>2088.7699999999927</v>
      </c>
      <c r="D166" s="573">
        <f t="shared" si="14"/>
        <v>3481.3699999999899</v>
      </c>
      <c r="E166" s="380">
        <f t="shared" si="15"/>
        <v>3070.9100000000067</v>
      </c>
      <c r="F166" s="381"/>
    </row>
    <row r="167" spans="1:6" ht="18" customHeight="1">
      <c r="A167" s="379">
        <v>162</v>
      </c>
      <c r="B167" s="573">
        <f t="shared" si="12"/>
        <v>2188.0899999999901</v>
      </c>
      <c r="C167" s="573">
        <f t="shared" si="13"/>
        <v>2101.1299999999928</v>
      </c>
      <c r="D167" s="573">
        <f t="shared" si="14"/>
        <v>3501.9699999999898</v>
      </c>
      <c r="E167" s="380">
        <f t="shared" si="15"/>
        <v>3089.0800000000067</v>
      </c>
      <c r="F167" s="381"/>
    </row>
    <row r="168" spans="1:6" ht="18" customHeight="1">
      <c r="A168" s="379">
        <v>163</v>
      </c>
      <c r="B168" s="573">
        <f t="shared" si="12"/>
        <v>2200.95999999999</v>
      </c>
      <c r="C168" s="573">
        <f t="shared" si="13"/>
        <v>2113.489999999993</v>
      </c>
      <c r="D168" s="573">
        <f t="shared" si="14"/>
        <v>3522.5699999999897</v>
      </c>
      <c r="E168" s="380">
        <f t="shared" si="15"/>
        <v>3107.2500000000068</v>
      </c>
      <c r="F168" s="381"/>
    </row>
    <row r="169" spans="1:6" ht="18" customHeight="1">
      <c r="A169" s="379">
        <v>164</v>
      </c>
      <c r="B169" s="573">
        <f t="shared" si="12"/>
        <v>2213.8299999999899</v>
      </c>
      <c r="C169" s="573">
        <f t="shared" si="13"/>
        <v>2125.8499999999931</v>
      </c>
      <c r="D169" s="573">
        <f t="shared" si="14"/>
        <v>3543.1699999999896</v>
      </c>
      <c r="E169" s="380">
        <f t="shared" si="15"/>
        <v>3125.4200000000069</v>
      </c>
      <c r="F169" s="381"/>
    </row>
    <row r="170" spans="1:6" ht="18" customHeight="1">
      <c r="A170" s="379">
        <v>165</v>
      </c>
      <c r="B170" s="573">
        <f t="shared" si="12"/>
        <v>2226.6999999999898</v>
      </c>
      <c r="C170" s="573">
        <f t="shared" si="13"/>
        <v>2138.2099999999932</v>
      </c>
      <c r="D170" s="573">
        <f t="shared" si="14"/>
        <v>3563.7699999999895</v>
      </c>
      <c r="E170" s="380">
        <f t="shared" si="15"/>
        <v>3143.590000000007</v>
      </c>
      <c r="F170" s="381"/>
    </row>
    <row r="171" spans="1:6" ht="18" customHeight="1">
      <c r="A171" s="379">
        <v>166</v>
      </c>
      <c r="B171" s="573">
        <f t="shared" si="12"/>
        <v>2239.5699999999897</v>
      </c>
      <c r="C171" s="573">
        <f t="shared" si="13"/>
        <v>2150.5699999999933</v>
      </c>
      <c r="D171" s="573">
        <f t="shared" si="14"/>
        <v>3584.3699999999894</v>
      </c>
      <c r="E171" s="380">
        <f t="shared" si="15"/>
        <v>3161.760000000007</v>
      </c>
      <c r="F171" s="381"/>
    </row>
    <row r="172" spans="1:6" ht="18" customHeight="1">
      <c r="A172" s="379">
        <v>167</v>
      </c>
      <c r="B172" s="573">
        <f t="shared" si="12"/>
        <v>2252.4399999999896</v>
      </c>
      <c r="C172" s="573">
        <f t="shared" si="13"/>
        <v>2162.9299999999935</v>
      </c>
      <c r="D172" s="573">
        <f t="shared" si="14"/>
        <v>3604.9699999999893</v>
      </c>
      <c r="E172" s="380">
        <f t="shared" si="15"/>
        <v>3179.9300000000071</v>
      </c>
      <c r="F172" s="381"/>
    </row>
    <row r="173" spans="1:6" ht="18" customHeight="1">
      <c r="A173" s="379">
        <v>168</v>
      </c>
      <c r="B173" s="573">
        <f t="shared" si="12"/>
        <v>2265.3099999999895</v>
      </c>
      <c r="C173" s="573">
        <f t="shared" si="13"/>
        <v>2175.2899999999936</v>
      </c>
      <c r="D173" s="573">
        <f t="shared" si="14"/>
        <v>3625.5699999999892</v>
      </c>
      <c r="E173" s="380">
        <f t="shared" si="15"/>
        <v>3198.1000000000072</v>
      </c>
      <c r="F173" s="381"/>
    </row>
    <row r="174" spans="1:6" ht="18" customHeight="1">
      <c r="A174" s="379">
        <v>169</v>
      </c>
      <c r="B174" s="573">
        <f t="shared" si="12"/>
        <v>2278.1799999999894</v>
      </c>
      <c r="C174" s="573">
        <f t="shared" si="13"/>
        <v>2187.6499999999937</v>
      </c>
      <c r="D174" s="573">
        <f t="shared" si="14"/>
        <v>3646.1699999999892</v>
      </c>
      <c r="E174" s="380">
        <f t="shared" si="15"/>
        <v>3216.2700000000073</v>
      </c>
      <c r="F174" s="381"/>
    </row>
    <row r="175" spans="1:6" ht="18" customHeight="1">
      <c r="A175" s="379">
        <v>170</v>
      </c>
      <c r="B175" s="573">
        <f t="shared" si="12"/>
        <v>2291.0499999999893</v>
      </c>
      <c r="C175" s="573">
        <f t="shared" si="13"/>
        <v>2200.0099999999939</v>
      </c>
      <c r="D175" s="573">
        <f t="shared" si="14"/>
        <v>3666.7699999999891</v>
      </c>
      <c r="E175" s="380">
        <f t="shared" si="15"/>
        <v>3234.4400000000073</v>
      </c>
      <c r="F175" s="381"/>
    </row>
    <row r="176" spans="1:6" ht="18" customHeight="1">
      <c r="A176" s="379">
        <v>171</v>
      </c>
      <c r="B176" s="573">
        <f t="shared" si="12"/>
        <v>2303.9199999999892</v>
      </c>
      <c r="C176" s="573">
        <f t="shared" si="13"/>
        <v>2212.369999999994</v>
      </c>
      <c r="D176" s="573">
        <f t="shared" si="14"/>
        <v>3687.369999999989</v>
      </c>
      <c r="E176" s="380">
        <f t="shared" si="15"/>
        <v>3252.6100000000074</v>
      </c>
      <c r="F176" s="381"/>
    </row>
    <row r="177" spans="1:6" ht="18" customHeight="1">
      <c r="A177" s="379">
        <v>172</v>
      </c>
      <c r="B177" s="573">
        <f t="shared" si="12"/>
        <v>2316.789999999989</v>
      </c>
      <c r="C177" s="573">
        <f t="shared" si="13"/>
        <v>2224.7299999999941</v>
      </c>
      <c r="D177" s="573">
        <f t="shared" si="14"/>
        <v>3707.9699999999889</v>
      </c>
      <c r="E177" s="380">
        <f t="shared" si="15"/>
        <v>3270.7800000000075</v>
      </c>
      <c r="F177" s="381"/>
    </row>
    <row r="178" spans="1:6" ht="18" customHeight="1">
      <c r="A178" s="379">
        <v>173</v>
      </c>
      <c r="B178" s="573">
        <f t="shared" si="12"/>
        <v>2329.6599999999889</v>
      </c>
      <c r="C178" s="573">
        <f t="shared" si="13"/>
        <v>2237.0899999999942</v>
      </c>
      <c r="D178" s="573">
        <f t="shared" si="14"/>
        <v>3728.5699999999888</v>
      </c>
      <c r="E178" s="380">
        <f t="shared" si="15"/>
        <v>3288.9500000000075</v>
      </c>
      <c r="F178" s="381"/>
    </row>
    <row r="179" spans="1:6" ht="18" customHeight="1">
      <c r="A179" s="379">
        <v>174</v>
      </c>
      <c r="B179" s="573">
        <f t="shared" si="12"/>
        <v>2342.5299999999888</v>
      </c>
      <c r="C179" s="573">
        <f t="shared" si="13"/>
        <v>2249.4499999999944</v>
      </c>
      <c r="D179" s="573">
        <f t="shared" si="14"/>
        <v>3749.1699999999887</v>
      </c>
      <c r="E179" s="380">
        <f t="shared" si="15"/>
        <v>3307.1200000000076</v>
      </c>
      <c r="F179" s="381"/>
    </row>
    <row r="180" spans="1:6" ht="18" customHeight="1">
      <c r="A180" s="379">
        <v>175</v>
      </c>
      <c r="B180" s="573">
        <f t="shared" si="12"/>
        <v>2355.3999999999887</v>
      </c>
      <c r="C180" s="573">
        <f t="shared" si="13"/>
        <v>2261.8099999999945</v>
      </c>
      <c r="D180" s="573">
        <f t="shared" si="14"/>
        <v>3769.7699999999886</v>
      </c>
      <c r="E180" s="380">
        <f t="shared" si="15"/>
        <v>3325.2900000000077</v>
      </c>
      <c r="F180" s="381"/>
    </row>
    <row r="181" spans="1:6" ht="18" customHeight="1">
      <c r="A181" s="379">
        <v>176</v>
      </c>
      <c r="B181" s="573">
        <f t="shared" si="12"/>
        <v>2368.2699999999886</v>
      </c>
      <c r="C181" s="573">
        <f t="shared" si="13"/>
        <v>2274.1699999999946</v>
      </c>
      <c r="D181" s="573">
        <f t="shared" si="14"/>
        <v>3790.3699999999885</v>
      </c>
      <c r="E181" s="380">
        <f t="shared" si="15"/>
        <v>3343.4600000000078</v>
      </c>
      <c r="F181" s="381"/>
    </row>
    <row r="182" spans="1:6" ht="18" customHeight="1">
      <c r="A182" s="379">
        <v>177</v>
      </c>
      <c r="B182" s="573">
        <f t="shared" si="12"/>
        <v>2381.1399999999885</v>
      </c>
      <c r="C182" s="573">
        <f t="shared" si="13"/>
        <v>2286.5299999999947</v>
      </c>
      <c r="D182" s="573">
        <f t="shared" si="14"/>
        <v>3810.9699999999884</v>
      </c>
      <c r="E182" s="380">
        <f t="shared" si="15"/>
        <v>3361.6300000000078</v>
      </c>
      <c r="F182" s="381"/>
    </row>
    <row r="183" spans="1:6" ht="18" customHeight="1">
      <c r="A183" s="379">
        <v>178</v>
      </c>
      <c r="B183" s="573">
        <f t="shared" si="12"/>
        <v>2394.0099999999884</v>
      </c>
      <c r="C183" s="573">
        <f t="shared" si="13"/>
        <v>2298.8899999999949</v>
      </c>
      <c r="D183" s="573">
        <f t="shared" si="14"/>
        <v>3831.5699999999883</v>
      </c>
      <c r="E183" s="380">
        <f t="shared" si="15"/>
        <v>3379.8000000000079</v>
      </c>
      <c r="F183" s="381"/>
    </row>
    <row r="184" spans="1:6" ht="18" customHeight="1">
      <c r="A184" s="379">
        <v>179</v>
      </c>
      <c r="B184" s="573">
        <f t="shared" si="12"/>
        <v>2406.8799999999883</v>
      </c>
      <c r="C184" s="573">
        <f t="shared" si="13"/>
        <v>2311.249999999995</v>
      </c>
      <c r="D184" s="573">
        <f t="shared" si="14"/>
        <v>3852.1699999999882</v>
      </c>
      <c r="E184" s="380">
        <f t="shared" si="15"/>
        <v>3397.970000000008</v>
      </c>
      <c r="F184" s="381"/>
    </row>
    <row r="185" spans="1:6" ht="18" customHeight="1">
      <c r="A185" s="379">
        <v>180</v>
      </c>
      <c r="B185" s="573">
        <f t="shared" si="12"/>
        <v>2419.7499999999882</v>
      </c>
      <c r="C185" s="573">
        <f t="shared" si="13"/>
        <v>2323.6099999999951</v>
      </c>
      <c r="D185" s="573">
        <f t="shared" si="14"/>
        <v>3872.7699999999882</v>
      </c>
      <c r="E185" s="380">
        <f t="shared" si="15"/>
        <v>3416.1400000000081</v>
      </c>
      <c r="F185" s="381"/>
    </row>
    <row r="186" spans="1:6" ht="18" customHeight="1">
      <c r="A186" s="379">
        <v>181</v>
      </c>
      <c r="B186" s="573">
        <f t="shared" si="12"/>
        <v>2432.6199999999881</v>
      </c>
      <c r="C186" s="573">
        <f t="shared" si="13"/>
        <v>2335.9699999999953</v>
      </c>
      <c r="D186" s="573">
        <f t="shared" si="14"/>
        <v>3893.3699999999881</v>
      </c>
      <c r="E186" s="380">
        <f t="shared" si="15"/>
        <v>3434.3100000000081</v>
      </c>
      <c r="F186" s="381"/>
    </row>
    <row r="187" spans="1:6" ht="18" customHeight="1">
      <c r="A187" s="379">
        <v>182</v>
      </c>
      <c r="B187" s="573">
        <f t="shared" si="12"/>
        <v>2445.489999999988</v>
      </c>
      <c r="C187" s="573">
        <f t="shared" si="13"/>
        <v>2348.3299999999954</v>
      </c>
      <c r="D187" s="573">
        <f t="shared" si="14"/>
        <v>3913.969999999988</v>
      </c>
      <c r="E187" s="380">
        <f t="shared" si="15"/>
        <v>3452.4800000000082</v>
      </c>
      <c r="F187" s="381"/>
    </row>
    <row r="188" spans="1:6" ht="18" customHeight="1">
      <c r="A188" s="379">
        <v>183</v>
      </c>
      <c r="B188" s="573">
        <f t="shared" si="12"/>
        <v>2458.3599999999878</v>
      </c>
      <c r="C188" s="573">
        <f t="shared" si="13"/>
        <v>2360.6899999999955</v>
      </c>
      <c r="D188" s="573">
        <f t="shared" si="14"/>
        <v>3934.5699999999879</v>
      </c>
      <c r="E188" s="380">
        <f t="shared" si="15"/>
        <v>3470.6500000000083</v>
      </c>
      <c r="F188" s="381"/>
    </row>
    <row r="189" spans="1:6" ht="18" customHeight="1">
      <c r="A189" s="379">
        <v>184</v>
      </c>
      <c r="B189" s="573">
        <f t="shared" si="12"/>
        <v>2471.2299999999877</v>
      </c>
      <c r="C189" s="573">
        <f t="shared" si="13"/>
        <v>2373.0499999999956</v>
      </c>
      <c r="D189" s="573">
        <f t="shared" si="14"/>
        <v>3955.1699999999878</v>
      </c>
      <c r="E189" s="380">
        <f t="shared" si="15"/>
        <v>3488.8200000000083</v>
      </c>
      <c r="F189" s="381"/>
    </row>
    <row r="190" spans="1:6" ht="18" customHeight="1">
      <c r="A190" s="379">
        <v>185</v>
      </c>
      <c r="B190" s="573">
        <f t="shared" si="12"/>
        <v>2484.0999999999876</v>
      </c>
      <c r="C190" s="573">
        <f t="shared" si="13"/>
        <v>2385.4099999999958</v>
      </c>
      <c r="D190" s="573">
        <f t="shared" si="14"/>
        <v>3975.7699999999877</v>
      </c>
      <c r="E190" s="380">
        <f t="shared" si="15"/>
        <v>3506.9900000000084</v>
      </c>
      <c r="F190" s="381"/>
    </row>
    <row r="191" spans="1:6" ht="18" customHeight="1">
      <c r="A191" s="379">
        <v>186</v>
      </c>
      <c r="B191" s="573">
        <f t="shared" si="12"/>
        <v>2496.9699999999875</v>
      </c>
      <c r="C191" s="573">
        <f t="shared" si="13"/>
        <v>2397.7699999999959</v>
      </c>
      <c r="D191" s="573">
        <f t="shared" si="14"/>
        <v>3996.3699999999876</v>
      </c>
      <c r="E191" s="380">
        <f t="shared" si="15"/>
        <v>3525.1600000000085</v>
      </c>
      <c r="F191" s="381"/>
    </row>
    <row r="192" spans="1:6" ht="18" customHeight="1">
      <c r="A192" s="379">
        <v>187</v>
      </c>
      <c r="B192" s="573">
        <f t="shared" si="12"/>
        <v>2509.8399999999874</v>
      </c>
      <c r="C192" s="573">
        <f t="shared" si="13"/>
        <v>2410.129999999996</v>
      </c>
      <c r="D192" s="573">
        <f t="shared" si="14"/>
        <v>4016.9699999999875</v>
      </c>
      <c r="E192" s="380">
        <f t="shared" si="15"/>
        <v>3543.3300000000086</v>
      </c>
      <c r="F192" s="381"/>
    </row>
    <row r="193" spans="1:6" ht="18" customHeight="1">
      <c r="A193" s="379">
        <v>188</v>
      </c>
      <c r="B193" s="573">
        <f t="shared" si="12"/>
        <v>2522.7099999999873</v>
      </c>
      <c r="C193" s="573">
        <f t="shared" si="13"/>
        <v>2422.4899999999961</v>
      </c>
      <c r="D193" s="573">
        <f t="shared" si="14"/>
        <v>4037.5699999999874</v>
      </c>
      <c r="E193" s="380">
        <f t="shared" si="15"/>
        <v>3561.5000000000086</v>
      </c>
      <c r="F193" s="381"/>
    </row>
    <row r="194" spans="1:6" ht="18" customHeight="1">
      <c r="A194" s="379">
        <v>189</v>
      </c>
      <c r="B194" s="573">
        <f t="shared" si="12"/>
        <v>2535.5799999999872</v>
      </c>
      <c r="C194" s="573">
        <f t="shared" si="13"/>
        <v>2434.8499999999963</v>
      </c>
      <c r="D194" s="573">
        <f t="shared" si="14"/>
        <v>4058.1699999999873</v>
      </c>
      <c r="E194" s="380">
        <f t="shared" si="15"/>
        <v>3579.6700000000087</v>
      </c>
      <c r="F194" s="381"/>
    </row>
    <row r="195" spans="1:6" ht="18" customHeight="1">
      <c r="A195" s="379">
        <v>190</v>
      </c>
      <c r="B195" s="573">
        <f t="shared" si="12"/>
        <v>2548.4499999999871</v>
      </c>
      <c r="C195" s="573">
        <f t="shared" si="13"/>
        <v>2447.2099999999964</v>
      </c>
      <c r="D195" s="573">
        <f t="shared" si="14"/>
        <v>4078.7699999999872</v>
      </c>
      <c r="E195" s="380">
        <f t="shared" si="15"/>
        <v>3597.8400000000088</v>
      </c>
      <c r="F195" s="381"/>
    </row>
    <row r="196" spans="1:6" ht="18" customHeight="1">
      <c r="A196" s="379">
        <v>191</v>
      </c>
      <c r="B196" s="573">
        <f t="shared" si="12"/>
        <v>2561.319999999987</v>
      </c>
      <c r="C196" s="573">
        <f t="shared" si="13"/>
        <v>2459.5699999999965</v>
      </c>
      <c r="D196" s="573">
        <f t="shared" si="14"/>
        <v>4099.3699999999872</v>
      </c>
      <c r="E196" s="380">
        <f t="shared" si="15"/>
        <v>3616.0100000000089</v>
      </c>
      <c r="F196" s="381"/>
    </row>
    <row r="197" spans="1:6" ht="18" customHeight="1">
      <c r="A197" s="379">
        <v>192</v>
      </c>
      <c r="B197" s="573">
        <f t="shared" si="12"/>
        <v>2574.1899999999869</v>
      </c>
      <c r="C197" s="573">
        <f t="shared" si="13"/>
        <v>2471.9299999999967</v>
      </c>
      <c r="D197" s="573">
        <f t="shared" si="14"/>
        <v>4119.9699999999875</v>
      </c>
      <c r="E197" s="380">
        <f t="shared" si="15"/>
        <v>3634.1800000000089</v>
      </c>
      <c r="F197" s="381"/>
    </row>
    <row r="198" spans="1:6" ht="18" customHeight="1">
      <c r="A198" s="379">
        <v>193</v>
      </c>
      <c r="B198" s="573">
        <f t="shared" si="12"/>
        <v>2587.0599999999868</v>
      </c>
      <c r="C198" s="573">
        <f t="shared" si="13"/>
        <v>2484.2899999999968</v>
      </c>
      <c r="D198" s="573">
        <f t="shared" si="14"/>
        <v>4140.5699999999879</v>
      </c>
      <c r="E198" s="380">
        <f t="shared" si="15"/>
        <v>3652.350000000009</v>
      </c>
      <c r="F198" s="381"/>
    </row>
    <row r="199" spans="1:6" ht="18" customHeight="1">
      <c r="A199" s="379">
        <v>194</v>
      </c>
      <c r="B199" s="573">
        <f t="shared" si="12"/>
        <v>2599.9299999999866</v>
      </c>
      <c r="C199" s="573">
        <f t="shared" si="13"/>
        <v>2496.6499999999969</v>
      </c>
      <c r="D199" s="573">
        <f t="shared" si="14"/>
        <v>4161.1699999999882</v>
      </c>
      <c r="E199" s="380">
        <f t="shared" si="15"/>
        <v>3670.5200000000091</v>
      </c>
      <c r="F199" s="381"/>
    </row>
    <row r="200" spans="1:6" ht="18" customHeight="1">
      <c r="A200" s="379">
        <v>195</v>
      </c>
      <c r="B200" s="573">
        <f t="shared" si="12"/>
        <v>2612.7999999999865</v>
      </c>
      <c r="C200" s="573">
        <f t="shared" si="13"/>
        <v>2509.009999999997</v>
      </c>
      <c r="D200" s="573">
        <f t="shared" si="14"/>
        <v>4181.7699999999886</v>
      </c>
      <c r="E200" s="380">
        <f t="shared" si="15"/>
        <v>3688.6900000000091</v>
      </c>
      <c r="F200" s="381"/>
    </row>
    <row r="201" spans="1:6" ht="18" customHeight="1">
      <c r="A201" s="379">
        <v>196</v>
      </c>
      <c r="B201" s="573">
        <f t="shared" si="12"/>
        <v>2625.6699999999864</v>
      </c>
      <c r="C201" s="573">
        <f t="shared" si="13"/>
        <v>2521.3699999999972</v>
      </c>
      <c r="D201" s="573">
        <f t="shared" si="14"/>
        <v>4202.369999999989</v>
      </c>
      <c r="E201" s="380">
        <f t="shared" si="15"/>
        <v>3706.8600000000092</v>
      </c>
      <c r="F201" s="381"/>
    </row>
    <row r="202" spans="1:6" ht="18" customHeight="1">
      <c r="A202" s="379">
        <v>197</v>
      </c>
      <c r="B202" s="573">
        <f t="shared" si="12"/>
        <v>2638.5399999999863</v>
      </c>
      <c r="C202" s="573">
        <f t="shared" si="13"/>
        <v>2533.7299999999973</v>
      </c>
      <c r="D202" s="573">
        <f t="shared" si="14"/>
        <v>4222.9699999999893</v>
      </c>
      <c r="E202" s="380">
        <f t="shared" si="15"/>
        <v>3725.0300000000093</v>
      </c>
      <c r="F202" s="381"/>
    </row>
    <row r="203" spans="1:6" ht="18" customHeight="1">
      <c r="A203" s="379">
        <v>198</v>
      </c>
      <c r="B203" s="573">
        <f t="shared" si="12"/>
        <v>2651.4099999999862</v>
      </c>
      <c r="C203" s="573">
        <f t="shared" si="13"/>
        <v>2546.0899999999974</v>
      </c>
      <c r="D203" s="573">
        <f t="shared" si="14"/>
        <v>4243.5699999999897</v>
      </c>
      <c r="E203" s="380">
        <f t="shared" si="15"/>
        <v>3743.2000000000094</v>
      </c>
      <c r="F203" s="381"/>
    </row>
    <row r="204" spans="1:6" ht="18" customHeight="1">
      <c r="A204" s="379">
        <v>199</v>
      </c>
      <c r="B204" s="573">
        <f t="shared" si="12"/>
        <v>2664.2799999999861</v>
      </c>
      <c r="C204" s="573">
        <f t="shared" si="13"/>
        <v>2558.4499999999975</v>
      </c>
      <c r="D204" s="573">
        <f t="shared" si="14"/>
        <v>4264.1699999999901</v>
      </c>
      <c r="E204" s="380">
        <f t="shared" si="15"/>
        <v>3761.3700000000094</v>
      </c>
      <c r="F204" s="381"/>
    </row>
    <row r="205" spans="1:6" ht="18" customHeight="1">
      <c r="A205" s="379">
        <v>200</v>
      </c>
      <c r="B205" s="573">
        <f t="shared" si="12"/>
        <v>2677.149999999986</v>
      </c>
      <c r="C205" s="573">
        <f t="shared" si="13"/>
        <v>2570.8099999999977</v>
      </c>
      <c r="D205" s="573">
        <f t="shared" si="14"/>
        <v>4284.7699999999904</v>
      </c>
      <c r="E205" s="380">
        <f t="shared" si="15"/>
        <v>3779.5400000000095</v>
      </c>
      <c r="F205" s="381"/>
    </row>
    <row r="206" spans="1:6">
      <c r="A206" s="379">
        <v>201</v>
      </c>
      <c r="B206" s="573">
        <f t="shared" si="12"/>
        <v>2690.0199999999859</v>
      </c>
      <c r="C206" s="573">
        <f t="shared" si="13"/>
        <v>2583.1699999999978</v>
      </c>
      <c r="D206" s="573">
        <f t="shared" si="14"/>
        <v>4305.3699999999908</v>
      </c>
      <c r="E206" s="380">
        <f t="shared" si="15"/>
        <v>3797.7100000000096</v>
      </c>
      <c r="F206" s="381"/>
    </row>
    <row r="207" spans="1:6">
      <c r="A207" s="379">
        <v>202</v>
      </c>
      <c r="B207" s="573">
        <f t="shared" si="12"/>
        <v>2702.8899999999858</v>
      </c>
      <c r="C207" s="573">
        <f t="shared" si="13"/>
        <v>2595.5299999999979</v>
      </c>
      <c r="D207" s="573">
        <f t="shared" si="14"/>
        <v>4325.9699999999912</v>
      </c>
      <c r="E207" s="380">
        <f t="shared" si="15"/>
        <v>3815.8800000000097</v>
      </c>
      <c r="F207" s="381"/>
    </row>
    <row r="208" spans="1:6">
      <c r="A208" s="379">
        <v>203</v>
      </c>
      <c r="B208" s="573">
        <f t="shared" si="12"/>
        <v>2715.7599999999857</v>
      </c>
      <c r="C208" s="573">
        <f t="shared" si="13"/>
        <v>2607.8899999999981</v>
      </c>
      <c r="D208" s="573">
        <f t="shared" si="14"/>
        <v>4346.5699999999915</v>
      </c>
      <c r="E208" s="380">
        <f t="shared" si="15"/>
        <v>3834.0500000000097</v>
      </c>
      <c r="F208" s="381"/>
    </row>
    <row r="209" spans="1:6">
      <c r="A209" s="379">
        <v>204</v>
      </c>
      <c r="B209" s="573">
        <f t="shared" si="12"/>
        <v>2728.6299999999856</v>
      </c>
      <c r="C209" s="573">
        <f t="shared" si="13"/>
        <v>2620.2499999999982</v>
      </c>
      <c r="D209" s="573">
        <f t="shared" si="14"/>
        <v>4367.1699999999919</v>
      </c>
      <c r="E209" s="380">
        <f t="shared" si="15"/>
        <v>3852.2200000000098</v>
      </c>
      <c r="F209" s="381"/>
    </row>
    <row r="210" spans="1:6">
      <c r="A210" s="379">
        <v>205</v>
      </c>
      <c r="B210" s="573">
        <f t="shared" si="12"/>
        <v>2741.4999999999854</v>
      </c>
      <c r="C210" s="573">
        <f t="shared" si="13"/>
        <v>2632.6099999999983</v>
      </c>
      <c r="D210" s="573">
        <f t="shared" si="14"/>
        <v>4387.7699999999923</v>
      </c>
      <c r="E210" s="380">
        <f t="shared" si="15"/>
        <v>3870.3900000000099</v>
      </c>
      <c r="F210" s="381"/>
    </row>
    <row r="211" spans="1:6">
      <c r="A211" s="379">
        <v>206</v>
      </c>
      <c r="B211" s="573">
        <f t="shared" si="12"/>
        <v>2754.3699999999853</v>
      </c>
      <c r="C211" s="573">
        <f t="shared" si="13"/>
        <v>2644.9699999999984</v>
      </c>
      <c r="D211" s="573">
        <f t="shared" si="14"/>
        <v>4408.3699999999926</v>
      </c>
      <c r="E211" s="380">
        <f t="shared" si="15"/>
        <v>3888.5600000000099</v>
      </c>
      <c r="F211" s="381"/>
    </row>
    <row r="212" spans="1:6">
      <c r="A212" s="379">
        <v>207</v>
      </c>
      <c r="B212" s="573">
        <f t="shared" si="12"/>
        <v>2767.2399999999852</v>
      </c>
      <c r="C212" s="573">
        <f t="shared" si="13"/>
        <v>2657.3299999999986</v>
      </c>
      <c r="D212" s="573">
        <f t="shared" si="14"/>
        <v>4428.969999999993</v>
      </c>
      <c r="E212" s="380">
        <f t="shared" si="15"/>
        <v>3906.73000000001</v>
      </c>
      <c r="F212" s="381"/>
    </row>
    <row r="213" spans="1:6">
      <c r="A213" s="379">
        <v>208</v>
      </c>
      <c r="B213" s="573">
        <f t="shared" si="12"/>
        <v>2780.1099999999851</v>
      </c>
      <c r="C213" s="573">
        <f t="shared" si="13"/>
        <v>2669.6899999999987</v>
      </c>
      <c r="D213" s="573">
        <f t="shared" si="14"/>
        <v>4449.5699999999933</v>
      </c>
      <c r="E213" s="380">
        <f t="shared" si="15"/>
        <v>3924.9000000000101</v>
      </c>
      <c r="F213" s="381"/>
    </row>
    <row r="214" spans="1:6">
      <c r="A214" s="379">
        <v>209</v>
      </c>
      <c r="B214" s="573">
        <f t="shared" si="12"/>
        <v>2792.979999999985</v>
      </c>
      <c r="C214" s="573">
        <f t="shared" si="13"/>
        <v>2682.0499999999988</v>
      </c>
      <c r="D214" s="573">
        <f t="shared" si="14"/>
        <v>4470.1699999999937</v>
      </c>
      <c r="E214" s="380">
        <f t="shared" si="15"/>
        <v>3943.0700000000102</v>
      </c>
      <c r="F214" s="381"/>
    </row>
    <row r="215" spans="1:6">
      <c r="A215" s="379">
        <v>210</v>
      </c>
      <c r="B215" s="573">
        <f t="shared" si="12"/>
        <v>2805.8499999999849</v>
      </c>
      <c r="C215" s="573">
        <f t="shared" si="13"/>
        <v>2694.4099999999989</v>
      </c>
      <c r="D215" s="573">
        <f t="shared" si="14"/>
        <v>4490.7699999999941</v>
      </c>
      <c r="E215" s="380">
        <f t="shared" si="15"/>
        <v>3961.2400000000102</v>
      </c>
      <c r="F215" s="381"/>
    </row>
    <row r="216" spans="1:6">
      <c r="A216" s="379">
        <v>211</v>
      </c>
      <c r="B216" s="573">
        <f t="shared" si="12"/>
        <v>2818.7199999999848</v>
      </c>
      <c r="C216" s="573">
        <f t="shared" si="13"/>
        <v>2706.7699999999991</v>
      </c>
      <c r="D216" s="573">
        <f t="shared" si="14"/>
        <v>4511.3699999999944</v>
      </c>
      <c r="E216" s="380">
        <f t="shared" si="15"/>
        <v>3979.4100000000103</v>
      </c>
      <c r="F216" s="381"/>
    </row>
    <row r="217" spans="1:6">
      <c r="A217" s="379">
        <v>212</v>
      </c>
      <c r="B217" s="573">
        <f t="shared" si="12"/>
        <v>2831.5899999999847</v>
      </c>
      <c r="C217" s="573">
        <f t="shared" si="13"/>
        <v>2719.1299999999992</v>
      </c>
      <c r="D217" s="573">
        <f t="shared" si="14"/>
        <v>4531.9699999999948</v>
      </c>
      <c r="E217" s="380">
        <f t="shared" si="15"/>
        <v>3997.5800000000104</v>
      </c>
      <c r="F217" s="381"/>
    </row>
    <row r="218" spans="1:6">
      <c r="A218" s="379">
        <v>213</v>
      </c>
      <c r="B218" s="573">
        <f t="shared" si="12"/>
        <v>2844.4599999999846</v>
      </c>
      <c r="C218" s="573">
        <f t="shared" si="13"/>
        <v>2731.4899999999993</v>
      </c>
      <c r="D218" s="573">
        <f t="shared" si="14"/>
        <v>4552.5699999999952</v>
      </c>
      <c r="E218" s="380">
        <f t="shared" si="15"/>
        <v>4015.7500000000105</v>
      </c>
      <c r="F218" s="381"/>
    </row>
    <row r="219" spans="1:6">
      <c r="A219" s="379">
        <v>214</v>
      </c>
      <c r="B219" s="573">
        <f t="shared" si="12"/>
        <v>2857.3299999999845</v>
      </c>
      <c r="C219" s="573">
        <f t="shared" si="13"/>
        <v>2743.8499999999995</v>
      </c>
      <c r="D219" s="573">
        <f t="shared" si="14"/>
        <v>4573.1699999999955</v>
      </c>
      <c r="E219" s="380">
        <f t="shared" si="15"/>
        <v>4033.9200000000105</v>
      </c>
      <c r="F219" s="381"/>
    </row>
    <row r="220" spans="1:6">
      <c r="A220" s="379">
        <v>215</v>
      </c>
      <c r="B220" s="573">
        <f t="shared" si="12"/>
        <v>2870.1999999999844</v>
      </c>
      <c r="C220" s="573">
        <f t="shared" si="13"/>
        <v>2756.2099999999996</v>
      </c>
      <c r="D220" s="573">
        <f t="shared" si="14"/>
        <v>4593.7699999999959</v>
      </c>
      <c r="E220" s="380">
        <f t="shared" si="15"/>
        <v>4052.0900000000106</v>
      </c>
      <c r="F220" s="381"/>
    </row>
    <row r="221" spans="1:6">
      <c r="A221" s="379">
        <v>216</v>
      </c>
      <c r="B221" s="573">
        <f t="shared" si="12"/>
        <v>2883.0699999999842</v>
      </c>
      <c r="C221" s="573">
        <f t="shared" si="13"/>
        <v>2768.5699999999997</v>
      </c>
      <c r="D221" s="573">
        <f t="shared" si="14"/>
        <v>4614.3699999999963</v>
      </c>
      <c r="E221" s="380">
        <f t="shared" si="15"/>
        <v>4070.2600000000107</v>
      </c>
      <c r="F221" s="381"/>
    </row>
    <row r="222" spans="1:6">
      <c r="A222" s="379">
        <v>217</v>
      </c>
      <c r="B222" s="573">
        <f t="shared" si="12"/>
        <v>2895.9399999999841</v>
      </c>
      <c r="C222" s="573">
        <f t="shared" si="13"/>
        <v>2780.93</v>
      </c>
      <c r="D222" s="573">
        <f t="shared" si="14"/>
        <v>4634.9699999999966</v>
      </c>
      <c r="E222" s="380">
        <f t="shared" si="15"/>
        <v>4088.4300000000108</v>
      </c>
      <c r="F222" s="381"/>
    </row>
    <row r="223" spans="1:6">
      <c r="A223" s="379">
        <v>218</v>
      </c>
      <c r="B223" s="573">
        <f t="shared" si="12"/>
        <v>2908.809999999984</v>
      </c>
      <c r="C223" s="573">
        <f t="shared" si="13"/>
        <v>2793.29</v>
      </c>
      <c r="D223" s="573">
        <f t="shared" si="14"/>
        <v>4655.569999999997</v>
      </c>
      <c r="E223" s="380">
        <f t="shared" si="15"/>
        <v>4106.6000000000104</v>
      </c>
      <c r="F223" s="381"/>
    </row>
    <row r="224" spans="1:6">
      <c r="A224" s="379">
        <v>219</v>
      </c>
      <c r="B224" s="573">
        <f t="shared" si="12"/>
        <v>2921.6799999999839</v>
      </c>
      <c r="C224" s="573">
        <f t="shared" si="13"/>
        <v>2805.65</v>
      </c>
      <c r="D224" s="573">
        <f t="shared" si="14"/>
        <v>4676.1699999999973</v>
      </c>
      <c r="E224" s="380">
        <f t="shared" si="15"/>
        <v>4124.7700000000104</v>
      </c>
      <c r="F224" s="381"/>
    </row>
    <row r="225" spans="1:6">
      <c r="A225" s="379">
        <v>220</v>
      </c>
      <c r="B225" s="573">
        <f t="shared" si="12"/>
        <v>2934.5499999999838</v>
      </c>
      <c r="C225" s="573">
        <f t="shared" si="13"/>
        <v>2818.01</v>
      </c>
      <c r="D225" s="573">
        <f t="shared" si="14"/>
        <v>4696.7699999999977</v>
      </c>
      <c r="E225" s="380">
        <f t="shared" si="15"/>
        <v>4142.9400000000105</v>
      </c>
      <c r="F225" s="381"/>
    </row>
    <row r="226" spans="1:6">
      <c r="A226" s="379">
        <v>221</v>
      </c>
      <c r="B226" s="573">
        <f t="shared" si="12"/>
        <v>2947.4199999999837</v>
      </c>
      <c r="C226" s="573">
        <f t="shared" si="13"/>
        <v>2830.3700000000003</v>
      </c>
      <c r="D226" s="573">
        <f t="shared" si="14"/>
        <v>4717.3699999999981</v>
      </c>
      <c r="E226" s="380">
        <f t="shared" si="15"/>
        <v>4161.1100000000106</v>
      </c>
      <c r="F226" s="381"/>
    </row>
    <row r="227" spans="1:6">
      <c r="A227" s="379">
        <v>222</v>
      </c>
      <c r="B227" s="573">
        <f t="shared" si="12"/>
        <v>2960.2899999999836</v>
      </c>
      <c r="C227" s="573">
        <f t="shared" si="13"/>
        <v>2842.7300000000005</v>
      </c>
      <c r="D227" s="573">
        <f t="shared" si="14"/>
        <v>4737.9699999999984</v>
      </c>
      <c r="E227" s="380">
        <f t="shared" si="15"/>
        <v>4179.2800000000107</v>
      </c>
      <c r="F227" s="381"/>
    </row>
    <row r="228" spans="1:6">
      <c r="A228" s="379">
        <v>223</v>
      </c>
      <c r="B228" s="573">
        <f t="shared" si="12"/>
        <v>2973.1599999999835</v>
      </c>
      <c r="C228" s="573">
        <f t="shared" si="13"/>
        <v>2855.0900000000006</v>
      </c>
      <c r="D228" s="573">
        <f t="shared" si="14"/>
        <v>4758.5699999999988</v>
      </c>
      <c r="E228" s="380">
        <f t="shared" si="15"/>
        <v>4197.4500000000107</v>
      </c>
      <c r="F228" s="381"/>
    </row>
    <row r="229" spans="1:6">
      <c r="A229" s="379">
        <v>224</v>
      </c>
      <c r="B229" s="573">
        <f t="shared" ref="B229:B292" si="16">B228+12.87</f>
        <v>2986.0299999999834</v>
      </c>
      <c r="C229" s="573">
        <f t="shared" ref="C229:C292" si="17">C228+12.36</f>
        <v>2867.4500000000007</v>
      </c>
      <c r="D229" s="573">
        <f t="shared" ref="D229:D292" si="18">D228+20.6</f>
        <v>4779.1699999999992</v>
      </c>
      <c r="E229" s="380">
        <f t="shared" ref="E229:E292" si="19">E228+18.17</f>
        <v>4215.6200000000108</v>
      </c>
      <c r="F229" s="381"/>
    </row>
    <row r="230" spans="1:6">
      <c r="A230" s="379">
        <v>225</v>
      </c>
      <c r="B230" s="573">
        <f t="shared" si="16"/>
        <v>2998.8999999999833</v>
      </c>
      <c r="C230" s="573">
        <f t="shared" si="17"/>
        <v>2879.8100000000009</v>
      </c>
      <c r="D230" s="573">
        <f t="shared" si="18"/>
        <v>4799.7699999999995</v>
      </c>
      <c r="E230" s="380">
        <f t="shared" si="19"/>
        <v>4233.7900000000109</v>
      </c>
      <c r="F230" s="381"/>
    </row>
    <row r="231" spans="1:6">
      <c r="A231" s="379">
        <v>226</v>
      </c>
      <c r="B231" s="573">
        <f t="shared" si="16"/>
        <v>3011.7699999999832</v>
      </c>
      <c r="C231" s="573">
        <f t="shared" si="17"/>
        <v>2892.170000000001</v>
      </c>
      <c r="D231" s="573">
        <f t="shared" si="18"/>
        <v>4820.37</v>
      </c>
      <c r="E231" s="380">
        <f t="shared" si="19"/>
        <v>4251.960000000011</v>
      </c>
      <c r="F231" s="381"/>
    </row>
    <row r="232" spans="1:6">
      <c r="A232" s="379">
        <v>227</v>
      </c>
      <c r="B232" s="573">
        <f t="shared" si="16"/>
        <v>3024.639999999983</v>
      </c>
      <c r="C232" s="573">
        <f t="shared" si="17"/>
        <v>2904.5300000000011</v>
      </c>
      <c r="D232" s="573">
        <f t="shared" si="18"/>
        <v>4840.97</v>
      </c>
      <c r="E232" s="380">
        <f t="shared" si="19"/>
        <v>4270.130000000011</v>
      </c>
      <c r="F232" s="381"/>
    </row>
    <row r="233" spans="1:6">
      <c r="A233" s="379">
        <v>228</v>
      </c>
      <c r="B233" s="573">
        <f t="shared" si="16"/>
        <v>3037.5099999999829</v>
      </c>
      <c r="C233" s="573">
        <f t="shared" si="17"/>
        <v>2916.8900000000012</v>
      </c>
      <c r="D233" s="573">
        <f t="shared" si="18"/>
        <v>4861.5700000000006</v>
      </c>
      <c r="E233" s="380">
        <f t="shared" si="19"/>
        <v>4288.3000000000111</v>
      </c>
      <c r="F233" s="381"/>
    </row>
    <row r="234" spans="1:6">
      <c r="A234" s="379">
        <v>229</v>
      </c>
      <c r="B234" s="573">
        <f t="shared" si="16"/>
        <v>3050.3799999999828</v>
      </c>
      <c r="C234" s="573">
        <f t="shared" si="17"/>
        <v>2929.2500000000014</v>
      </c>
      <c r="D234" s="573">
        <f t="shared" si="18"/>
        <v>4882.170000000001</v>
      </c>
      <c r="E234" s="380">
        <f t="shared" si="19"/>
        <v>4306.4700000000112</v>
      </c>
      <c r="F234" s="381"/>
    </row>
    <row r="235" spans="1:6">
      <c r="A235" s="379">
        <v>230</v>
      </c>
      <c r="B235" s="573">
        <f t="shared" si="16"/>
        <v>3063.2499999999827</v>
      </c>
      <c r="C235" s="573">
        <f t="shared" si="17"/>
        <v>2941.6100000000015</v>
      </c>
      <c r="D235" s="573">
        <f t="shared" si="18"/>
        <v>4902.7700000000013</v>
      </c>
      <c r="E235" s="380">
        <f t="shared" si="19"/>
        <v>4324.6400000000112</v>
      </c>
      <c r="F235" s="381"/>
    </row>
    <row r="236" spans="1:6">
      <c r="A236" s="379">
        <v>231</v>
      </c>
      <c r="B236" s="573">
        <f t="shared" si="16"/>
        <v>3076.1199999999826</v>
      </c>
      <c r="C236" s="573">
        <f t="shared" si="17"/>
        <v>2953.9700000000016</v>
      </c>
      <c r="D236" s="573">
        <f t="shared" si="18"/>
        <v>4923.3700000000017</v>
      </c>
      <c r="E236" s="380">
        <f t="shared" si="19"/>
        <v>4342.8100000000113</v>
      </c>
      <c r="F236" s="381"/>
    </row>
    <row r="237" spans="1:6">
      <c r="A237" s="379">
        <v>232</v>
      </c>
      <c r="B237" s="573">
        <f t="shared" si="16"/>
        <v>3088.9899999999825</v>
      </c>
      <c r="C237" s="573">
        <f t="shared" si="17"/>
        <v>2966.3300000000017</v>
      </c>
      <c r="D237" s="573">
        <f t="shared" si="18"/>
        <v>4943.9700000000021</v>
      </c>
      <c r="E237" s="380">
        <f t="shared" si="19"/>
        <v>4360.9800000000114</v>
      </c>
      <c r="F237" s="381"/>
    </row>
    <row r="238" spans="1:6">
      <c r="A238" s="379">
        <v>233</v>
      </c>
      <c r="B238" s="573">
        <f t="shared" si="16"/>
        <v>3101.8599999999824</v>
      </c>
      <c r="C238" s="573">
        <f t="shared" si="17"/>
        <v>2978.6900000000019</v>
      </c>
      <c r="D238" s="573">
        <f t="shared" si="18"/>
        <v>4964.5700000000024</v>
      </c>
      <c r="E238" s="380">
        <f t="shared" si="19"/>
        <v>4379.1500000000115</v>
      </c>
      <c r="F238" s="381"/>
    </row>
    <row r="239" spans="1:6">
      <c r="A239" s="379">
        <v>234</v>
      </c>
      <c r="B239" s="573">
        <f t="shared" si="16"/>
        <v>3114.7299999999823</v>
      </c>
      <c r="C239" s="573">
        <f t="shared" si="17"/>
        <v>2991.050000000002</v>
      </c>
      <c r="D239" s="573">
        <f t="shared" si="18"/>
        <v>4985.1700000000028</v>
      </c>
      <c r="E239" s="380">
        <f t="shared" si="19"/>
        <v>4397.3200000000115</v>
      </c>
      <c r="F239" s="381"/>
    </row>
    <row r="240" spans="1:6">
      <c r="A240" s="379">
        <v>235</v>
      </c>
      <c r="B240" s="573">
        <f t="shared" si="16"/>
        <v>3127.5999999999822</v>
      </c>
      <c r="C240" s="573">
        <f t="shared" si="17"/>
        <v>3003.4100000000021</v>
      </c>
      <c r="D240" s="573">
        <f t="shared" si="18"/>
        <v>5005.7700000000032</v>
      </c>
      <c r="E240" s="380">
        <f t="shared" si="19"/>
        <v>4415.4900000000116</v>
      </c>
      <c r="F240" s="381"/>
    </row>
    <row r="241" spans="1:6">
      <c r="A241" s="379">
        <v>236</v>
      </c>
      <c r="B241" s="573">
        <f t="shared" si="16"/>
        <v>3140.4699999999821</v>
      </c>
      <c r="C241" s="573">
        <f t="shared" si="17"/>
        <v>3015.7700000000023</v>
      </c>
      <c r="D241" s="573">
        <f t="shared" si="18"/>
        <v>5026.3700000000035</v>
      </c>
      <c r="E241" s="380">
        <f t="shared" si="19"/>
        <v>4433.6600000000117</v>
      </c>
      <c r="F241" s="381"/>
    </row>
    <row r="242" spans="1:6">
      <c r="A242" s="379">
        <v>237</v>
      </c>
      <c r="B242" s="573">
        <f t="shared" si="16"/>
        <v>3153.339999999982</v>
      </c>
      <c r="C242" s="573">
        <f t="shared" si="17"/>
        <v>3028.1300000000024</v>
      </c>
      <c r="D242" s="573">
        <f t="shared" si="18"/>
        <v>5046.9700000000039</v>
      </c>
      <c r="E242" s="380">
        <f t="shared" si="19"/>
        <v>4451.8300000000118</v>
      </c>
      <c r="F242" s="381"/>
    </row>
    <row r="243" spans="1:6">
      <c r="A243" s="379">
        <v>238</v>
      </c>
      <c r="B243" s="573">
        <f t="shared" si="16"/>
        <v>3166.2099999999818</v>
      </c>
      <c r="C243" s="573">
        <f t="shared" si="17"/>
        <v>3040.4900000000025</v>
      </c>
      <c r="D243" s="573">
        <f t="shared" si="18"/>
        <v>5067.5700000000043</v>
      </c>
      <c r="E243" s="380">
        <f t="shared" si="19"/>
        <v>4470.0000000000118</v>
      </c>
      <c r="F243" s="381"/>
    </row>
    <row r="244" spans="1:6">
      <c r="A244" s="379">
        <v>239</v>
      </c>
      <c r="B244" s="573">
        <f t="shared" si="16"/>
        <v>3179.0799999999817</v>
      </c>
      <c r="C244" s="573">
        <f t="shared" si="17"/>
        <v>3052.8500000000026</v>
      </c>
      <c r="D244" s="573">
        <f t="shared" si="18"/>
        <v>5088.1700000000046</v>
      </c>
      <c r="E244" s="380">
        <f t="shared" si="19"/>
        <v>4488.1700000000119</v>
      </c>
      <c r="F244" s="381"/>
    </row>
    <row r="245" spans="1:6">
      <c r="A245" s="379">
        <v>240</v>
      </c>
      <c r="B245" s="573">
        <f t="shared" si="16"/>
        <v>3191.9499999999816</v>
      </c>
      <c r="C245" s="573">
        <f t="shared" si="17"/>
        <v>3065.2100000000028</v>
      </c>
      <c r="D245" s="573">
        <f t="shared" si="18"/>
        <v>5108.770000000005</v>
      </c>
      <c r="E245" s="380">
        <f t="shared" si="19"/>
        <v>4506.340000000012</v>
      </c>
      <c r="F245" s="381"/>
    </row>
    <row r="246" spans="1:6">
      <c r="A246" s="379">
        <v>241</v>
      </c>
      <c r="B246" s="573">
        <f t="shared" si="16"/>
        <v>3204.8199999999815</v>
      </c>
      <c r="C246" s="573">
        <f t="shared" si="17"/>
        <v>3077.5700000000029</v>
      </c>
      <c r="D246" s="573">
        <f t="shared" si="18"/>
        <v>5129.3700000000053</v>
      </c>
      <c r="E246" s="380">
        <f t="shared" si="19"/>
        <v>4524.510000000012</v>
      </c>
      <c r="F246" s="381"/>
    </row>
    <row r="247" spans="1:6">
      <c r="A247" s="379">
        <v>242</v>
      </c>
      <c r="B247" s="573">
        <f t="shared" si="16"/>
        <v>3217.6899999999814</v>
      </c>
      <c r="C247" s="573">
        <f t="shared" si="17"/>
        <v>3089.930000000003</v>
      </c>
      <c r="D247" s="573">
        <f t="shared" si="18"/>
        <v>5149.9700000000057</v>
      </c>
      <c r="E247" s="380">
        <f t="shared" si="19"/>
        <v>4542.6800000000121</v>
      </c>
      <c r="F247" s="381"/>
    </row>
    <row r="248" spans="1:6">
      <c r="A248" s="379">
        <v>243</v>
      </c>
      <c r="B248" s="573">
        <f t="shared" si="16"/>
        <v>3230.5599999999813</v>
      </c>
      <c r="C248" s="573">
        <f t="shared" si="17"/>
        <v>3102.2900000000031</v>
      </c>
      <c r="D248" s="573">
        <f t="shared" si="18"/>
        <v>5170.5700000000061</v>
      </c>
      <c r="E248" s="380">
        <f t="shared" si="19"/>
        <v>4560.8500000000122</v>
      </c>
      <c r="F248" s="381"/>
    </row>
    <row r="249" spans="1:6">
      <c r="A249" s="379">
        <v>244</v>
      </c>
      <c r="B249" s="573">
        <f t="shared" si="16"/>
        <v>3243.4299999999812</v>
      </c>
      <c r="C249" s="573">
        <f t="shared" si="17"/>
        <v>3114.6500000000033</v>
      </c>
      <c r="D249" s="573">
        <f t="shared" si="18"/>
        <v>5191.1700000000064</v>
      </c>
      <c r="E249" s="380">
        <f t="shared" si="19"/>
        <v>4579.0200000000123</v>
      </c>
      <c r="F249" s="381"/>
    </row>
    <row r="250" spans="1:6">
      <c r="A250" s="379">
        <v>245</v>
      </c>
      <c r="B250" s="573">
        <f t="shared" si="16"/>
        <v>3256.2999999999811</v>
      </c>
      <c r="C250" s="573">
        <f t="shared" si="17"/>
        <v>3127.0100000000034</v>
      </c>
      <c r="D250" s="573">
        <f t="shared" si="18"/>
        <v>5211.7700000000068</v>
      </c>
      <c r="E250" s="380">
        <f t="shared" si="19"/>
        <v>4597.1900000000123</v>
      </c>
      <c r="F250" s="381"/>
    </row>
    <row r="251" spans="1:6">
      <c r="A251" s="379">
        <v>246</v>
      </c>
      <c r="B251" s="573">
        <f t="shared" si="16"/>
        <v>3269.169999999981</v>
      </c>
      <c r="C251" s="573">
        <f t="shared" si="17"/>
        <v>3139.3700000000035</v>
      </c>
      <c r="D251" s="573">
        <f t="shared" si="18"/>
        <v>5232.3700000000072</v>
      </c>
      <c r="E251" s="380">
        <f t="shared" si="19"/>
        <v>4615.3600000000124</v>
      </c>
      <c r="F251" s="381"/>
    </row>
    <row r="252" spans="1:6">
      <c r="A252" s="379">
        <v>247</v>
      </c>
      <c r="B252" s="573">
        <f t="shared" si="16"/>
        <v>3282.0399999999809</v>
      </c>
      <c r="C252" s="573">
        <f t="shared" si="17"/>
        <v>3151.7300000000037</v>
      </c>
      <c r="D252" s="573">
        <f t="shared" si="18"/>
        <v>5252.9700000000075</v>
      </c>
      <c r="E252" s="380">
        <f t="shared" si="19"/>
        <v>4633.5300000000125</v>
      </c>
      <c r="F252" s="381"/>
    </row>
    <row r="253" spans="1:6">
      <c r="A253" s="379">
        <v>248</v>
      </c>
      <c r="B253" s="573">
        <f t="shared" si="16"/>
        <v>3294.9099999999808</v>
      </c>
      <c r="C253" s="573">
        <f t="shared" si="17"/>
        <v>3164.0900000000038</v>
      </c>
      <c r="D253" s="573">
        <f t="shared" si="18"/>
        <v>5273.5700000000079</v>
      </c>
      <c r="E253" s="380">
        <f t="shared" si="19"/>
        <v>4651.7000000000126</v>
      </c>
      <c r="F253" s="381"/>
    </row>
    <row r="254" spans="1:6">
      <c r="A254" s="379">
        <v>249</v>
      </c>
      <c r="B254" s="573">
        <f t="shared" si="16"/>
        <v>3307.7799999999806</v>
      </c>
      <c r="C254" s="573">
        <f t="shared" si="17"/>
        <v>3176.4500000000039</v>
      </c>
      <c r="D254" s="573">
        <f t="shared" si="18"/>
        <v>5294.1700000000083</v>
      </c>
      <c r="E254" s="380">
        <f t="shared" si="19"/>
        <v>4669.8700000000126</v>
      </c>
      <c r="F254" s="381"/>
    </row>
    <row r="255" spans="1:6">
      <c r="A255" s="379">
        <v>250</v>
      </c>
      <c r="B255" s="573">
        <f t="shared" si="16"/>
        <v>3320.6499999999805</v>
      </c>
      <c r="C255" s="573">
        <f t="shared" si="17"/>
        <v>3188.810000000004</v>
      </c>
      <c r="D255" s="573">
        <f t="shared" si="18"/>
        <v>5314.7700000000086</v>
      </c>
      <c r="E255" s="380">
        <f t="shared" si="19"/>
        <v>4688.0400000000127</v>
      </c>
      <c r="F255" s="381"/>
    </row>
    <row r="256" spans="1:6">
      <c r="A256" s="379">
        <v>251</v>
      </c>
      <c r="B256" s="573">
        <f t="shared" si="16"/>
        <v>3333.5199999999804</v>
      </c>
      <c r="C256" s="573">
        <f t="shared" si="17"/>
        <v>3201.1700000000042</v>
      </c>
      <c r="D256" s="573">
        <f t="shared" si="18"/>
        <v>5335.370000000009</v>
      </c>
      <c r="E256" s="380">
        <f t="shared" si="19"/>
        <v>4706.2100000000128</v>
      </c>
      <c r="F256" s="381"/>
    </row>
    <row r="257" spans="1:6">
      <c r="A257" s="379">
        <v>252</v>
      </c>
      <c r="B257" s="573">
        <f t="shared" si="16"/>
        <v>3346.3899999999803</v>
      </c>
      <c r="C257" s="573">
        <f t="shared" si="17"/>
        <v>3213.5300000000043</v>
      </c>
      <c r="D257" s="573">
        <f t="shared" si="18"/>
        <v>5355.9700000000093</v>
      </c>
      <c r="E257" s="380">
        <f t="shared" si="19"/>
        <v>4724.3800000000128</v>
      </c>
      <c r="F257" s="381"/>
    </row>
    <row r="258" spans="1:6">
      <c r="A258" s="379">
        <v>253</v>
      </c>
      <c r="B258" s="573">
        <f t="shared" si="16"/>
        <v>3359.2599999999802</v>
      </c>
      <c r="C258" s="573">
        <f t="shared" si="17"/>
        <v>3225.8900000000044</v>
      </c>
      <c r="D258" s="573">
        <f t="shared" si="18"/>
        <v>5376.5700000000097</v>
      </c>
      <c r="E258" s="380">
        <f t="shared" si="19"/>
        <v>4742.5500000000129</v>
      </c>
      <c r="F258" s="381"/>
    </row>
    <row r="259" spans="1:6">
      <c r="A259" s="379">
        <v>254</v>
      </c>
      <c r="B259" s="573">
        <f t="shared" si="16"/>
        <v>3372.1299999999801</v>
      </c>
      <c r="C259" s="573">
        <f t="shared" si="17"/>
        <v>3238.2500000000045</v>
      </c>
      <c r="D259" s="573">
        <f t="shared" si="18"/>
        <v>5397.1700000000101</v>
      </c>
      <c r="E259" s="380">
        <f t="shared" si="19"/>
        <v>4760.720000000013</v>
      </c>
      <c r="F259" s="381"/>
    </row>
    <row r="260" spans="1:6">
      <c r="A260" s="379">
        <v>255</v>
      </c>
      <c r="B260" s="573">
        <f t="shared" si="16"/>
        <v>3384.99999999998</v>
      </c>
      <c r="C260" s="573">
        <f t="shared" si="17"/>
        <v>3250.6100000000047</v>
      </c>
      <c r="D260" s="573">
        <f t="shared" si="18"/>
        <v>5417.7700000000104</v>
      </c>
      <c r="E260" s="380">
        <f t="shared" si="19"/>
        <v>4778.8900000000131</v>
      </c>
      <c r="F260" s="381"/>
    </row>
    <row r="261" spans="1:6">
      <c r="A261" s="379">
        <v>256</v>
      </c>
      <c r="B261" s="573">
        <f t="shared" si="16"/>
        <v>3397.8699999999799</v>
      </c>
      <c r="C261" s="573">
        <f t="shared" si="17"/>
        <v>3262.9700000000048</v>
      </c>
      <c r="D261" s="573">
        <f t="shared" si="18"/>
        <v>5438.3700000000108</v>
      </c>
      <c r="E261" s="380">
        <f t="shared" si="19"/>
        <v>4797.0600000000131</v>
      </c>
      <c r="F261" s="381"/>
    </row>
    <row r="262" spans="1:6">
      <c r="A262" s="379">
        <v>257</v>
      </c>
      <c r="B262" s="573">
        <f t="shared" si="16"/>
        <v>3410.7399999999798</v>
      </c>
      <c r="C262" s="573">
        <f t="shared" si="17"/>
        <v>3275.3300000000049</v>
      </c>
      <c r="D262" s="573">
        <f t="shared" si="18"/>
        <v>5458.9700000000112</v>
      </c>
      <c r="E262" s="380">
        <f t="shared" si="19"/>
        <v>4815.2300000000132</v>
      </c>
      <c r="F262" s="381"/>
    </row>
    <row r="263" spans="1:6">
      <c r="A263" s="379">
        <v>258</v>
      </c>
      <c r="B263" s="573">
        <f t="shared" si="16"/>
        <v>3423.6099999999797</v>
      </c>
      <c r="C263" s="573">
        <f t="shared" si="17"/>
        <v>3287.6900000000051</v>
      </c>
      <c r="D263" s="573">
        <f t="shared" si="18"/>
        <v>5479.5700000000115</v>
      </c>
      <c r="E263" s="380">
        <f t="shared" si="19"/>
        <v>4833.4000000000133</v>
      </c>
      <c r="F263" s="381"/>
    </row>
    <row r="264" spans="1:6">
      <c r="A264" s="379">
        <v>259</v>
      </c>
      <c r="B264" s="573">
        <f t="shared" si="16"/>
        <v>3436.4799999999796</v>
      </c>
      <c r="C264" s="573">
        <f t="shared" si="17"/>
        <v>3300.0500000000052</v>
      </c>
      <c r="D264" s="573">
        <f t="shared" si="18"/>
        <v>5500.1700000000119</v>
      </c>
      <c r="E264" s="380">
        <f t="shared" si="19"/>
        <v>4851.5700000000134</v>
      </c>
      <c r="F264" s="381"/>
    </row>
    <row r="265" spans="1:6">
      <c r="A265" s="379">
        <v>260</v>
      </c>
      <c r="B265" s="573">
        <f t="shared" si="16"/>
        <v>3449.3499999999794</v>
      </c>
      <c r="C265" s="573">
        <f t="shared" si="17"/>
        <v>3312.4100000000053</v>
      </c>
      <c r="D265" s="573">
        <f t="shared" si="18"/>
        <v>5520.7700000000123</v>
      </c>
      <c r="E265" s="380">
        <f t="shared" si="19"/>
        <v>4869.7400000000134</v>
      </c>
      <c r="F265" s="381"/>
    </row>
    <row r="266" spans="1:6">
      <c r="A266" s="379">
        <v>261</v>
      </c>
      <c r="B266" s="573">
        <f t="shared" si="16"/>
        <v>3462.2199999999793</v>
      </c>
      <c r="C266" s="573">
        <f t="shared" si="17"/>
        <v>3324.7700000000054</v>
      </c>
      <c r="D266" s="573">
        <f t="shared" si="18"/>
        <v>5541.3700000000126</v>
      </c>
      <c r="E266" s="380">
        <f t="shared" si="19"/>
        <v>4887.9100000000135</v>
      </c>
      <c r="F266" s="381"/>
    </row>
    <row r="267" spans="1:6">
      <c r="A267" s="379">
        <v>262</v>
      </c>
      <c r="B267" s="573">
        <f t="shared" si="16"/>
        <v>3475.0899999999792</v>
      </c>
      <c r="C267" s="573">
        <f t="shared" si="17"/>
        <v>3337.1300000000056</v>
      </c>
      <c r="D267" s="573">
        <f t="shared" si="18"/>
        <v>5561.970000000013</v>
      </c>
      <c r="E267" s="380">
        <f t="shared" si="19"/>
        <v>4906.0800000000136</v>
      </c>
      <c r="F267" s="381"/>
    </row>
    <row r="268" spans="1:6">
      <c r="A268" s="379">
        <v>263</v>
      </c>
      <c r="B268" s="573">
        <f t="shared" si="16"/>
        <v>3487.9599999999791</v>
      </c>
      <c r="C268" s="573">
        <f t="shared" si="17"/>
        <v>3349.4900000000057</v>
      </c>
      <c r="D268" s="573">
        <f t="shared" si="18"/>
        <v>5582.5700000000134</v>
      </c>
      <c r="E268" s="380">
        <f t="shared" si="19"/>
        <v>4924.2500000000136</v>
      </c>
      <c r="F268" s="381"/>
    </row>
    <row r="269" spans="1:6">
      <c r="A269" s="379">
        <v>264</v>
      </c>
      <c r="B269" s="573">
        <f t="shared" si="16"/>
        <v>3500.829999999979</v>
      </c>
      <c r="C269" s="573">
        <f t="shared" si="17"/>
        <v>3361.8500000000058</v>
      </c>
      <c r="D269" s="573">
        <f t="shared" si="18"/>
        <v>5603.1700000000137</v>
      </c>
      <c r="E269" s="380">
        <f t="shared" si="19"/>
        <v>4942.4200000000137</v>
      </c>
      <c r="F269" s="381"/>
    </row>
    <row r="270" spans="1:6">
      <c r="A270" s="379">
        <v>265</v>
      </c>
      <c r="B270" s="573">
        <f t="shared" si="16"/>
        <v>3513.6999999999789</v>
      </c>
      <c r="C270" s="573">
        <f t="shared" si="17"/>
        <v>3374.2100000000059</v>
      </c>
      <c r="D270" s="573">
        <f t="shared" si="18"/>
        <v>5623.7700000000141</v>
      </c>
      <c r="E270" s="380">
        <f t="shared" si="19"/>
        <v>4960.5900000000138</v>
      </c>
      <c r="F270" s="381"/>
    </row>
    <row r="271" spans="1:6">
      <c r="A271" s="379">
        <v>266</v>
      </c>
      <c r="B271" s="573">
        <f t="shared" si="16"/>
        <v>3526.5699999999788</v>
      </c>
      <c r="C271" s="573">
        <f t="shared" si="17"/>
        <v>3386.5700000000061</v>
      </c>
      <c r="D271" s="573">
        <f t="shared" si="18"/>
        <v>5644.3700000000144</v>
      </c>
      <c r="E271" s="380">
        <f t="shared" si="19"/>
        <v>4978.7600000000139</v>
      </c>
      <c r="F271" s="381"/>
    </row>
    <row r="272" spans="1:6">
      <c r="A272" s="379">
        <v>267</v>
      </c>
      <c r="B272" s="573">
        <f t="shared" si="16"/>
        <v>3539.4399999999787</v>
      </c>
      <c r="C272" s="573">
        <f t="shared" si="17"/>
        <v>3398.9300000000062</v>
      </c>
      <c r="D272" s="573">
        <f t="shared" si="18"/>
        <v>5664.9700000000148</v>
      </c>
      <c r="E272" s="380">
        <f t="shared" si="19"/>
        <v>4996.9300000000139</v>
      </c>
      <c r="F272" s="381"/>
    </row>
    <row r="273" spans="1:6">
      <c r="A273" s="379">
        <v>268</v>
      </c>
      <c r="B273" s="573">
        <f t="shared" si="16"/>
        <v>3552.3099999999786</v>
      </c>
      <c r="C273" s="573">
        <f t="shared" si="17"/>
        <v>3411.2900000000063</v>
      </c>
      <c r="D273" s="573">
        <f t="shared" si="18"/>
        <v>5685.5700000000152</v>
      </c>
      <c r="E273" s="380">
        <f t="shared" si="19"/>
        <v>5015.100000000014</v>
      </c>
      <c r="F273" s="381"/>
    </row>
    <row r="274" spans="1:6">
      <c r="A274" s="379">
        <v>269</v>
      </c>
      <c r="B274" s="573">
        <f t="shared" si="16"/>
        <v>3565.1799999999785</v>
      </c>
      <c r="C274" s="573">
        <f t="shared" si="17"/>
        <v>3423.6500000000065</v>
      </c>
      <c r="D274" s="573">
        <f t="shared" si="18"/>
        <v>5706.1700000000155</v>
      </c>
      <c r="E274" s="380">
        <f t="shared" si="19"/>
        <v>5033.2700000000141</v>
      </c>
      <c r="F274" s="381"/>
    </row>
    <row r="275" spans="1:6">
      <c r="A275" s="379">
        <v>270</v>
      </c>
      <c r="B275" s="573">
        <f t="shared" si="16"/>
        <v>3578.0499999999784</v>
      </c>
      <c r="C275" s="573">
        <f t="shared" si="17"/>
        <v>3436.0100000000066</v>
      </c>
      <c r="D275" s="573">
        <f t="shared" si="18"/>
        <v>5726.7700000000159</v>
      </c>
      <c r="E275" s="380">
        <f t="shared" si="19"/>
        <v>5051.4400000000142</v>
      </c>
      <c r="F275" s="381"/>
    </row>
    <row r="276" spans="1:6">
      <c r="A276" s="379">
        <v>271</v>
      </c>
      <c r="B276" s="573">
        <f t="shared" si="16"/>
        <v>3590.9199999999782</v>
      </c>
      <c r="C276" s="573">
        <f t="shared" si="17"/>
        <v>3448.3700000000067</v>
      </c>
      <c r="D276" s="573">
        <f t="shared" si="18"/>
        <v>5747.3700000000163</v>
      </c>
      <c r="E276" s="380">
        <f t="shared" si="19"/>
        <v>5069.6100000000142</v>
      </c>
      <c r="F276" s="381"/>
    </row>
    <row r="277" spans="1:6">
      <c r="A277" s="379">
        <v>272</v>
      </c>
      <c r="B277" s="573">
        <f t="shared" si="16"/>
        <v>3603.7899999999781</v>
      </c>
      <c r="C277" s="573">
        <f t="shared" si="17"/>
        <v>3460.7300000000068</v>
      </c>
      <c r="D277" s="573">
        <f t="shared" si="18"/>
        <v>5767.9700000000166</v>
      </c>
      <c r="E277" s="380">
        <f t="shared" si="19"/>
        <v>5087.7800000000143</v>
      </c>
      <c r="F277" s="381"/>
    </row>
    <row r="278" spans="1:6">
      <c r="A278" s="379">
        <v>273</v>
      </c>
      <c r="B278" s="573">
        <f t="shared" si="16"/>
        <v>3616.659999999978</v>
      </c>
      <c r="C278" s="573">
        <f t="shared" si="17"/>
        <v>3473.090000000007</v>
      </c>
      <c r="D278" s="573">
        <f t="shared" si="18"/>
        <v>5788.570000000017</v>
      </c>
      <c r="E278" s="380">
        <f t="shared" si="19"/>
        <v>5105.9500000000144</v>
      </c>
      <c r="F278" s="381"/>
    </row>
    <row r="279" spans="1:6">
      <c r="A279" s="379">
        <v>274</v>
      </c>
      <c r="B279" s="573">
        <f t="shared" si="16"/>
        <v>3629.5299999999779</v>
      </c>
      <c r="C279" s="573">
        <f t="shared" si="17"/>
        <v>3485.4500000000071</v>
      </c>
      <c r="D279" s="573">
        <f t="shared" si="18"/>
        <v>5809.1700000000174</v>
      </c>
      <c r="E279" s="380">
        <f t="shared" si="19"/>
        <v>5124.1200000000144</v>
      </c>
      <c r="F279" s="381"/>
    </row>
    <row r="280" spans="1:6">
      <c r="A280" s="379">
        <v>275</v>
      </c>
      <c r="B280" s="573">
        <f t="shared" si="16"/>
        <v>3642.3999999999778</v>
      </c>
      <c r="C280" s="573">
        <f t="shared" si="17"/>
        <v>3497.8100000000072</v>
      </c>
      <c r="D280" s="573">
        <f t="shared" si="18"/>
        <v>5829.7700000000177</v>
      </c>
      <c r="E280" s="380">
        <f t="shared" si="19"/>
        <v>5142.2900000000145</v>
      </c>
      <c r="F280" s="381"/>
    </row>
    <row r="281" spans="1:6">
      <c r="A281" s="379">
        <v>276</v>
      </c>
      <c r="B281" s="573">
        <f t="shared" si="16"/>
        <v>3655.2699999999777</v>
      </c>
      <c r="C281" s="573">
        <f t="shared" si="17"/>
        <v>3510.1700000000073</v>
      </c>
      <c r="D281" s="573">
        <f t="shared" si="18"/>
        <v>5850.3700000000181</v>
      </c>
      <c r="E281" s="380">
        <f t="shared" si="19"/>
        <v>5160.4600000000146</v>
      </c>
      <c r="F281" s="381"/>
    </row>
    <row r="282" spans="1:6">
      <c r="A282" s="379">
        <v>277</v>
      </c>
      <c r="B282" s="573">
        <f t="shared" si="16"/>
        <v>3668.1399999999776</v>
      </c>
      <c r="C282" s="573">
        <f t="shared" si="17"/>
        <v>3522.5300000000075</v>
      </c>
      <c r="D282" s="573">
        <f t="shared" si="18"/>
        <v>5870.9700000000184</v>
      </c>
      <c r="E282" s="380">
        <f t="shared" si="19"/>
        <v>5178.6300000000147</v>
      </c>
      <c r="F282" s="381"/>
    </row>
    <row r="283" spans="1:6">
      <c r="A283" s="379">
        <v>278</v>
      </c>
      <c r="B283" s="573">
        <f t="shared" si="16"/>
        <v>3681.0099999999775</v>
      </c>
      <c r="C283" s="573">
        <f t="shared" si="17"/>
        <v>3534.8900000000076</v>
      </c>
      <c r="D283" s="573">
        <f t="shared" si="18"/>
        <v>5891.5700000000188</v>
      </c>
      <c r="E283" s="380">
        <f t="shared" si="19"/>
        <v>5196.8000000000147</v>
      </c>
      <c r="F283" s="381"/>
    </row>
    <row r="284" spans="1:6">
      <c r="A284" s="379">
        <v>279</v>
      </c>
      <c r="B284" s="573">
        <f t="shared" si="16"/>
        <v>3693.8799999999774</v>
      </c>
      <c r="C284" s="573">
        <f t="shared" si="17"/>
        <v>3547.2500000000077</v>
      </c>
      <c r="D284" s="573">
        <f t="shared" si="18"/>
        <v>5912.1700000000192</v>
      </c>
      <c r="E284" s="380">
        <f t="shared" si="19"/>
        <v>5214.9700000000148</v>
      </c>
      <c r="F284" s="381"/>
    </row>
    <row r="285" spans="1:6">
      <c r="A285" s="379">
        <v>280</v>
      </c>
      <c r="B285" s="573">
        <f t="shared" si="16"/>
        <v>3706.7499999999773</v>
      </c>
      <c r="C285" s="573">
        <f t="shared" si="17"/>
        <v>3559.6100000000079</v>
      </c>
      <c r="D285" s="573">
        <f t="shared" si="18"/>
        <v>5932.7700000000195</v>
      </c>
      <c r="E285" s="380">
        <f t="shared" si="19"/>
        <v>5233.1400000000149</v>
      </c>
      <c r="F285" s="381"/>
    </row>
    <row r="286" spans="1:6">
      <c r="A286" s="379">
        <v>281</v>
      </c>
      <c r="B286" s="573">
        <f t="shared" si="16"/>
        <v>3719.6199999999772</v>
      </c>
      <c r="C286" s="573">
        <f t="shared" si="17"/>
        <v>3571.970000000008</v>
      </c>
      <c r="D286" s="573">
        <f t="shared" si="18"/>
        <v>5953.3700000000199</v>
      </c>
      <c r="E286" s="380">
        <f t="shared" si="19"/>
        <v>5251.310000000015</v>
      </c>
      <c r="F286" s="381"/>
    </row>
    <row r="287" spans="1:6">
      <c r="A287" s="379">
        <v>282</v>
      </c>
      <c r="B287" s="573">
        <f t="shared" si="16"/>
        <v>3732.489999999977</v>
      </c>
      <c r="C287" s="573">
        <f t="shared" si="17"/>
        <v>3584.3300000000081</v>
      </c>
      <c r="D287" s="573">
        <f t="shared" si="18"/>
        <v>5973.9700000000203</v>
      </c>
      <c r="E287" s="380">
        <f t="shared" si="19"/>
        <v>5269.480000000015</v>
      </c>
      <c r="F287" s="381"/>
    </row>
    <row r="288" spans="1:6">
      <c r="A288" s="379">
        <v>283</v>
      </c>
      <c r="B288" s="573">
        <f t="shared" si="16"/>
        <v>3745.3599999999769</v>
      </c>
      <c r="C288" s="573">
        <f t="shared" si="17"/>
        <v>3596.6900000000082</v>
      </c>
      <c r="D288" s="573">
        <f t="shared" si="18"/>
        <v>5994.5700000000206</v>
      </c>
      <c r="E288" s="380">
        <f t="shared" si="19"/>
        <v>5287.6500000000151</v>
      </c>
      <c r="F288" s="381"/>
    </row>
    <row r="289" spans="1:6">
      <c r="A289" s="379">
        <v>284</v>
      </c>
      <c r="B289" s="573">
        <f t="shared" si="16"/>
        <v>3758.2299999999768</v>
      </c>
      <c r="C289" s="573">
        <f t="shared" si="17"/>
        <v>3609.0500000000084</v>
      </c>
      <c r="D289" s="573">
        <f t="shared" si="18"/>
        <v>6015.170000000021</v>
      </c>
      <c r="E289" s="380">
        <f t="shared" si="19"/>
        <v>5305.8200000000152</v>
      </c>
      <c r="F289" s="381"/>
    </row>
    <row r="290" spans="1:6">
      <c r="A290" s="379">
        <v>285</v>
      </c>
      <c r="B290" s="573">
        <f t="shared" si="16"/>
        <v>3771.0999999999767</v>
      </c>
      <c r="C290" s="573">
        <f t="shared" si="17"/>
        <v>3621.4100000000085</v>
      </c>
      <c r="D290" s="573">
        <f t="shared" si="18"/>
        <v>6035.7700000000214</v>
      </c>
      <c r="E290" s="380">
        <f t="shared" si="19"/>
        <v>5323.9900000000152</v>
      </c>
      <c r="F290" s="381"/>
    </row>
    <row r="291" spans="1:6">
      <c r="A291" s="379">
        <v>286</v>
      </c>
      <c r="B291" s="573">
        <f t="shared" si="16"/>
        <v>3783.9699999999766</v>
      </c>
      <c r="C291" s="573">
        <f t="shared" si="17"/>
        <v>3633.7700000000086</v>
      </c>
      <c r="D291" s="573">
        <f t="shared" si="18"/>
        <v>6056.3700000000217</v>
      </c>
      <c r="E291" s="380">
        <f t="shared" si="19"/>
        <v>5342.1600000000153</v>
      </c>
      <c r="F291" s="381"/>
    </row>
    <row r="292" spans="1:6">
      <c r="A292" s="379">
        <v>287</v>
      </c>
      <c r="B292" s="573">
        <f t="shared" si="16"/>
        <v>3796.8399999999765</v>
      </c>
      <c r="C292" s="573">
        <f t="shared" si="17"/>
        <v>3646.1300000000087</v>
      </c>
      <c r="D292" s="573">
        <f t="shared" si="18"/>
        <v>6076.9700000000221</v>
      </c>
      <c r="E292" s="380">
        <f t="shared" si="19"/>
        <v>5360.3300000000154</v>
      </c>
      <c r="F292" s="381"/>
    </row>
    <row r="293" spans="1:6">
      <c r="A293" s="379">
        <v>288</v>
      </c>
      <c r="B293" s="573">
        <f t="shared" ref="B293:B305" si="20">B292+12.87</f>
        <v>3809.7099999999764</v>
      </c>
      <c r="C293" s="573">
        <f t="shared" ref="C293:C305" si="21">C292+12.36</f>
        <v>3658.4900000000089</v>
      </c>
      <c r="D293" s="573">
        <f t="shared" ref="D293:D305" si="22">D292+20.6</f>
        <v>6097.5700000000224</v>
      </c>
      <c r="E293" s="380">
        <f t="shared" ref="E293:E305" si="23">E292+18.17</f>
        <v>5378.5000000000155</v>
      </c>
      <c r="F293" s="381"/>
    </row>
    <row r="294" spans="1:6">
      <c r="A294" s="379">
        <v>289</v>
      </c>
      <c r="B294" s="573">
        <f t="shared" si="20"/>
        <v>3822.5799999999763</v>
      </c>
      <c r="C294" s="573">
        <f t="shared" si="21"/>
        <v>3670.850000000009</v>
      </c>
      <c r="D294" s="573">
        <f t="shared" si="22"/>
        <v>6118.1700000000228</v>
      </c>
      <c r="E294" s="380">
        <f t="shared" si="23"/>
        <v>5396.6700000000155</v>
      </c>
      <c r="F294" s="381"/>
    </row>
    <row r="295" spans="1:6">
      <c r="A295" s="379">
        <v>290</v>
      </c>
      <c r="B295" s="573">
        <f t="shared" si="20"/>
        <v>3835.4499999999762</v>
      </c>
      <c r="C295" s="573">
        <f t="shared" si="21"/>
        <v>3683.2100000000091</v>
      </c>
      <c r="D295" s="573">
        <f t="shared" si="22"/>
        <v>6138.7700000000232</v>
      </c>
      <c r="E295" s="380">
        <f t="shared" si="23"/>
        <v>5414.8400000000156</v>
      </c>
      <c r="F295" s="381"/>
    </row>
    <row r="296" spans="1:6">
      <c r="A296" s="379">
        <v>291</v>
      </c>
      <c r="B296" s="573">
        <f t="shared" si="20"/>
        <v>3848.3199999999761</v>
      </c>
      <c r="C296" s="573">
        <f t="shared" si="21"/>
        <v>3695.5700000000093</v>
      </c>
      <c r="D296" s="573">
        <f t="shared" si="22"/>
        <v>6159.3700000000235</v>
      </c>
      <c r="E296" s="380">
        <f t="shared" si="23"/>
        <v>5433.0100000000157</v>
      </c>
      <c r="F296" s="381"/>
    </row>
    <row r="297" spans="1:6">
      <c r="A297" s="379">
        <v>292</v>
      </c>
      <c r="B297" s="573">
        <f t="shared" si="20"/>
        <v>3861.189999999976</v>
      </c>
      <c r="C297" s="573">
        <f t="shared" si="21"/>
        <v>3707.9300000000094</v>
      </c>
      <c r="D297" s="573">
        <f t="shared" si="22"/>
        <v>6179.9700000000239</v>
      </c>
      <c r="E297" s="380">
        <f t="shared" si="23"/>
        <v>5451.1800000000158</v>
      </c>
      <c r="F297" s="381"/>
    </row>
    <row r="298" spans="1:6">
      <c r="A298" s="379">
        <v>293</v>
      </c>
      <c r="B298" s="573">
        <f t="shared" si="20"/>
        <v>3874.0599999999758</v>
      </c>
      <c r="C298" s="573">
        <f t="shared" si="21"/>
        <v>3720.2900000000095</v>
      </c>
      <c r="D298" s="573">
        <f t="shared" si="22"/>
        <v>6200.5700000000243</v>
      </c>
      <c r="E298" s="380">
        <f t="shared" si="23"/>
        <v>5469.3500000000158</v>
      </c>
      <c r="F298" s="381"/>
    </row>
    <row r="299" spans="1:6">
      <c r="A299" s="379">
        <v>294</v>
      </c>
      <c r="B299" s="573">
        <f t="shared" si="20"/>
        <v>3886.9299999999757</v>
      </c>
      <c r="C299" s="573">
        <f t="shared" si="21"/>
        <v>3732.6500000000096</v>
      </c>
      <c r="D299" s="573">
        <f t="shared" si="22"/>
        <v>6221.1700000000246</v>
      </c>
      <c r="E299" s="380">
        <f t="shared" si="23"/>
        <v>5487.5200000000159</v>
      </c>
      <c r="F299" s="381"/>
    </row>
    <row r="300" spans="1:6">
      <c r="A300" s="379">
        <v>295</v>
      </c>
      <c r="B300" s="573">
        <f t="shared" si="20"/>
        <v>3899.7999999999756</v>
      </c>
      <c r="C300" s="573">
        <f t="shared" si="21"/>
        <v>3745.0100000000098</v>
      </c>
      <c r="D300" s="573">
        <f t="shared" si="22"/>
        <v>6241.770000000025</v>
      </c>
      <c r="E300" s="380">
        <f t="shared" si="23"/>
        <v>5505.690000000016</v>
      </c>
      <c r="F300" s="381"/>
    </row>
    <row r="301" spans="1:6">
      <c r="A301" s="379">
        <v>296</v>
      </c>
      <c r="B301" s="573">
        <f t="shared" si="20"/>
        <v>3912.6699999999755</v>
      </c>
      <c r="C301" s="573">
        <f t="shared" si="21"/>
        <v>3757.3700000000099</v>
      </c>
      <c r="D301" s="573">
        <f t="shared" si="22"/>
        <v>6262.3700000000254</v>
      </c>
      <c r="E301" s="380">
        <f t="shared" si="23"/>
        <v>5523.860000000016</v>
      </c>
      <c r="F301" s="381"/>
    </row>
    <row r="302" spans="1:6">
      <c r="A302" s="379">
        <v>297</v>
      </c>
      <c r="B302" s="573">
        <f t="shared" si="20"/>
        <v>3925.5399999999754</v>
      </c>
      <c r="C302" s="573">
        <f t="shared" si="21"/>
        <v>3769.73000000001</v>
      </c>
      <c r="D302" s="573">
        <f t="shared" si="22"/>
        <v>6282.9700000000257</v>
      </c>
      <c r="E302" s="380">
        <f t="shared" si="23"/>
        <v>5542.0300000000161</v>
      </c>
      <c r="F302" s="381"/>
    </row>
    <row r="303" spans="1:6">
      <c r="A303" s="379">
        <v>298</v>
      </c>
      <c r="B303" s="573">
        <f t="shared" si="20"/>
        <v>3938.4099999999753</v>
      </c>
      <c r="C303" s="573">
        <f t="shared" si="21"/>
        <v>3782.0900000000101</v>
      </c>
      <c r="D303" s="573">
        <f t="shared" si="22"/>
        <v>6303.5700000000261</v>
      </c>
      <c r="E303" s="380">
        <f t="shared" si="23"/>
        <v>5560.2000000000162</v>
      </c>
      <c r="F303" s="381"/>
    </row>
    <row r="304" spans="1:6">
      <c r="A304" s="379">
        <v>299</v>
      </c>
      <c r="B304" s="573">
        <f t="shared" si="20"/>
        <v>3951.2799999999752</v>
      </c>
      <c r="C304" s="573">
        <f t="shared" si="21"/>
        <v>3794.4500000000103</v>
      </c>
      <c r="D304" s="573">
        <f t="shared" si="22"/>
        <v>6324.1700000000264</v>
      </c>
      <c r="E304" s="380">
        <f t="shared" si="23"/>
        <v>5578.3700000000163</v>
      </c>
      <c r="F304" s="381"/>
    </row>
    <row r="305" spans="1:6">
      <c r="A305" s="379">
        <v>300</v>
      </c>
      <c r="B305" s="573">
        <f t="shared" si="20"/>
        <v>3964.1499999999751</v>
      </c>
      <c r="C305" s="573">
        <f t="shared" si="21"/>
        <v>3806.8100000000104</v>
      </c>
      <c r="D305" s="573">
        <f t="shared" si="22"/>
        <v>6344.7700000000268</v>
      </c>
      <c r="E305" s="380">
        <f t="shared" si="23"/>
        <v>5596.5400000000163</v>
      </c>
      <c r="F305" s="381"/>
    </row>
  </sheetData>
  <mergeCells count="3">
    <mergeCell ref="A1:F1"/>
    <mergeCell ref="B2:D2"/>
    <mergeCell ref="A3:A4"/>
  </mergeCells>
  <pageMargins left="1.04" right="0.7" top="0.32" bottom="0.4" header="0.3" footer="0.3"/>
  <pageSetup paperSize="9" orientation="portrait" verticalDpi="0" r:id="rId1"/>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sheetPr>
    <tabColor rgb="FF00B0F0"/>
  </sheetPr>
  <dimension ref="A1:X371"/>
  <sheetViews>
    <sheetView showZeros="0" view="pageBreakPreview" topLeftCell="A232" zoomScale="115" zoomScaleSheetLayoutView="115" workbookViewId="0">
      <selection activeCell="B267" sqref="B267"/>
    </sheetView>
  </sheetViews>
  <sheetFormatPr defaultRowHeight="12.75"/>
  <cols>
    <col min="1" max="1" width="5.140625" style="137" customWidth="1"/>
    <col min="2" max="2" width="42.42578125" style="137" customWidth="1"/>
    <col min="3" max="3" width="8.28515625" style="254" customWidth="1"/>
    <col min="4" max="4" width="5.140625" style="133" customWidth="1"/>
    <col min="5" max="5" width="9" style="137" customWidth="1"/>
    <col min="6" max="6" width="12.28515625" style="137" customWidth="1"/>
    <col min="7" max="7" width="8.140625" style="132" customWidth="1"/>
    <col min="8" max="8" width="4.7109375" style="133" customWidth="1"/>
    <col min="9" max="9" width="9.42578125" style="137" bestFit="1" customWidth="1"/>
    <col min="10" max="10" width="10.42578125" style="137" customWidth="1"/>
    <col min="11" max="12" width="11" style="134" customWidth="1"/>
    <col min="13" max="13" width="7.85546875" style="137" customWidth="1"/>
    <col min="14" max="14" width="9.28515625" style="137" bestFit="1" customWidth="1"/>
    <col min="15" max="16" width="10.42578125" style="137" bestFit="1" customWidth="1"/>
    <col min="17" max="16384" width="9.140625" style="137"/>
  </cols>
  <sheetData>
    <row r="1" spans="1:24" ht="19.5" customHeight="1">
      <c r="A1" s="1017" t="s">
        <v>442</v>
      </c>
      <c r="B1" s="1018"/>
      <c r="C1" s="1018"/>
      <c r="D1" s="1018"/>
      <c r="E1" s="1018"/>
      <c r="F1" s="1018"/>
      <c r="G1" s="1018"/>
      <c r="H1" s="1018"/>
      <c r="I1" s="1018"/>
      <c r="J1" s="1018"/>
      <c r="K1" s="1018"/>
      <c r="L1" s="1019"/>
      <c r="M1" s="1019"/>
    </row>
    <row r="2" spans="1:24" ht="36.75" customHeight="1">
      <c r="A2" s="1020" t="str">
        <f>'lead 25-26'!B2&amp;'lead 25-26'!C2</f>
        <v>Name of the Work: Construction of Community Hall at Chakirala village and  GP of Kanigiri  Mandal.</v>
      </c>
      <c r="B2" s="1020"/>
      <c r="C2" s="1020"/>
      <c r="D2" s="1020"/>
      <c r="E2" s="1020"/>
      <c r="F2" s="1020"/>
      <c r="G2" s="1020"/>
      <c r="H2" s="1020"/>
      <c r="I2" s="1020"/>
      <c r="J2" s="1020"/>
      <c r="K2" s="1020"/>
      <c r="L2" s="1020"/>
      <c r="M2" s="1020"/>
    </row>
    <row r="3" spans="1:24">
      <c r="A3" s="347"/>
      <c r="B3" s="348"/>
      <c r="C3" s="349"/>
      <c r="D3" s="350"/>
      <c r="E3" s="351"/>
      <c r="F3" s="348"/>
      <c r="G3" s="352"/>
      <c r="H3" s="350"/>
      <c r="I3" s="351"/>
      <c r="J3" s="348" t="s">
        <v>443</v>
      </c>
      <c r="K3" s="1021" t="str">
        <f>'lead 25-26'!K4</f>
        <v>20.00 Lakhs</v>
      </c>
      <c r="L3" s="1022"/>
      <c r="M3" s="1022"/>
    </row>
    <row r="4" spans="1:24" ht="19.5" customHeight="1">
      <c r="A4" s="1023" t="s">
        <v>266</v>
      </c>
      <c r="B4" s="1023" t="s">
        <v>7</v>
      </c>
      <c r="C4" s="1023" t="s">
        <v>1909</v>
      </c>
      <c r="D4" s="1023"/>
      <c r="E4" s="1024"/>
      <c r="F4" s="1024"/>
      <c r="G4" s="1023" t="s">
        <v>559</v>
      </c>
      <c r="H4" s="1023"/>
      <c r="I4" s="1024"/>
      <c r="J4" s="1024"/>
      <c r="K4" s="1023" t="s">
        <v>444</v>
      </c>
      <c r="L4" s="1024"/>
      <c r="M4" s="1023" t="s">
        <v>445</v>
      </c>
    </row>
    <row r="5" spans="1:24" ht="15.75" customHeight="1">
      <c r="A5" s="1023"/>
      <c r="B5" s="1023"/>
      <c r="C5" s="1023" t="s">
        <v>446</v>
      </c>
      <c r="D5" s="1023"/>
      <c r="E5" s="411" t="s">
        <v>447</v>
      </c>
      <c r="F5" s="411" t="s">
        <v>10</v>
      </c>
      <c r="G5" s="1023" t="s">
        <v>446</v>
      </c>
      <c r="H5" s="1023"/>
      <c r="I5" s="411" t="s">
        <v>447</v>
      </c>
      <c r="J5" s="411" t="s">
        <v>10</v>
      </c>
      <c r="K5" s="411" t="s">
        <v>448</v>
      </c>
      <c r="L5" s="411" t="s">
        <v>449</v>
      </c>
      <c r="M5" s="1023"/>
    </row>
    <row r="6" spans="1:24" ht="16.5" customHeight="1">
      <c r="A6" s="411" t="s">
        <v>450</v>
      </c>
      <c r="B6" s="411" t="s">
        <v>451</v>
      </c>
      <c r="C6" s="1023" t="s">
        <v>452</v>
      </c>
      <c r="D6" s="1023"/>
      <c r="E6" s="411" t="s">
        <v>453</v>
      </c>
      <c r="F6" s="411" t="s">
        <v>454</v>
      </c>
      <c r="G6" s="1023" t="s">
        <v>455</v>
      </c>
      <c r="H6" s="1023"/>
      <c r="I6" s="411" t="s">
        <v>456</v>
      </c>
      <c r="J6" s="411" t="s">
        <v>457</v>
      </c>
      <c r="K6" s="411" t="s">
        <v>458</v>
      </c>
      <c r="L6" s="411" t="s">
        <v>320</v>
      </c>
      <c r="M6" s="411" t="s">
        <v>459</v>
      </c>
    </row>
    <row r="7" spans="1:24" s="117" customFormat="1" ht="20.25" hidden="1" customHeight="1">
      <c r="A7" s="112"/>
      <c r="B7" s="113" t="s">
        <v>460</v>
      </c>
      <c r="C7" s="214"/>
      <c r="D7" s="263"/>
      <c r="E7" s="115"/>
      <c r="F7" s="256"/>
      <c r="G7" s="119"/>
      <c r="H7" s="257"/>
      <c r="I7" s="123"/>
      <c r="J7" s="256"/>
      <c r="K7" s="116">
        <f t="shared" ref="K7" si="0">IF(J7&gt;F7,J7-F7,0)</f>
        <v>0</v>
      </c>
      <c r="L7" s="116">
        <f t="shared" ref="L7" si="1">IF(J7&lt;F7,F7-J7,0)</f>
        <v>0</v>
      </c>
      <c r="M7" s="112" t="s">
        <v>15</v>
      </c>
      <c r="N7" s="256">
        <f t="shared" ref="N7:N8" si="2">E7-I7</f>
        <v>0</v>
      </c>
    </row>
    <row r="8" spans="1:24" s="117" customFormat="1" ht="20.25" hidden="1" customHeight="1">
      <c r="A8" s="112" t="s">
        <v>450</v>
      </c>
      <c r="B8" s="118" t="s">
        <v>527</v>
      </c>
      <c r="C8" s="414"/>
      <c r="D8" s="415" t="s">
        <v>102</v>
      </c>
      <c r="E8" s="329">
        <v>6.06</v>
      </c>
      <c r="F8" s="18">
        <f t="shared" ref="F8:F12" si="3">ROUND(C8*E8,0)</f>
        <v>0</v>
      </c>
      <c r="G8" s="119">
        <f>ESTIMATE!I12</f>
        <v>0</v>
      </c>
      <c r="H8" s="114" t="s">
        <v>102</v>
      </c>
      <c r="I8" s="138">
        <f>ESTIMATE!K12</f>
        <v>6.06</v>
      </c>
      <c r="J8" s="18">
        <f>ROUND(G8*I8,0)</f>
        <v>0</v>
      </c>
      <c r="K8" s="116">
        <f t="shared" ref="K8" si="4">IF(J8&gt;F8,J8-F8,0)</f>
        <v>0</v>
      </c>
      <c r="L8" s="116">
        <f t="shared" ref="L8" si="5">IF(J8&lt;F8,F8-J8,0)</f>
        <v>0</v>
      </c>
      <c r="M8" s="112" t="s">
        <v>15</v>
      </c>
      <c r="N8" s="256">
        <f t="shared" si="2"/>
        <v>0</v>
      </c>
      <c r="S8" s="117">
        <v>157</v>
      </c>
      <c r="U8" s="215">
        <f>J8-S8</f>
        <v>-157</v>
      </c>
      <c r="W8" s="117">
        <v>23.72</v>
      </c>
      <c r="X8" s="215">
        <f>G8-W8</f>
        <v>-23.72</v>
      </c>
    </row>
    <row r="9" spans="1:24" s="117" customFormat="1" ht="20.25" hidden="1" customHeight="1">
      <c r="A9" s="112" t="s">
        <v>451</v>
      </c>
      <c r="B9" s="118" t="s">
        <v>461</v>
      </c>
      <c r="C9" s="414"/>
      <c r="D9" s="415" t="s">
        <v>5</v>
      </c>
      <c r="E9" s="329">
        <v>144.26</v>
      </c>
      <c r="F9" s="18">
        <f t="shared" si="3"/>
        <v>0</v>
      </c>
      <c r="G9" s="119">
        <f>ESTIMATE!I19</f>
        <v>32.590000000000003</v>
      </c>
      <c r="H9" s="114" t="s">
        <v>5</v>
      </c>
      <c r="I9" s="138">
        <f>ESTIMATE!K19</f>
        <v>254.34</v>
      </c>
      <c r="J9" s="18">
        <f t="shared" ref="J9:J100" si="6">ROUND(G9*I9,0)</f>
        <v>8289</v>
      </c>
      <c r="K9" s="116">
        <f t="shared" ref="K9:K72" si="7">IF(J9&gt;F9,J9-F9,0)</f>
        <v>8289</v>
      </c>
      <c r="L9" s="116">
        <f t="shared" ref="L9:L72" si="8">IF(J9&lt;F9,F9-J9,0)</f>
        <v>0</v>
      </c>
      <c r="M9" s="112" t="s">
        <v>15</v>
      </c>
      <c r="N9" s="256">
        <f t="shared" ref="N9:N72" si="9">E9-I9</f>
        <v>-110.08000000000001</v>
      </c>
      <c r="S9" s="117">
        <v>12298</v>
      </c>
      <c r="U9" s="215">
        <f t="shared" ref="U9:U90" si="10">J9-S9</f>
        <v>-4009</v>
      </c>
      <c r="W9" s="117">
        <v>98.86</v>
      </c>
      <c r="X9" s="215">
        <f t="shared" ref="X9:X90" si="11">G9-W9</f>
        <v>-66.27</v>
      </c>
    </row>
    <row r="10" spans="1:24" s="117" customFormat="1" ht="20.25" hidden="1" customHeight="1">
      <c r="A10" s="112" t="s">
        <v>452</v>
      </c>
      <c r="B10" s="118" t="s">
        <v>528</v>
      </c>
      <c r="C10" s="414"/>
      <c r="D10" s="415" t="s">
        <v>5</v>
      </c>
      <c r="E10" s="329">
        <v>4509.22</v>
      </c>
      <c r="F10" s="18">
        <f t="shared" si="3"/>
        <v>0</v>
      </c>
      <c r="G10" s="119">
        <f>ESTIMATE!I29</f>
        <v>10.809999999999999</v>
      </c>
      <c r="H10" s="114" t="s">
        <v>5</v>
      </c>
      <c r="I10" s="138">
        <f>ESTIMATE!K29</f>
        <v>5190.92</v>
      </c>
      <c r="J10" s="18">
        <f t="shared" si="6"/>
        <v>56114</v>
      </c>
      <c r="K10" s="116">
        <f t="shared" si="7"/>
        <v>56114</v>
      </c>
      <c r="L10" s="116">
        <f t="shared" si="8"/>
        <v>0</v>
      </c>
      <c r="M10" s="112" t="s">
        <v>15</v>
      </c>
      <c r="N10" s="256">
        <f t="shared" si="9"/>
        <v>-681.69999999999982</v>
      </c>
      <c r="S10" s="117">
        <v>100538</v>
      </c>
      <c r="U10" s="215">
        <f t="shared" si="10"/>
        <v>-44424</v>
      </c>
      <c r="W10" s="117">
        <v>26.909999999999997</v>
      </c>
      <c r="X10" s="215">
        <f t="shared" si="11"/>
        <v>-16.099999999999998</v>
      </c>
    </row>
    <row r="11" spans="1:24" s="117" customFormat="1" ht="20.25" hidden="1" customHeight="1">
      <c r="A11" s="112" t="s">
        <v>453</v>
      </c>
      <c r="B11" s="118" t="s">
        <v>529</v>
      </c>
      <c r="C11" s="414"/>
      <c r="D11" s="415" t="s">
        <v>5</v>
      </c>
      <c r="E11" s="329">
        <v>4389.9900000000007</v>
      </c>
      <c r="F11" s="18">
        <f t="shared" si="3"/>
        <v>0</v>
      </c>
      <c r="G11" s="119">
        <f>ESTIMATE!I40</f>
        <v>0</v>
      </c>
      <c r="H11" s="114" t="s">
        <v>5</v>
      </c>
      <c r="I11" s="138">
        <f>ESTIMATE!K40</f>
        <v>4432.18</v>
      </c>
      <c r="J11" s="18">
        <f t="shared" si="6"/>
        <v>0</v>
      </c>
      <c r="K11" s="116">
        <f t="shared" si="7"/>
        <v>0</v>
      </c>
      <c r="L11" s="116">
        <f t="shared" si="8"/>
        <v>0</v>
      </c>
      <c r="M11" s="112" t="s">
        <v>15</v>
      </c>
      <c r="N11" s="256">
        <f t="shared" si="9"/>
        <v>-42.1899999999996</v>
      </c>
      <c r="S11" s="117">
        <v>0</v>
      </c>
      <c r="U11" s="215">
        <f t="shared" si="10"/>
        <v>0</v>
      </c>
      <c r="W11" s="117">
        <v>0</v>
      </c>
      <c r="X11" s="215">
        <f t="shared" si="11"/>
        <v>0</v>
      </c>
    </row>
    <row r="12" spans="1:24" s="117" customFormat="1" ht="20.25" hidden="1" customHeight="1">
      <c r="A12" s="112" t="s">
        <v>454</v>
      </c>
      <c r="B12" s="118" t="s">
        <v>993</v>
      </c>
      <c r="C12" s="414"/>
      <c r="D12" s="415" t="s">
        <v>5</v>
      </c>
      <c r="E12" s="329">
        <v>357.6</v>
      </c>
      <c r="F12" s="18">
        <f t="shared" si="3"/>
        <v>0</v>
      </c>
      <c r="G12" s="119">
        <f>ESTIMATE!I46</f>
        <v>45.04</v>
      </c>
      <c r="H12" s="114" t="s">
        <v>5</v>
      </c>
      <c r="I12" s="138">
        <f>ESTIMATE!K46</f>
        <v>317.87</v>
      </c>
      <c r="J12" s="18">
        <f t="shared" si="6"/>
        <v>14317</v>
      </c>
      <c r="K12" s="116">
        <f t="shared" si="7"/>
        <v>14317</v>
      </c>
      <c r="L12" s="116">
        <f t="shared" si="8"/>
        <v>0</v>
      </c>
      <c r="M12" s="112" t="s">
        <v>15</v>
      </c>
      <c r="N12" s="256">
        <f t="shared" si="9"/>
        <v>39.730000000000018</v>
      </c>
      <c r="S12" s="117">
        <v>0</v>
      </c>
      <c r="U12" s="215">
        <f t="shared" si="10"/>
        <v>14317</v>
      </c>
      <c r="W12" s="117">
        <v>0</v>
      </c>
      <c r="X12" s="215">
        <f t="shared" si="11"/>
        <v>45.04</v>
      </c>
    </row>
    <row r="13" spans="1:24" s="117" customFormat="1" ht="20.25" hidden="1" customHeight="1">
      <c r="A13" s="112" t="s">
        <v>454</v>
      </c>
      <c r="B13" s="118" t="s">
        <v>709</v>
      </c>
      <c r="C13" s="253"/>
      <c r="D13" s="263"/>
      <c r="E13" s="138"/>
      <c r="F13" s="18"/>
      <c r="G13" s="119">
        <f>ESTIMATE!I56</f>
        <v>0</v>
      </c>
      <c r="H13" s="114" t="s">
        <v>5</v>
      </c>
      <c r="I13" s="138">
        <f>ESTIMATE!K56</f>
        <v>473.15</v>
      </c>
      <c r="J13" s="18">
        <f t="shared" si="6"/>
        <v>0</v>
      </c>
      <c r="K13" s="116">
        <f t="shared" si="7"/>
        <v>0</v>
      </c>
      <c r="L13" s="116">
        <f t="shared" si="8"/>
        <v>0</v>
      </c>
      <c r="M13" s="112" t="s">
        <v>15</v>
      </c>
      <c r="N13" s="256">
        <f t="shared" si="9"/>
        <v>-473.15</v>
      </c>
      <c r="S13" s="117">
        <v>0</v>
      </c>
      <c r="U13" s="215">
        <f t="shared" si="10"/>
        <v>0</v>
      </c>
      <c r="W13" s="117">
        <v>0</v>
      </c>
      <c r="X13" s="215">
        <f t="shared" si="11"/>
        <v>0</v>
      </c>
    </row>
    <row r="14" spans="1:24" s="117" customFormat="1" ht="20.25" hidden="1" customHeight="1">
      <c r="A14" s="112" t="s">
        <v>455</v>
      </c>
      <c r="B14" s="118" t="s">
        <v>695</v>
      </c>
      <c r="C14" s="414"/>
      <c r="D14" s="415" t="s">
        <v>5</v>
      </c>
      <c r="E14" s="329">
        <v>710.59999999999991</v>
      </c>
      <c r="F14" s="18">
        <f t="shared" ref="F14:F22" si="12">ROUND(C14*E14,0)</f>
        <v>0</v>
      </c>
      <c r="G14" s="119">
        <f>ESTIMATE!I62</f>
        <v>0</v>
      </c>
      <c r="H14" s="114" t="s">
        <v>5</v>
      </c>
      <c r="I14" s="138">
        <f>ESTIMATE!K62</f>
        <v>134.78</v>
      </c>
      <c r="J14" s="18">
        <f t="shared" ref="J14" si="13">ROUND(G14*I14,0)</f>
        <v>0</v>
      </c>
      <c r="K14" s="116">
        <f t="shared" si="7"/>
        <v>0</v>
      </c>
      <c r="L14" s="116">
        <f t="shared" si="8"/>
        <v>0</v>
      </c>
      <c r="M14" s="112" t="s">
        <v>15</v>
      </c>
      <c r="N14" s="256">
        <f t="shared" si="9"/>
        <v>575.81999999999994</v>
      </c>
      <c r="S14" s="117">
        <v>65659</v>
      </c>
      <c r="U14" s="215">
        <f t="shared" si="10"/>
        <v>-65659</v>
      </c>
      <c r="W14" s="117">
        <v>52.81</v>
      </c>
      <c r="X14" s="215">
        <f t="shared" si="11"/>
        <v>-52.81</v>
      </c>
    </row>
    <row r="15" spans="1:24" s="117" customFormat="1" ht="20.25" hidden="1" customHeight="1">
      <c r="A15" s="112" t="s">
        <v>456</v>
      </c>
      <c r="B15" s="118" t="s">
        <v>530</v>
      </c>
      <c r="C15" s="414"/>
      <c r="D15" s="415" t="s">
        <v>5</v>
      </c>
      <c r="E15" s="329">
        <v>265.36</v>
      </c>
      <c r="F15" s="18">
        <f t="shared" si="12"/>
        <v>0</v>
      </c>
      <c r="G15" s="119">
        <f>ESTIMATE!I70</f>
        <v>23.060000000000002</v>
      </c>
      <c r="H15" s="114" t="s">
        <v>5</v>
      </c>
      <c r="I15" s="138">
        <f>ESTIMATE!K70</f>
        <v>377.66</v>
      </c>
      <c r="J15" s="18">
        <f t="shared" si="6"/>
        <v>8709</v>
      </c>
      <c r="K15" s="116">
        <f t="shared" si="7"/>
        <v>8709</v>
      </c>
      <c r="L15" s="116">
        <f t="shared" si="8"/>
        <v>0</v>
      </c>
      <c r="M15" s="112" t="s">
        <v>15</v>
      </c>
      <c r="N15" s="256">
        <f t="shared" si="9"/>
        <v>-112.30000000000001</v>
      </c>
      <c r="S15" s="117">
        <v>17066</v>
      </c>
      <c r="U15" s="215">
        <f t="shared" si="10"/>
        <v>-8357</v>
      </c>
      <c r="W15" s="117">
        <v>74.97</v>
      </c>
      <c r="X15" s="215">
        <f t="shared" si="11"/>
        <v>-51.91</v>
      </c>
    </row>
    <row r="16" spans="1:24" s="117" customFormat="1" ht="20.25" hidden="1" customHeight="1">
      <c r="A16" s="112" t="s">
        <v>457</v>
      </c>
      <c r="B16" s="118" t="s">
        <v>1000</v>
      </c>
      <c r="C16" s="414"/>
      <c r="D16" s="415" t="s">
        <v>5</v>
      </c>
      <c r="E16" s="329">
        <v>7679.35</v>
      </c>
      <c r="F16" s="18">
        <f t="shared" si="12"/>
        <v>0</v>
      </c>
      <c r="G16" s="119">
        <f>ESTIMATE!I74</f>
        <v>5.49</v>
      </c>
      <c r="H16" s="114" t="s">
        <v>5</v>
      </c>
      <c r="I16" s="138">
        <f>ESTIMATE!K74</f>
        <v>9871.81</v>
      </c>
      <c r="J16" s="18">
        <f t="shared" si="6"/>
        <v>54196</v>
      </c>
      <c r="K16" s="116">
        <f t="shared" si="7"/>
        <v>54196</v>
      </c>
      <c r="L16" s="116">
        <f t="shared" si="8"/>
        <v>0</v>
      </c>
      <c r="M16" s="112" t="s">
        <v>15</v>
      </c>
      <c r="N16" s="256">
        <f t="shared" si="9"/>
        <v>-2192.4599999999991</v>
      </c>
      <c r="S16" s="117">
        <v>74617</v>
      </c>
      <c r="U16" s="215">
        <f t="shared" si="10"/>
        <v>-20421</v>
      </c>
      <c r="W16" s="117">
        <v>11.19</v>
      </c>
      <c r="X16" s="215">
        <f t="shared" si="11"/>
        <v>-5.6999999999999993</v>
      </c>
    </row>
    <row r="17" spans="1:24" s="117" customFormat="1" ht="20.25" hidden="1" customHeight="1">
      <c r="A17" s="112" t="s">
        <v>458</v>
      </c>
      <c r="B17" s="118" t="s">
        <v>1001</v>
      </c>
      <c r="C17" s="414"/>
      <c r="D17" s="415" t="s">
        <v>5</v>
      </c>
      <c r="E17" s="329">
        <v>8118.35</v>
      </c>
      <c r="F17" s="18">
        <f t="shared" si="12"/>
        <v>0</v>
      </c>
      <c r="G17" s="119">
        <f>ESTIMATE!I78</f>
        <v>1.3</v>
      </c>
      <c r="H17" s="114" t="s">
        <v>5</v>
      </c>
      <c r="I17" s="138">
        <f>ESTIMATE!K78</f>
        <v>10370.58</v>
      </c>
      <c r="J17" s="18">
        <f t="shared" si="6"/>
        <v>13482</v>
      </c>
      <c r="K17" s="116">
        <f t="shared" si="7"/>
        <v>13482</v>
      </c>
      <c r="L17" s="116">
        <f t="shared" si="8"/>
        <v>0</v>
      </c>
      <c r="M17" s="112" t="s">
        <v>15</v>
      </c>
      <c r="N17" s="256">
        <f t="shared" si="9"/>
        <v>-2252.2299999999996</v>
      </c>
      <c r="S17" s="117">
        <v>9701</v>
      </c>
      <c r="U17" s="215">
        <f t="shared" si="10"/>
        <v>3781</v>
      </c>
      <c r="W17" s="117">
        <v>1.37</v>
      </c>
      <c r="X17" s="215">
        <f t="shared" si="11"/>
        <v>-7.0000000000000062E-2</v>
      </c>
    </row>
    <row r="18" spans="1:24" s="117" customFormat="1" ht="20.25" hidden="1" customHeight="1">
      <c r="A18" s="112" t="s">
        <v>320</v>
      </c>
      <c r="B18" s="118" t="s">
        <v>1002</v>
      </c>
      <c r="C18" s="414"/>
      <c r="D18" s="415" t="s">
        <v>5</v>
      </c>
      <c r="E18" s="329">
        <v>9998.74</v>
      </c>
      <c r="F18" s="18">
        <f t="shared" si="12"/>
        <v>0</v>
      </c>
      <c r="G18" s="119">
        <f>ESTIMATE!I84</f>
        <v>3.0300000000000002</v>
      </c>
      <c r="H18" s="114" t="s">
        <v>5</v>
      </c>
      <c r="I18" s="138">
        <f>ESTIMATE!K84</f>
        <v>12653.1</v>
      </c>
      <c r="J18" s="18">
        <f t="shared" si="6"/>
        <v>38339</v>
      </c>
      <c r="K18" s="116">
        <f t="shared" si="7"/>
        <v>38339</v>
      </c>
      <c r="L18" s="116">
        <f t="shared" si="8"/>
        <v>0</v>
      </c>
      <c r="M18" s="112" t="s">
        <v>15</v>
      </c>
      <c r="N18" s="256">
        <f t="shared" si="9"/>
        <v>-2654.3600000000006</v>
      </c>
      <c r="S18" s="117">
        <v>44466</v>
      </c>
      <c r="U18" s="215">
        <f t="shared" si="10"/>
        <v>-6127</v>
      </c>
      <c r="W18" s="117">
        <v>5.0500000000000007</v>
      </c>
      <c r="X18" s="215">
        <f t="shared" si="11"/>
        <v>-2.0200000000000005</v>
      </c>
    </row>
    <row r="19" spans="1:24" s="117" customFormat="1" ht="20.25" hidden="1" customHeight="1">
      <c r="A19" s="112" t="s">
        <v>459</v>
      </c>
      <c r="B19" s="118" t="s">
        <v>1003</v>
      </c>
      <c r="C19" s="414"/>
      <c r="D19" s="415" t="s">
        <v>5</v>
      </c>
      <c r="E19" s="329">
        <v>9779.35</v>
      </c>
      <c r="F19" s="18">
        <f t="shared" si="12"/>
        <v>0</v>
      </c>
      <c r="G19" s="119">
        <f>ESTIMATE!I89</f>
        <v>2.99</v>
      </c>
      <c r="H19" s="114" t="s">
        <v>5</v>
      </c>
      <c r="I19" s="138">
        <f>ESTIMATE!K89</f>
        <v>12257.73</v>
      </c>
      <c r="J19" s="18">
        <f t="shared" si="6"/>
        <v>36651</v>
      </c>
      <c r="K19" s="116">
        <f t="shared" si="7"/>
        <v>36651</v>
      </c>
      <c r="L19" s="116">
        <f t="shared" si="8"/>
        <v>0</v>
      </c>
      <c r="M19" s="112" t="s">
        <v>15</v>
      </c>
      <c r="N19" s="256">
        <f t="shared" si="9"/>
        <v>-2478.3799999999992</v>
      </c>
      <c r="S19" s="117">
        <v>53866</v>
      </c>
      <c r="U19" s="215">
        <f t="shared" si="10"/>
        <v>-17215</v>
      </c>
      <c r="W19" s="117">
        <v>6.2200000000000006</v>
      </c>
      <c r="X19" s="215">
        <f t="shared" si="11"/>
        <v>-3.2300000000000004</v>
      </c>
    </row>
    <row r="20" spans="1:24" s="117" customFormat="1" ht="20.25" hidden="1" customHeight="1">
      <c r="A20" s="112" t="s">
        <v>462</v>
      </c>
      <c r="B20" s="118" t="s">
        <v>1004</v>
      </c>
      <c r="C20" s="414"/>
      <c r="D20" s="416" t="s">
        <v>5</v>
      </c>
      <c r="E20" s="329">
        <v>9629.25</v>
      </c>
      <c r="F20" s="18">
        <f t="shared" si="12"/>
        <v>0</v>
      </c>
      <c r="G20" s="119">
        <f>ESTIMATE!I95</f>
        <v>3.8000000000000003</v>
      </c>
      <c r="H20" s="120" t="s">
        <v>5</v>
      </c>
      <c r="I20" s="138">
        <f>ESTIMATE!K95</f>
        <v>11770.33</v>
      </c>
      <c r="J20" s="18">
        <f t="shared" si="6"/>
        <v>44727</v>
      </c>
      <c r="K20" s="116">
        <f t="shared" si="7"/>
        <v>44727</v>
      </c>
      <c r="L20" s="116">
        <f t="shared" si="8"/>
        <v>0</v>
      </c>
      <c r="M20" s="112" t="s">
        <v>15</v>
      </c>
      <c r="N20" s="256">
        <f t="shared" si="9"/>
        <v>-2141.08</v>
      </c>
      <c r="P20" s="215" t="e">
        <f>SUM(F8:F69)+F58+F59+#REF!+F145+F149+F153+#REF!</f>
        <v>#REF!</v>
      </c>
      <c r="S20" s="117">
        <v>72944</v>
      </c>
      <c r="U20" s="215">
        <f t="shared" si="10"/>
        <v>-28217</v>
      </c>
      <c r="W20" s="117">
        <v>8.44</v>
      </c>
      <c r="X20" s="215">
        <f t="shared" si="11"/>
        <v>-4.6399999999999988</v>
      </c>
    </row>
    <row r="21" spans="1:24" s="117" customFormat="1" ht="20.25" hidden="1" customHeight="1">
      <c r="A21" s="112" t="s">
        <v>463</v>
      </c>
      <c r="B21" s="118" t="s">
        <v>1005</v>
      </c>
      <c r="C21" s="414"/>
      <c r="D21" s="415" t="s">
        <v>102</v>
      </c>
      <c r="E21" s="329">
        <v>1165.9099999999999</v>
      </c>
      <c r="F21" s="18">
        <f t="shared" si="12"/>
        <v>0</v>
      </c>
      <c r="G21" s="119">
        <f>ESTIMATE!I106</f>
        <v>76.13</v>
      </c>
      <c r="H21" s="114" t="s">
        <v>102</v>
      </c>
      <c r="I21" s="138">
        <f>ESTIMATE!K106</f>
        <v>1428.4</v>
      </c>
      <c r="J21" s="18">
        <f t="shared" si="6"/>
        <v>108744</v>
      </c>
      <c r="K21" s="116">
        <f t="shared" si="7"/>
        <v>108744</v>
      </c>
      <c r="L21" s="116">
        <f t="shared" si="8"/>
        <v>0</v>
      </c>
      <c r="M21" s="112" t="s">
        <v>15</v>
      </c>
      <c r="N21" s="256">
        <f t="shared" si="9"/>
        <v>-262.49000000000024</v>
      </c>
      <c r="S21" s="117">
        <v>121079</v>
      </c>
      <c r="U21" s="215">
        <f t="shared" si="10"/>
        <v>-12335</v>
      </c>
      <c r="W21" s="117">
        <v>117.23</v>
      </c>
      <c r="X21" s="215">
        <f t="shared" si="11"/>
        <v>-41.100000000000009</v>
      </c>
    </row>
    <row r="22" spans="1:24" s="117" customFormat="1" ht="20.25" hidden="1" customHeight="1">
      <c r="A22" s="112" t="s">
        <v>464</v>
      </c>
      <c r="B22" s="118" t="s">
        <v>1006</v>
      </c>
      <c r="C22" s="414"/>
      <c r="D22" s="415" t="s">
        <v>102</v>
      </c>
      <c r="E22" s="329">
        <v>1301.49</v>
      </c>
      <c r="F22" s="18">
        <f t="shared" si="12"/>
        <v>0</v>
      </c>
      <c r="G22" s="119">
        <f>ESTIMATE!I101</f>
        <v>0</v>
      </c>
      <c r="H22" s="114" t="s">
        <v>102</v>
      </c>
      <c r="I22" s="138">
        <f>ESTIMATE!K101</f>
        <v>1603.1999999999998</v>
      </c>
      <c r="J22" s="18">
        <f t="shared" si="6"/>
        <v>0</v>
      </c>
      <c r="K22" s="116">
        <f t="shared" si="7"/>
        <v>0</v>
      </c>
      <c r="L22" s="116">
        <f t="shared" si="8"/>
        <v>0</v>
      </c>
      <c r="M22" s="112" t="s">
        <v>15</v>
      </c>
      <c r="N22" s="256">
        <f t="shared" si="9"/>
        <v>-301.70999999999981</v>
      </c>
      <c r="S22" s="117">
        <v>9665</v>
      </c>
      <c r="U22" s="215">
        <f t="shared" si="10"/>
        <v>-9665</v>
      </c>
      <c r="W22" s="117">
        <v>8.41</v>
      </c>
      <c r="X22" s="215">
        <f t="shared" si="11"/>
        <v>-8.41</v>
      </c>
    </row>
    <row r="23" spans="1:24" s="117" customFormat="1" ht="20.25" hidden="1" customHeight="1">
      <c r="A23" s="112" t="s">
        <v>464</v>
      </c>
      <c r="B23" s="118" t="s">
        <v>1007</v>
      </c>
      <c r="C23" s="253"/>
      <c r="D23" s="263"/>
      <c r="E23" s="138"/>
      <c r="F23" s="18"/>
      <c r="G23" s="119"/>
      <c r="H23" s="114"/>
      <c r="I23" s="138"/>
      <c r="J23" s="18">
        <f t="shared" ref="J23" si="14">ROUND(G23*I23,0)</f>
        <v>0</v>
      </c>
      <c r="K23" s="116">
        <f t="shared" si="7"/>
        <v>0</v>
      </c>
      <c r="L23" s="116">
        <f t="shared" si="8"/>
        <v>0</v>
      </c>
      <c r="M23" s="112" t="s">
        <v>15</v>
      </c>
      <c r="N23" s="256">
        <f t="shared" si="9"/>
        <v>0</v>
      </c>
      <c r="S23" s="117">
        <v>0</v>
      </c>
      <c r="U23" s="215">
        <f t="shared" si="10"/>
        <v>0</v>
      </c>
      <c r="X23" s="215">
        <f t="shared" si="11"/>
        <v>0</v>
      </c>
    </row>
    <row r="24" spans="1:24" s="117" customFormat="1" ht="20.25" hidden="1" customHeight="1">
      <c r="A24" s="112" t="s">
        <v>464</v>
      </c>
      <c r="B24" s="118" t="s">
        <v>1011</v>
      </c>
      <c r="C24" s="253"/>
      <c r="D24" s="263"/>
      <c r="E24" s="138"/>
      <c r="F24" s="18"/>
      <c r="G24" s="119">
        <f>ESTIMATE!I111</f>
        <v>0</v>
      </c>
      <c r="H24" s="114" t="s">
        <v>102</v>
      </c>
      <c r="I24" s="138">
        <f>ESTIMATE!K111</f>
        <v>1103.3800000000001</v>
      </c>
      <c r="J24" s="18">
        <f t="shared" ref="J24" si="15">ROUND(G24*I24,0)</f>
        <v>0</v>
      </c>
      <c r="K24" s="116">
        <f t="shared" si="7"/>
        <v>0</v>
      </c>
      <c r="L24" s="116">
        <f t="shared" si="8"/>
        <v>0</v>
      </c>
      <c r="M24" s="112" t="s">
        <v>15</v>
      </c>
      <c r="N24" s="256">
        <f t="shared" si="9"/>
        <v>-1103.3800000000001</v>
      </c>
      <c r="S24" s="117">
        <v>0</v>
      </c>
      <c r="U24" s="215">
        <f t="shared" ref="U24" si="16">J24-S24</f>
        <v>0</v>
      </c>
      <c r="X24" s="215">
        <f t="shared" ref="X24" si="17">G24-W24</f>
        <v>0</v>
      </c>
    </row>
    <row r="25" spans="1:24" s="117" customFormat="1" ht="20.25" hidden="1" customHeight="1">
      <c r="A25" s="112" t="s">
        <v>463</v>
      </c>
      <c r="B25" s="118" t="s">
        <v>1047</v>
      </c>
      <c r="C25" s="412"/>
      <c r="D25" s="353"/>
      <c r="E25" s="329"/>
      <c r="F25" s="328"/>
      <c r="G25" s="119">
        <f>ESTIMATE!I117</f>
        <v>0</v>
      </c>
      <c r="H25" s="114" t="s">
        <v>102</v>
      </c>
      <c r="I25" s="138">
        <f>ESTIMATE!K117</f>
        <v>622.29</v>
      </c>
      <c r="J25" s="18">
        <f t="shared" ref="J25" si="18">ROUND(G25*I25,0)</f>
        <v>0</v>
      </c>
      <c r="K25" s="116">
        <f t="shared" si="7"/>
        <v>0</v>
      </c>
      <c r="L25" s="116">
        <f t="shared" si="8"/>
        <v>0</v>
      </c>
      <c r="M25" s="112" t="s">
        <v>15</v>
      </c>
      <c r="N25" s="256">
        <f t="shared" si="9"/>
        <v>-622.29</v>
      </c>
      <c r="S25" s="117">
        <v>0</v>
      </c>
      <c r="U25" s="215">
        <f t="shared" ref="U25" si="19">J25-S25</f>
        <v>0</v>
      </c>
      <c r="X25" s="215">
        <f t="shared" ref="X25" si="20">G25-W25</f>
        <v>0</v>
      </c>
    </row>
    <row r="26" spans="1:24" s="117" customFormat="1" ht="20.25" hidden="1" customHeight="1">
      <c r="A26" s="112" t="s">
        <v>465</v>
      </c>
      <c r="B26" s="118" t="s">
        <v>1249</v>
      </c>
      <c r="C26" s="265"/>
      <c r="D26" s="263"/>
      <c r="E26" s="138"/>
      <c r="F26" s="18"/>
      <c r="G26" s="119">
        <f>ESTIMATE!I128</f>
        <v>0</v>
      </c>
      <c r="H26" s="114" t="s">
        <v>102</v>
      </c>
      <c r="I26" s="138">
        <f>ESTIMATE!K128</f>
        <v>449.76</v>
      </c>
      <c r="J26" s="18">
        <f t="shared" ref="J26" si="21">ROUND(G26*I26,0)</f>
        <v>0</v>
      </c>
      <c r="K26" s="116">
        <f t="shared" si="7"/>
        <v>0</v>
      </c>
      <c r="L26" s="116">
        <f t="shared" si="8"/>
        <v>0</v>
      </c>
      <c r="M26" s="112" t="s">
        <v>15</v>
      </c>
      <c r="N26" s="256">
        <f t="shared" si="9"/>
        <v>-449.76</v>
      </c>
      <c r="S26" s="117">
        <v>0</v>
      </c>
      <c r="U26" s="215">
        <f t="shared" ref="U26" si="22">J26-S26</f>
        <v>0</v>
      </c>
      <c r="X26" s="215">
        <f t="shared" ref="X26" si="23">G26-W26</f>
        <v>0</v>
      </c>
    </row>
    <row r="27" spans="1:24" s="117" customFormat="1" ht="20.25" hidden="1" customHeight="1">
      <c r="A27" s="112" t="s">
        <v>465</v>
      </c>
      <c r="B27" s="118" t="s">
        <v>1008</v>
      </c>
      <c r="C27" s="414"/>
      <c r="D27" s="415" t="s">
        <v>5</v>
      </c>
      <c r="E27" s="329">
        <v>10165.74</v>
      </c>
      <c r="F27" s="18">
        <f t="shared" ref="F27:F28" si="24">ROUND(C27*E27,0)</f>
        <v>0</v>
      </c>
      <c r="G27" s="119">
        <f>ESTIMATE!I132</f>
        <v>1.1100000000000001</v>
      </c>
      <c r="H27" s="114" t="s">
        <v>5</v>
      </c>
      <c r="I27" s="138">
        <f>ESTIMATE!K132</f>
        <v>12842.84</v>
      </c>
      <c r="J27" s="18">
        <f t="shared" ref="J27" si="25">ROUND(G27*I27,0)</f>
        <v>14256</v>
      </c>
      <c r="K27" s="116">
        <f t="shared" si="7"/>
        <v>14256</v>
      </c>
      <c r="L27" s="116">
        <f t="shared" si="8"/>
        <v>0</v>
      </c>
      <c r="M27" s="112" t="s">
        <v>15</v>
      </c>
      <c r="N27" s="256">
        <f t="shared" si="9"/>
        <v>-2677.1000000000004</v>
      </c>
      <c r="S27" s="117">
        <v>6104</v>
      </c>
      <c r="U27" s="215">
        <f t="shared" si="10"/>
        <v>8152</v>
      </c>
      <c r="W27" s="117">
        <v>0.68</v>
      </c>
      <c r="X27" s="215">
        <f t="shared" si="11"/>
        <v>0.43000000000000005</v>
      </c>
    </row>
    <row r="28" spans="1:24" s="117" customFormat="1" ht="20.25" hidden="1" customHeight="1">
      <c r="A28" s="112" t="s">
        <v>466</v>
      </c>
      <c r="B28" s="118" t="s">
        <v>1009</v>
      </c>
      <c r="C28" s="414"/>
      <c r="D28" s="415" t="s">
        <v>274</v>
      </c>
      <c r="E28" s="329">
        <v>710.37</v>
      </c>
      <c r="F28" s="18">
        <f t="shared" si="24"/>
        <v>0</v>
      </c>
      <c r="G28" s="119">
        <f>ESTIMATE!I137</f>
        <v>12</v>
      </c>
      <c r="H28" s="114" t="s">
        <v>274</v>
      </c>
      <c r="I28" s="138">
        <f>ESTIMATE!K137</f>
        <v>838.22</v>
      </c>
      <c r="J28" s="18">
        <f t="shared" ref="J28:J34" si="26">ROUND(G28*I28,0)</f>
        <v>10059</v>
      </c>
      <c r="K28" s="116">
        <f t="shared" si="7"/>
        <v>10059</v>
      </c>
      <c r="L28" s="116">
        <f t="shared" si="8"/>
        <v>0</v>
      </c>
      <c r="M28" s="112" t="s">
        <v>15</v>
      </c>
      <c r="N28" s="256">
        <f t="shared" si="9"/>
        <v>-127.85000000000002</v>
      </c>
      <c r="S28" s="117">
        <v>5900</v>
      </c>
      <c r="U28" s="215">
        <f t="shared" si="10"/>
        <v>4159</v>
      </c>
      <c r="W28" s="117">
        <v>9</v>
      </c>
      <c r="X28" s="215">
        <f t="shared" si="11"/>
        <v>3</v>
      </c>
    </row>
    <row r="29" spans="1:24" s="117" customFormat="1" ht="20.25" hidden="1" customHeight="1">
      <c r="A29" s="112" t="s">
        <v>468</v>
      </c>
      <c r="B29" s="118" t="s">
        <v>1250</v>
      </c>
      <c r="C29" s="268"/>
      <c r="D29" s="264"/>
      <c r="E29" s="12"/>
      <c r="F29" s="18"/>
      <c r="G29" s="119">
        <f>ESTIMATE!I142</f>
        <v>76.13</v>
      </c>
      <c r="H29" s="121" t="s">
        <v>102</v>
      </c>
      <c r="I29" s="138">
        <f>ESTIMATE!K142</f>
        <v>390.11</v>
      </c>
      <c r="J29" s="18">
        <f t="shared" si="26"/>
        <v>29699</v>
      </c>
      <c r="K29" s="116">
        <f t="shared" si="7"/>
        <v>29699</v>
      </c>
      <c r="L29" s="116">
        <f t="shared" si="8"/>
        <v>0</v>
      </c>
      <c r="M29" s="112" t="s">
        <v>15</v>
      </c>
      <c r="N29" s="256">
        <f t="shared" si="9"/>
        <v>-390.11</v>
      </c>
      <c r="S29" s="117">
        <v>43353</v>
      </c>
      <c r="U29" s="215">
        <f t="shared" ref="U29" si="27">J29-S29</f>
        <v>-13654</v>
      </c>
      <c r="W29" s="117">
        <v>117.23</v>
      </c>
      <c r="X29" s="215">
        <f t="shared" ref="X29" si="28">G29-W29</f>
        <v>-41.100000000000009</v>
      </c>
    </row>
    <row r="30" spans="1:24" s="117" customFormat="1" ht="20.25" hidden="1" customHeight="1">
      <c r="A30" s="112" t="s">
        <v>466</v>
      </c>
      <c r="B30" s="118" t="s">
        <v>1251</v>
      </c>
      <c r="C30" s="268"/>
      <c r="D30" s="354"/>
      <c r="E30" s="12"/>
      <c r="F30" s="328"/>
      <c r="G30" s="119">
        <f>ESTIMATE!I148</f>
        <v>0</v>
      </c>
      <c r="H30" s="121" t="s">
        <v>102</v>
      </c>
      <c r="I30" s="138">
        <f>ESTIMATE!K148</f>
        <v>445.9</v>
      </c>
      <c r="J30" s="18">
        <f t="shared" ref="J30" si="29">ROUND(G30*I30,0)</f>
        <v>0</v>
      </c>
      <c r="K30" s="116">
        <f t="shared" si="7"/>
        <v>0</v>
      </c>
      <c r="L30" s="116">
        <f t="shared" si="8"/>
        <v>0</v>
      </c>
      <c r="M30" s="112" t="s">
        <v>15</v>
      </c>
      <c r="N30" s="256">
        <f t="shared" si="9"/>
        <v>-445.9</v>
      </c>
      <c r="S30" s="117">
        <v>43353</v>
      </c>
      <c r="U30" s="215">
        <f t="shared" ref="U30" si="30">J30-S30</f>
        <v>-43353</v>
      </c>
      <c r="W30" s="117">
        <v>117.23</v>
      </c>
      <c r="X30" s="215">
        <f t="shared" ref="X30" si="31">G30-W30</f>
        <v>-117.23</v>
      </c>
    </row>
    <row r="31" spans="1:24" s="117" customFormat="1" ht="20.25" hidden="1" customHeight="1">
      <c r="A31" s="112" t="s">
        <v>463</v>
      </c>
      <c r="B31" s="118" t="s">
        <v>1010</v>
      </c>
      <c r="C31" s="214"/>
      <c r="D31" s="263"/>
      <c r="E31" s="15"/>
      <c r="F31" s="18"/>
      <c r="G31" s="119">
        <f>ESTIMATE!I262</f>
        <v>0</v>
      </c>
      <c r="H31" s="114" t="s">
        <v>5</v>
      </c>
      <c r="I31" s="138">
        <f>ESTIMATE!K262</f>
        <v>6758.1799999999994</v>
      </c>
      <c r="J31" s="18">
        <f t="shared" si="6"/>
        <v>0</v>
      </c>
      <c r="K31" s="116">
        <f t="shared" si="7"/>
        <v>0</v>
      </c>
      <c r="L31" s="116">
        <f t="shared" si="8"/>
        <v>0</v>
      </c>
      <c r="M31" s="112" t="s">
        <v>15</v>
      </c>
      <c r="N31" s="256">
        <f t="shared" si="9"/>
        <v>-6758.1799999999994</v>
      </c>
      <c r="S31" s="117">
        <v>0</v>
      </c>
      <c r="U31" s="215">
        <f t="shared" si="10"/>
        <v>0</v>
      </c>
      <c r="W31" s="117">
        <v>0</v>
      </c>
      <c r="X31" s="215">
        <f t="shared" si="11"/>
        <v>0</v>
      </c>
    </row>
    <row r="32" spans="1:24" s="117" customFormat="1" ht="20.25" hidden="1" customHeight="1">
      <c r="A32" s="112" t="s">
        <v>468</v>
      </c>
      <c r="B32" s="118" t="s">
        <v>994</v>
      </c>
      <c r="C32" s="414"/>
      <c r="D32" s="415" t="s">
        <v>5</v>
      </c>
      <c r="E32" s="329">
        <v>3707.4300000000003</v>
      </c>
      <c r="F32" s="18">
        <f t="shared" ref="F32:F33" si="32">ROUND(C32*E32,0)</f>
        <v>0</v>
      </c>
      <c r="G32" s="119">
        <f>ESTIMATE!I153</f>
        <v>14.99</v>
      </c>
      <c r="H32" s="114" t="s">
        <v>5</v>
      </c>
      <c r="I32" s="138">
        <f>ESTIMATE!K153</f>
        <v>3777.32</v>
      </c>
      <c r="J32" s="18">
        <f t="shared" si="6"/>
        <v>56622</v>
      </c>
      <c r="K32" s="116">
        <f t="shared" si="7"/>
        <v>56622</v>
      </c>
      <c r="L32" s="116">
        <f t="shared" si="8"/>
        <v>0</v>
      </c>
      <c r="M32" s="112" t="s">
        <v>15</v>
      </c>
      <c r="N32" s="256">
        <f t="shared" si="9"/>
        <v>-69.889999999999873</v>
      </c>
      <c r="S32" s="117">
        <v>109300</v>
      </c>
      <c r="U32" s="215">
        <f t="shared" ref="U32" si="33">J32-S32</f>
        <v>-52678</v>
      </c>
      <c r="W32" s="117">
        <v>21.22</v>
      </c>
      <c r="X32" s="215">
        <f t="shared" ref="X32" si="34">G32-W32</f>
        <v>-6.2299999999999986</v>
      </c>
    </row>
    <row r="33" spans="1:24" s="117" customFormat="1" ht="20.25" hidden="1" customHeight="1">
      <c r="A33" s="112" t="s">
        <v>469</v>
      </c>
      <c r="B33" s="118" t="s">
        <v>785</v>
      </c>
      <c r="C33" s="414"/>
      <c r="D33" s="415" t="s">
        <v>5</v>
      </c>
      <c r="E33" s="329">
        <v>6171.4600000000009</v>
      </c>
      <c r="F33" s="18">
        <f t="shared" si="32"/>
        <v>0</v>
      </c>
      <c r="G33" s="119">
        <f>ESTIMATE!I173</f>
        <v>21.119999999999997</v>
      </c>
      <c r="H33" s="114" t="s">
        <v>5</v>
      </c>
      <c r="I33" s="138">
        <f>ESTIMATE!K173</f>
        <v>8500.9599999999991</v>
      </c>
      <c r="J33" s="18">
        <f t="shared" si="26"/>
        <v>179540</v>
      </c>
      <c r="K33" s="116">
        <f t="shared" si="7"/>
        <v>179540</v>
      </c>
      <c r="L33" s="116">
        <f t="shared" si="8"/>
        <v>0</v>
      </c>
      <c r="M33" s="112" t="s">
        <v>15</v>
      </c>
      <c r="N33" s="256">
        <f t="shared" si="9"/>
        <v>-2329.4999999999982</v>
      </c>
      <c r="S33" s="117">
        <v>109300</v>
      </c>
      <c r="U33" s="215">
        <f t="shared" si="10"/>
        <v>70240</v>
      </c>
      <c r="W33" s="117">
        <v>21.22</v>
      </c>
      <c r="X33" s="215">
        <f t="shared" si="11"/>
        <v>-0.10000000000000142</v>
      </c>
    </row>
    <row r="34" spans="1:24" s="117" customFormat="1" ht="20.25" hidden="1" customHeight="1">
      <c r="A34" s="112" t="s">
        <v>470</v>
      </c>
      <c r="B34" s="118" t="s">
        <v>786</v>
      </c>
      <c r="C34" s="268"/>
      <c r="D34" s="353"/>
      <c r="E34" s="12"/>
      <c r="F34" s="328"/>
      <c r="G34" s="119"/>
      <c r="H34" s="114"/>
      <c r="I34" s="138"/>
      <c r="J34" s="18">
        <f t="shared" si="26"/>
        <v>0</v>
      </c>
      <c r="K34" s="116">
        <f t="shared" si="7"/>
        <v>0</v>
      </c>
      <c r="L34" s="116">
        <f t="shared" si="8"/>
        <v>0</v>
      </c>
      <c r="M34" s="112" t="s">
        <v>15</v>
      </c>
      <c r="N34" s="256">
        <f t="shared" si="9"/>
        <v>0</v>
      </c>
      <c r="S34" s="117">
        <v>99325</v>
      </c>
      <c r="U34" s="215">
        <f t="shared" ref="U34" si="35">J34-S34</f>
        <v>-99325</v>
      </c>
      <c r="W34" s="117">
        <v>17.780000000000005</v>
      </c>
      <c r="X34" s="215">
        <f t="shared" ref="X34" si="36">G34-W34</f>
        <v>-17.780000000000005</v>
      </c>
    </row>
    <row r="35" spans="1:24" s="117" customFormat="1" ht="20.25" hidden="1" customHeight="1">
      <c r="A35" s="112" t="s">
        <v>470</v>
      </c>
      <c r="B35" s="118" t="s">
        <v>786</v>
      </c>
      <c r="C35" s="414"/>
      <c r="D35" s="415" t="s">
        <v>5</v>
      </c>
      <c r="E35" s="329">
        <v>6215.6200000000008</v>
      </c>
      <c r="F35" s="18">
        <f t="shared" ref="F35" si="37">ROUND(C35*E35,0)</f>
        <v>0</v>
      </c>
      <c r="G35" s="119">
        <f>ESTIMATE!I178</f>
        <v>0</v>
      </c>
      <c r="H35" s="114" t="s">
        <v>5</v>
      </c>
      <c r="I35" s="138">
        <f>ESTIMATE!K178</f>
        <v>7532.87</v>
      </c>
      <c r="J35" s="18">
        <f t="shared" ref="J35" si="38">ROUND(G35*I35,0)</f>
        <v>0</v>
      </c>
      <c r="K35" s="116">
        <f t="shared" si="7"/>
        <v>0</v>
      </c>
      <c r="L35" s="116">
        <f t="shared" si="8"/>
        <v>0</v>
      </c>
      <c r="M35" s="112" t="s">
        <v>15</v>
      </c>
      <c r="N35" s="256">
        <f t="shared" si="9"/>
        <v>-1317.2499999999991</v>
      </c>
      <c r="S35" s="117">
        <v>99325</v>
      </c>
      <c r="U35" s="215">
        <f t="shared" si="10"/>
        <v>-99325</v>
      </c>
      <c r="W35" s="117">
        <v>17.780000000000005</v>
      </c>
      <c r="X35" s="215">
        <f t="shared" si="11"/>
        <v>-17.780000000000005</v>
      </c>
    </row>
    <row r="36" spans="1:24" s="117" customFormat="1" ht="25.5" hidden="1">
      <c r="A36" s="112" t="s">
        <v>471</v>
      </c>
      <c r="B36" s="118" t="s">
        <v>696</v>
      </c>
      <c r="C36" s="414"/>
      <c r="D36" s="415" t="s">
        <v>102</v>
      </c>
      <c r="E36" s="329">
        <v>793.65</v>
      </c>
      <c r="F36" s="18">
        <f>ROUND(C36*E36/1,0)</f>
        <v>0</v>
      </c>
      <c r="G36" s="119">
        <f>ESTIMATE!I184</f>
        <v>0</v>
      </c>
      <c r="H36" s="114" t="s">
        <v>102</v>
      </c>
      <c r="I36" s="138">
        <f>ESTIMATE!K184</f>
        <v>955.05</v>
      </c>
      <c r="J36" s="18">
        <f>ROUND(G36*I36/1,0)</f>
        <v>0</v>
      </c>
      <c r="K36" s="116">
        <f t="shared" si="7"/>
        <v>0</v>
      </c>
      <c r="L36" s="116">
        <f t="shared" si="8"/>
        <v>0</v>
      </c>
      <c r="M36" s="112" t="s">
        <v>15</v>
      </c>
      <c r="N36" s="256">
        <f t="shared" si="9"/>
        <v>-161.39999999999998</v>
      </c>
      <c r="S36" s="117">
        <v>36813</v>
      </c>
      <c r="U36" s="215">
        <f t="shared" si="10"/>
        <v>-36813</v>
      </c>
      <c r="W36" s="117">
        <v>52.63</v>
      </c>
      <c r="X36" s="215">
        <f t="shared" si="11"/>
        <v>-52.63</v>
      </c>
    </row>
    <row r="37" spans="1:24" s="117" customFormat="1" hidden="1">
      <c r="A37" s="112" t="s">
        <v>473</v>
      </c>
      <c r="B37" s="118" t="s">
        <v>997</v>
      </c>
      <c r="C37" s="268"/>
      <c r="D37" s="263"/>
      <c r="E37" s="12"/>
      <c r="F37" s="18"/>
      <c r="G37" s="119">
        <f>ESTIMATE!I192</f>
        <v>0</v>
      </c>
      <c r="H37" s="114" t="s">
        <v>102</v>
      </c>
      <c r="I37" s="138">
        <f>ESTIMATE!K192</f>
        <v>6706.6600000000008</v>
      </c>
      <c r="J37" s="18">
        <f>ROUND(G37*I37/1,0)</f>
        <v>0</v>
      </c>
      <c r="K37" s="116">
        <f t="shared" si="7"/>
        <v>0</v>
      </c>
      <c r="L37" s="116">
        <f t="shared" si="8"/>
        <v>0</v>
      </c>
      <c r="M37" s="112" t="s">
        <v>15</v>
      </c>
      <c r="N37" s="256">
        <f t="shared" si="9"/>
        <v>-6706.6600000000008</v>
      </c>
      <c r="U37" s="215"/>
      <c r="X37" s="215"/>
    </row>
    <row r="38" spans="1:24" s="117" customFormat="1" hidden="1">
      <c r="A38" s="112" t="s">
        <v>475</v>
      </c>
      <c r="B38" s="118" t="s">
        <v>989</v>
      </c>
      <c r="C38" s="265"/>
      <c r="D38" s="263"/>
      <c r="E38" s="266"/>
      <c r="F38" s="18"/>
      <c r="G38" s="119">
        <f>ESTIMATE!I196</f>
        <v>4.6399999999999997</v>
      </c>
      <c r="H38" s="114" t="s">
        <v>102</v>
      </c>
      <c r="I38" s="138">
        <f>ESTIMATE!K196</f>
        <v>2770.89</v>
      </c>
      <c r="J38" s="18">
        <f>ROUND(G38*I38/1,0)</f>
        <v>12857</v>
      </c>
      <c r="K38" s="116">
        <f t="shared" si="7"/>
        <v>12857</v>
      </c>
      <c r="L38" s="116">
        <f t="shared" si="8"/>
        <v>0</v>
      </c>
      <c r="M38" s="112" t="s">
        <v>15</v>
      </c>
      <c r="N38" s="256">
        <f t="shared" si="9"/>
        <v>-2770.89</v>
      </c>
      <c r="U38" s="215"/>
      <c r="X38" s="215"/>
    </row>
    <row r="39" spans="1:24" s="117" customFormat="1" ht="20.25" hidden="1" customHeight="1">
      <c r="A39" s="112" t="s">
        <v>473</v>
      </c>
      <c r="B39" s="118" t="s">
        <v>472</v>
      </c>
      <c r="C39" s="414"/>
      <c r="D39" s="415" t="s">
        <v>102</v>
      </c>
      <c r="E39" s="329">
        <v>308.82</v>
      </c>
      <c r="F39" s="18">
        <f t="shared" ref="F39" si="39">ROUND(C39*E39,0)</f>
        <v>0</v>
      </c>
      <c r="G39" s="119">
        <f>ESTIMATE!I205</f>
        <v>82.8</v>
      </c>
      <c r="H39" s="114" t="s">
        <v>102</v>
      </c>
      <c r="I39" s="138">
        <f>ESTIMATE!K205</f>
        <v>392.74</v>
      </c>
      <c r="J39" s="18">
        <f t="shared" ref="J39:J43" si="40">ROUND(G39*I39,0)</f>
        <v>32519</v>
      </c>
      <c r="K39" s="116">
        <f t="shared" si="7"/>
        <v>32519</v>
      </c>
      <c r="L39" s="116">
        <f t="shared" si="8"/>
        <v>0</v>
      </c>
      <c r="M39" s="112" t="s">
        <v>15</v>
      </c>
      <c r="N39" s="256">
        <f t="shared" si="9"/>
        <v>-83.920000000000016</v>
      </c>
      <c r="S39" s="117">
        <v>30479</v>
      </c>
      <c r="U39" s="215">
        <f t="shared" si="10"/>
        <v>2040</v>
      </c>
      <c r="W39" s="117">
        <v>118.44</v>
      </c>
      <c r="X39" s="215">
        <f t="shared" si="11"/>
        <v>-35.64</v>
      </c>
    </row>
    <row r="40" spans="1:24" s="117" customFormat="1" ht="20.25" hidden="1" customHeight="1">
      <c r="A40" s="112" t="s">
        <v>474</v>
      </c>
      <c r="B40" s="118" t="s">
        <v>493</v>
      </c>
      <c r="C40" s="253"/>
      <c r="D40" s="263"/>
      <c r="E40" s="138"/>
      <c r="F40" s="18"/>
      <c r="G40" s="119">
        <f>ESTIMATE!I221</f>
        <v>0</v>
      </c>
      <c r="H40" s="114" t="s">
        <v>102</v>
      </c>
      <c r="I40" s="138">
        <f>ESTIMATE!K221</f>
        <v>323.56</v>
      </c>
      <c r="J40" s="18">
        <f t="shared" si="40"/>
        <v>0</v>
      </c>
      <c r="K40" s="116">
        <f t="shared" si="7"/>
        <v>0</v>
      </c>
      <c r="L40" s="116">
        <f t="shared" si="8"/>
        <v>0</v>
      </c>
      <c r="M40" s="112" t="s">
        <v>15</v>
      </c>
      <c r="N40" s="256">
        <f t="shared" si="9"/>
        <v>-323.56</v>
      </c>
      <c r="S40" s="117">
        <v>0</v>
      </c>
      <c r="U40" s="215">
        <f t="shared" si="10"/>
        <v>0</v>
      </c>
      <c r="W40" s="117">
        <v>0</v>
      </c>
      <c r="X40" s="215">
        <f t="shared" si="11"/>
        <v>0</v>
      </c>
    </row>
    <row r="41" spans="1:24" s="117" customFormat="1" ht="20.25" hidden="1" customHeight="1">
      <c r="A41" s="112" t="s">
        <v>475</v>
      </c>
      <c r="B41" s="118" t="s">
        <v>620</v>
      </c>
      <c r="C41" s="214"/>
      <c r="D41" s="263"/>
      <c r="E41" s="138"/>
      <c r="F41" s="18"/>
      <c r="G41" s="119">
        <f>ESTIMATE!I226</f>
        <v>0</v>
      </c>
      <c r="H41" s="114" t="s">
        <v>102</v>
      </c>
      <c r="I41" s="138">
        <f>ESTIMATE!K226</f>
        <v>339.13</v>
      </c>
      <c r="J41" s="18">
        <f t="shared" ref="J41" si="41">ROUND(G41*I41,0)</f>
        <v>0</v>
      </c>
      <c r="K41" s="116">
        <f t="shared" si="7"/>
        <v>0</v>
      </c>
      <c r="L41" s="116">
        <f t="shared" si="8"/>
        <v>0</v>
      </c>
      <c r="M41" s="112" t="s">
        <v>15</v>
      </c>
      <c r="N41" s="256">
        <f t="shared" si="9"/>
        <v>-339.13</v>
      </c>
      <c r="S41" s="117">
        <v>0</v>
      </c>
      <c r="U41" s="215">
        <f>J41-S41</f>
        <v>0</v>
      </c>
      <c r="W41" s="117">
        <v>0</v>
      </c>
      <c r="X41" s="215">
        <f>G41-W41</f>
        <v>0</v>
      </c>
    </row>
    <row r="42" spans="1:24" s="117" customFormat="1" ht="20.25" hidden="1" customHeight="1">
      <c r="A42" s="112" t="s">
        <v>476</v>
      </c>
      <c r="B42" s="118" t="s">
        <v>787</v>
      </c>
      <c r="C42" s="414"/>
      <c r="D42" s="415" t="s">
        <v>102</v>
      </c>
      <c r="E42" s="329">
        <v>374.07</v>
      </c>
      <c r="F42" s="18">
        <f t="shared" ref="F42:F45" si="42">ROUND(C42*E42,0)</f>
        <v>0</v>
      </c>
      <c r="G42" s="119">
        <f>ESTIMATE!I235</f>
        <v>94.960000000000008</v>
      </c>
      <c r="H42" s="114" t="s">
        <v>102</v>
      </c>
      <c r="I42" s="138">
        <f>ESTIMATE!K235</f>
        <v>491.82</v>
      </c>
      <c r="J42" s="18">
        <f t="shared" ref="J42" si="43">ROUND(G42*I42,0)</f>
        <v>46703</v>
      </c>
      <c r="K42" s="116">
        <f t="shared" si="7"/>
        <v>46703</v>
      </c>
      <c r="L42" s="116">
        <f t="shared" si="8"/>
        <v>0</v>
      </c>
      <c r="M42" s="112" t="s">
        <v>15</v>
      </c>
      <c r="N42" s="256">
        <f t="shared" si="9"/>
        <v>-117.75</v>
      </c>
      <c r="S42" s="117">
        <v>57741</v>
      </c>
      <c r="U42" s="215">
        <f t="shared" si="10"/>
        <v>-11038</v>
      </c>
      <c r="W42" s="117">
        <v>242.58999999999997</v>
      </c>
      <c r="X42" s="215">
        <f t="shared" si="11"/>
        <v>-147.62999999999997</v>
      </c>
    </row>
    <row r="43" spans="1:24" s="117" customFormat="1" ht="20.25" hidden="1" customHeight="1">
      <c r="A43" s="112" t="s">
        <v>477</v>
      </c>
      <c r="B43" s="118" t="s">
        <v>531</v>
      </c>
      <c r="C43" s="414"/>
      <c r="D43" s="415" t="s">
        <v>102</v>
      </c>
      <c r="E43" s="329">
        <v>395.47</v>
      </c>
      <c r="F43" s="18">
        <f t="shared" si="42"/>
        <v>0</v>
      </c>
      <c r="G43" s="119">
        <f>ESTIMATE!I245</f>
        <v>152.12999999999997</v>
      </c>
      <c r="H43" s="114" t="s">
        <v>102</v>
      </c>
      <c r="I43" s="138">
        <f>ESTIMATE!K245</f>
        <v>504.5</v>
      </c>
      <c r="J43" s="18">
        <f t="shared" si="40"/>
        <v>76750</v>
      </c>
      <c r="K43" s="116">
        <f t="shared" si="7"/>
        <v>76750</v>
      </c>
      <c r="L43" s="116">
        <f t="shared" si="8"/>
        <v>0</v>
      </c>
      <c r="M43" s="112" t="s">
        <v>15</v>
      </c>
      <c r="N43" s="256">
        <f t="shared" si="9"/>
        <v>-109.02999999999997</v>
      </c>
      <c r="S43" s="117">
        <v>29292</v>
      </c>
      <c r="U43" s="215">
        <f t="shared" si="10"/>
        <v>47458</v>
      </c>
      <c r="W43" s="117">
        <v>116.91</v>
      </c>
      <c r="X43" s="215">
        <f t="shared" si="11"/>
        <v>35.21999999999997</v>
      </c>
    </row>
    <row r="44" spans="1:24" s="117" customFormat="1" ht="20.25" hidden="1" customHeight="1">
      <c r="A44" s="112" t="s">
        <v>478</v>
      </c>
      <c r="B44" s="118" t="s">
        <v>495</v>
      </c>
      <c r="C44" s="414"/>
      <c r="D44" s="415" t="s">
        <v>102</v>
      </c>
      <c r="E44" s="329">
        <v>1023.97</v>
      </c>
      <c r="F44" s="18">
        <f t="shared" si="42"/>
        <v>0</v>
      </c>
      <c r="G44" s="119">
        <f>ESTIMATE!I268</f>
        <v>58.949999999999996</v>
      </c>
      <c r="H44" s="114" t="s">
        <v>102</v>
      </c>
      <c r="I44" s="138">
        <f>ESTIMATE!K268</f>
        <v>1257.71</v>
      </c>
      <c r="J44" s="18">
        <f t="shared" ref="J44:J62" si="44">ROUND(G44*I44,0)</f>
        <v>74142</v>
      </c>
      <c r="K44" s="116">
        <f t="shared" si="7"/>
        <v>74142</v>
      </c>
      <c r="L44" s="116">
        <f t="shared" si="8"/>
        <v>0</v>
      </c>
      <c r="M44" s="112" t="s">
        <v>15</v>
      </c>
      <c r="N44" s="256">
        <f t="shared" si="9"/>
        <v>-233.74</v>
      </c>
      <c r="S44" s="117">
        <v>94056</v>
      </c>
      <c r="U44" s="215">
        <f t="shared" si="10"/>
        <v>-19914</v>
      </c>
      <c r="W44" s="117">
        <v>96.46</v>
      </c>
      <c r="X44" s="215">
        <f t="shared" si="11"/>
        <v>-37.51</v>
      </c>
    </row>
    <row r="45" spans="1:24" s="117" customFormat="1" ht="20.25" hidden="1" customHeight="1">
      <c r="A45" s="112" t="s">
        <v>479</v>
      </c>
      <c r="B45" s="118" t="s">
        <v>1252</v>
      </c>
      <c r="C45" s="414"/>
      <c r="D45" s="415" t="s">
        <v>102</v>
      </c>
      <c r="E45" s="329">
        <v>1016.56</v>
      </c>
      <c r="F45" s="18">
        <f t="shared" si="42"/>
        <v>0</v>
      </c>
      <c r="G45" s="119">
        <f>ESTIMATE!I277</f>
        <v>6.57</v>
      </c>
      <c r="H45" s="114" t="s">
        <v>102</v>
      </c>
      <c r="I45" s="138">
        <f>ESTIMATE!K277</f>
        <v>1253.5999999999999</v>
      </c>
      <c r="J45" s="18">
        <f t="shared" ref="J45:J52" si="45">ROUND(G45*I45,0)</f>
        <v>8236</v>
      </c>
      <c r="K45" s="116">
        <f t="shared" si="7"/>
        <v>8236</v>
      </c>
      <c r="L45" s="116">
        <f t="shared" si="8"/>
        <v>0</v>
      </c>
      <c r="M45" s="112" t="s">
        <v>15</v>
      </c>
      <c r="N45" s="256">
        <f t="shared" si="9"/>
        <v>-237.03999999999996</v>
      </c>
      <c r="S45" s="117">
        <v>7479</v>
      </c>
      <c r="U45" s="215">
        <f t="shared" ref="U45:U51" si="46">J45-S45</f>
        <v>757</v>
      </c>
      <c r="W45" s="117">
        <v>7.629999999999999</v>
      </c>
      <c r="X45" s="215">
        <f t="shared" ref="X45:X51" si="47">G45-W45</f>
        <v>-1.0599999999999987</v>
      </c>
    </row>
    <row r="46" spans="1:24" s="117" customFormat="1" ht="20.25" hidden="1" customHeight="1">
      <c r="A46" s="112" t="s">
        <v>476</v>
      </c>
      <c r="B46" s="118" t="s">
        <v>699</v>
      </c>
      <c r="C46" s="412"/>
      <c r="D46" s="353"/>
      <c r="E46" s="329"/>
      <c r="F46" s="328"/>
      <c r="G46" s="119">
        <f>ESTIMATE!I284</f>
        <v>0</v>
      </c>
      <c r="H46" s="114" t="s">
        <v>77</v>
      </c>
      <c r="I46" s="138">
        <f>ESTIMATE!K284</f>
        <v>3044.99</v>
      </c>
      <c r="J46" s="18">
        <f t="shared" si="45"/>
        <v>0</v>
      </c>
      <c r="K46" s="116">
        <f t="shared" si="7"/>
        <v>0</v>
      </c>
      <c r="L46" s="116">
        <f t="shared" si="8"/>
        <v>0</v>
      </c>
      <c r="M46" s="112" t="s">
        <v>15</v>
      </c>
      <c r="N46" s="256">
        <f t="shared" si="9"/>
        <v>-3044.99</v>
      </c>
      <c r="S46" s="117">
        <v>47579</v>
      </c>
      <c r="U46" s="215">
        <f t="shared" si="46"/>
        <v>-47579</v>
      </c>
      <c r="W46" s="117">
        <v>17.350000000000001</v>
      </c>
      <c r="X46" s="215">
        <f t="shared" si="47"/>
        <v>-17.350000000000001</v>
      </c>
    </row>
    <row r="47" spans="1:24" s="117" customFormat="1" ht="20.25" hidden="1" customHeight="1">
      <c r="A47" s="112" t="s">
        <v>477</v>
      </c>
      <c r="B47" s="118" t="s">
        <v>700</v>
      </c>
      <c r="C47" s="253"/>
      <c r="D47" s="263"/>
      <c r="E47" s="138"/>
      <c r="F47" s="18"/>
      <c r="G47" s="119">
        <f>ESTIMATE!I291</f>
        <v>0</v>
      </c>
      <c r="H47" s="114" t="s">
        <v>102</v>
      </c>
      <c r="I47" s="138">
        <f>ESTIMATE!K291</f>
        <v>2807.05</v>
      </c>
      <c r="J47" s="18">
        <f t="shared" si="45"/>
        <v>0</v>
      </c>
      <c r="K47" s="116">
        <f t="shared" si="7"/>
        <v>0</v>
      </c>
      <c r="L47" s="116">
        <f t="shared" si="8"/>
        <v>0</v>
      </c>
      <c r="M47" s="112" t="s">
        <v>15</v>
      </c>
      <c r="N47" s="256">
        <f t="shared" si="9"/>
        <v>-2807.05</v>
      </c>
      <c r="S47" s="117">
        <v>17444</v>
      </c>
      <c r="U47" s="215">
        <f t="shared" si="46"/>
        <v>-17444</v>
      </c>
      <c r="W47" s="117">
        <v>6.76</v>
      </c>
      <c r="X47" s="215">
        <f t="shared" si="47"/>
        <v>-6.76</v>
      </c>
    </row>
    <row r="48" spans="1:24" s="117" customFormat="1" ht="20.25" hidden="1" customHeight="1">
      <c r="A48" s="112" t="s">
        <v>489</v>
      </c>
      <c r="B48" s="118" t="s">
        <v>701</v>
      </c>
      <c r="C48" s="265"/>
      <c r="D48" s="263"/>
      <c r="E48" s="138"/>
      <c r="F48" s="18"/>
      <c r="G48" s="119">
        <f>ESTIMATE!I311</f>
        <v>0</v>
      </c>
      <c r="H48" s="114" t="s">
        <v>102</v>
      </c>
      <c r="I48" s="138">
        <f>ESTIMATE!K311</f>
        <v>780.17</v>
      </c>
      <c r="J48" s="18">
        <f t="shared" si="45"/>
        <v>0</v>
      </c>
      <c r="K48" s="116">
        <f t="shared" si="7"/>
        <v>0</v>
      </c>
      <c r="L48" s="116">
        <f t="shared" si="8"/>
        <v>0</v>
      </c>
      <c r="M48" s="112" t="s">
        <v>15</v>
      </c>
      <c r="N48" s="256">
        <f t="shared" si="9"/>
        <v>-780.17</v>
      </c>
      <c r="S48" s="117">
        <v>5003</v>
      </c>
      <c r="U48" s="215">
        <f t="shared" si="46"/>
        <v>-5003</v>
      </c>
      <c r="W48" s="117">
        <v>13.879999999999999</v>
      </c>
      <c r="X48" s="215">
        <f t="shared" si="47"/>
        <v>-13.879999999999999</v>
      </c>
    </row>
    <row r="49" spans="1:24" s="117" customFormat="1" ht="20.25" hidden="1" customHeight="1">
      <c r="A49" s="112" t="s">
        <v>490</v>
      </c>
      <c r="B49" s="118" t="s">
        <v>702</v>
      </c>
      <c r="C49" s="253"/>
      <c r="D49" s="263"/>
      <c r="E49" s="138"/>
      <c r="F49" s="18"/>
      <c r="G49" s="119">
        <f>ESTIMATE!I321</f>
        <v>0</v>
      </c>
      <c r="H49" s="114" t="s">
        <v>102</v>
      </c>
      <c r="I49" s="138">
        <f>ESTIMATE!K321</f>
        <v>806.44</v>
      </c>
      <c r="J49" s="18">
        <f t="shared" si="45"/>
        <v>0</v>
      </c>
      <c r="K49" s="116">
        <f t="shared" si="7"/>
        <v>0</v>
      </c>
      <c r="L49" s="116">
        <f t="shared" si="8"/>
        <v>0</v>
      </c>
      <c r="M49" s="112" t="s">
        <v>15</v>
      </c>
      <c r="N49" s="256">
        <f t="shared" si="9"/>
        <v>-806.44</v>
      </c>
      <c r="S49" s="117">
        <v>0</v>
      </c>
      <c r="U49" s="215">
        <f t="shared" si="46"/>
        <v>0</v>
      </c>
      <c r="W49" s="117">
        <v>0</v>
      </c>
      <c r="X49" s="215">
        <f t="shared" si="47"/>
        <v>0</v>
      </c>
    </row>
    <row r="50" spans="1:24" s="117" customFormat="1" ht="20.25" hidden="1" customHeight="1">
      <c r="A50" s="112" t="s">
        <v>480</v>
      </c>
      <c r="B50" s="118" t="s">
        <v>499</v>
      </c>
      <c r="C50" s="414"/>
      <c r="D50" s="415" t="s">
        <v>102</v>
      </c>
      <c r="E50" s="329">
        <v>767.37</v>
      </c>
      <c r="F50" s="18">
        <f t="shared" ref="F50" si="48">ROUND(C50*E50,0)</f>
        <v>0</v>
      </c>
      <c r="G50" s="119">
        <f>ESTIMATE!I328</f>
        <v>9.93</v>
      </c>
      <c r="H50" s="114" t="s">
        <v>102</v>
      </c>
      <c r="I50" s="138">
        <f>ESTIMATE!K328</f>
        <v>985.07</v>
      </c>
      <c r="J50" s="18">
        <f t="shared" si="45"/>
        <v>9782</v>
      </c>
      <c r="K50" s="116">
        <f t="shared" si="7"/>
        <v>9782</v>
      </c>
      <c r="L50" s="116">
        <f t="shared" si="8"/>
        <v>0</v>
      </c>
      <c r="M50" s="112" t="s">
        <v>15</v>
      </c>
      <c r="N50" s="256">
        <f t="shared" si="9"/>
        <v>-217.70000000000005</v>
      </c>
      <c r="S50" s="117">
        <v>0</v>
      </c>
      <c r="U50" s="215">
        <f t="shared" si="46"/>
        <v>9782</v>
      </c>
      <c r="W50" s="117">
        <v>0</v>
      </c>
      <c r="X50" s="215">
        <f t="shared" si="47"/>
        <v>9.93</v>
      </c>
    </row>
    <row r="51" spans="1:24" s="117" customFormat="1" ht="20.25" hidden="1" customHeight="1">
      <c r="A51" s="112" t="s">
        <v>474</v>
      </c>
      <c r="B51" s="118" t="s">
        <v>560</v>
      </c>
      <c r="C51" s="214"/>
      <c r="D51" s="263"/>
      <c r="E51" s="15"/>
      <c r="F51" s="18"/>
      <c r="G51" s="119">
        <f>ESTIMATE!I335</f>
        <v>0</v>
      </c>
      <c r="H51" s="114" t="s">
        <v>102</v>
      </c>
      <c r="I51" s="138">
        <f>ESTIMATE!K335</f>
        <v>508.77</v>
      </c>
      <c r="J51" s="18">
        <f t="shared" si="45"/>
        <v>0</v>
      </c>
      <c r="K51" s="116">
        <f t="shared" si="7"/>
        <v>0</v>
      </c>
      <c r="L51" s="116">
        <f t="shared" si="8"/>
        <v>0</v>
      </c>
      <c r="M51" s="112" t="s">
        <v>15</v>
      </c>
      <c r="N51" s="256">
        <f t="shared" si="9"/>
        <v>-508.77</v>
      </c>
      <c r="S51" s="117">
        <v>0</v>
      </c>
      <c r="U51" s="215">
        <f t="shared" si="46"/>
        <v>0</v>
      </c>
      <c r="W51" s="117">
        <v>0</v>
      </c>
      <c r="X51" s="215">
        <f t="shared" si="47"/>
        <v>0</v>
      </c>
    </row>
    <row r="52" spans="1:24" s="117" customFormat="1" ht="20.25" hidden="1" customHeight="1">
      <c r="A52" s="112" t="s">
        <v>481</v>
      </c>
      <c r="B52" s="118" t="s">
        <v>998</v>
      </c>
      <c r="C52" s="253"/>
      <c r="D52" s="263"/>
      <c r="E52" s="138"/>
      <c r="F52" s="18"/>
      <c r="G52" s="119">
        <f>ESTIMATE!I340</f>
        <v>0</v>
      </c>
      <c r="H52" s="114" t="s">
        <v>102</v>
      </c>
      <c r="I52" s="138">
        <f>ESTIMATE!K340</f>
        <v>1423.03</v>
      </c>
      <c r="J52" s="18">
        <f t="shared" si="45"/>
        <v>0</v>
      </c>
      <c r="K52" s="116">
        <f t="shared" si="7"/>
        <v>0</v>
      </c>
      <c r="L52" s="116">
        <f t="shared" si="8"/>
        <v>0</v>
      </c>
      <c r="M52" s="112" t="s">
        <v>15</v>
      </c>
      <c r="N52" s="256">
        <f t="shared" si="9"/>
        <v>-1423.03</v>
      </c>
      <c r="U52" s="215"/>
      <c r="X52" s="215"/>
    </row>
    <row r="53" spans="1:24" s="117" customFormat="1" ht="20.25" hidden="1" customHeight="1">
      <c r="A53" s="112" t="s">
        <v>480</v>
      </c>
      <c r="B53" s="118" t="s">
        <v>495</v>
      </c>
      <c r="C53" s="265"/>
      <c r="D53" s="263"/>
      <c r="E53" s="12"/>
      <c r="F53" s="18"/>
      <c r="G53" s="119">
        <f>ESTIMATE!I269</f>
        <v>0</v>
      </c>
      <c r="H53" s="114" t="s">
        <v>102</v>
      </c>
      <c r="I53" s="138">
        <f>ESTIMATE!K269</f>
        <v>0</v>
      </c>
      <c r="J53" s="18">
        <f t="shared" ref="J53" si="49">ROUND(G53*I53,0)</f>
        <v>0</v>
      </c>
      <c r="K53" s="116">
        <f t="shared" si="7"/>
        <v>0</v>
      </c>
      <c r="L53" s="116">
        <f t="shared" si="8"/>
        <v>0</v>
      </c>
      <c r="M53" s="112" t="s">
        <v>15</v>
      </c>
      <c r="N53" s="256">
        <f t="shared" si="9"/>
        <v>0</v>
      </c>
      <c r="U53" s="215"/>
      <c r="X53" s="215"/>
    </row>
    <row r="54" spans="1:24" s="117" customFormat="1" ht="20.25" hidden="1" customHeight="1">
      <c r="A54" s="112" t="s">
        <v>482</v>
      </c>
      <c r="B54" s="118" t="s">
        <v>497</v>
      </c>
      <c r="C54" s="265"/>
      <c r="D54" s="263"/>
      <c r="E54" s="12"/>
      <c r="F54" s="18"/>
      <c r="G54" s="119"/>
      <c r="H54" s="114"/>
      <c r="I54" s="138"/>
      <c r="J54" s="18"/>
      <c r="K54" s="116">
        <f t="shared" si="7"/>
        <v>0</v>
      </c>
      <c r="L54" s="116">
        <f t="shared" si="8"/>
        <v>0</v>
      </c>
      <c r="M54" s="112" t="s">
        <v>15</v>
      </c>
      <c r="N54" s="256">
        <f t="shared" si="9"/>
        <v>0</v>
      </c>
      <c r="U54" s="215"/>
      <c r="X54" s="215"/>
    </row>
    <row r="55" spans="1:24" s="117" customFormat="1" ht="20.25" hidden="1" customHeight="1">
      <c r="A55" s="112" t="s">
        <v>479</v>
      </c>
      <c r="B55" s="118" t="s">
        <v>788</v>
      </c>
      <c r="C55" s="268"/>
      <c r="D55" s="359"/>
      <c r="E55" s="12"/>
      <c r="F55" s="18">
        <f t="shared" ref="F55" si="50">ROUND(C55*E55,0)</f>
        <v>0</v>
      </c>
      <c r="G55" s="119"/>
      <c r="H55" s="114"/>
      <c r="I55" s="138"/>
      <c r="J55" s="18"/>
      <c r="K55" s="116">
        <f t="shared" si="7"/>
        <v>0</v>
      </c>
      <c r="L55" s="116">
        <f t="shared" si="8"/>
        <v>0</v>
      </c>
      <c r="M55" s="112" t="s">
        <v>15</v>
      </c>
      <c r="N55" s="256">
        <f t="shared" si="9"/>
        <v>0</v>
      </c>
      <c r="U55" s="215">
        <f t="shared" si="10"/>
        <v>0</v>
      </c>
      <c r="X55" s="215">
        <f t="shared" si="11"/>
        <v>0</v>
      </c>
    </row>
    <row r="56" spans="1:24" s="117" customFormat="1" ht="20.25" hidden="1" customHeight="1">
      <c r="A56" s="112" t="s">
        <v>482</v>
      </c>
      <c r="B56" s="118" t="s">
        <v>910</v>
      </c>
      <c r="C56" s="412"/>
      <c r="D56" s="353"/>
      <c r="E56" s="329"/>
      <c r="F56" s="328"/>
      <c r="G56" s="119">
        <f>ESTIMATE!I375</f>
        <v>0</v>
      </c>
      <c r="H56" s="114" t="s">
        <v>102</v>
      </c>
      <c r="I56" s="138">
        <f>ESTIMATE!K375</f>
        <v>26.32</v>
      </c>
      <c r="J56" s="18">
        <f t="shared" si="44"/>
        <v>0</v>
      </c>
      <c r="K56" s="116">
        <f t="shared" si="7"/>
        <v>0</v>
      </c>
      <c r="L56" s="116">
        <f t="shared" si="8"/>
        <v>0</v>
      </c>
      <c r="M56" s="112" t="s">
        <v>15</v>
      </c>
      <c r="N56" s="256">
        <f t="shared" si="9"/>
        <v>-26.32</v>
      </c>
      <c r="S56" s="117">
        <v>9497</v>
      </c>
      <c r="U56" s="215">
        <f t="shared" si="10"/>
        <v>-9497</v>
      </c>
      <c r="W56" s="117">
        <v>477.94</v>
      </c>
      <c r="X56" s="215">
        <f t="shared" si="11"/>
        <v>-477.94</v>
      </c>
    </row>
    <row r="57" spans="1:24" s="117" customFormat="1" ht="20.25" hidden="1" customHeight="1">
      <c r="A57" s="112" t="s">
        <v>480</v>
      </c>
      <c r="B57" s="118" t="s">
        <v>911</v>
      </c>
      <c r="C57" s="253"/>
      <c r="D57" s="263"/>
      <c r="E57" s="138"/>
      <c r="F57" s="18"/>
      <c r="G57" s="119">
        <f>ESTIMATE!I403</f>
        <v>0</v>
      </c>
      <c r="H57" s="114" t="s">
        <v>102</v>
      </c>
      <c r="I57" s="138">
        <f>ESTIMATE!K403</f>
        <v>170.7</v>
      </c>
      <c r="J57" s="18">
        <f t="shared" si="44"/>
        <v>0</v>
      </c>
      <c r="K57" s="116">
        <f t="shared" si="7"/>
        <v>0</v>
      </c>
      <c r="L57" s="116">
        <f t="shared" si="8"/>
        <v>0</v>
      </c>
      <c r="M57" s="112" t="s">
        <v>15</v>
      </c>
      <c r="N57" s="256">
        <f t="shared" si="9"/>
        <v>-170.7</v>
      </c>
      <c r="S57" s="117">
        <v>53458</v>
      </c>
      <c r="U57" s="215">
        <f t="shared" si="10"/>
        <v>-53458</v>
      </c>
      <c r="W57" s="117">
        <v>361.02999999999992</v>
      </c>
      <c r="X57" s="215">
        <f t="shared" si="11"/>
        <v>-361.02999999999992</v>
      </c>
    </row>
    <row r="58" spans="1:24" s="117" customFormat="1" ht="20.25" hidden="1" customHeight="1">
      <c r="A58" s="112" t="s">
        <v>481</v>
      </c>
      <c r="B58" s="118" t="s">
        <v>945</v>
      </c>
      <c r="C58" s="414"/>
      <c r="D58" s="415" t="s">
        <v>102</v>
      </c>
      <c r="E58" s="329">
        <v>134.84</v>
      </c>
      <c r="F58" s="18">
        <f t="shared" ref="F58:F60" si="51">ROUND(C58*E58,0)</f>
        <v>0</v>
      </c>
      <c r="G58" s="119">
        <f>ESTIMATE!I418</f>
        <v>177.76</v>
      </c>
      <c r="H58" s="114" t="s">
        <v>102</v>
      </c>
      <c r="I58" s="138">
        <f>ESTIMATE!K418</f>
        <v>178.97</v>
      </c>
      <c r="J58" s="18">
        <f>ROUND(G58*I58,0)</f>
        <v>31814</v>
      </c>
      <c r="K58" s="116">
        <f t="shared" si="7"/>
        <v>31814</v>
      </c>
      <c r="L58" s="116">
        <f t="shared" si="8"/>
        <v>0</v>
      </c>
      <c r="M58" s="112" t="s">
        <v>15</v>
      </c>
      <c r="N58" s="256">
        <f t="shared" si="9"/>
        <v>-44.129999999999995</v>
      </c>
      <c r="S58" s="117">
        <v>45249</v>
      </c>
      <c r="U58" s="215">
        <f>J58-S58</f>
        <v>-13435</v>
      </c>
      <c r="W58" s="117">
        <v>322.30999999999995</v>
      </c>
      <c r="X58" s="215">
        <f>G58-W58</f>
        <v>-144.54999999999995</v>
      </c>
    </row>
    <row r="59" spans="1:24" s="117" customFormat="1" ht="20.25" hidden="1" customHeight="1">
      <c r="A59" s="112" t="s">
        <v>482</v>
      </c>
      <c r="B59" s="118" t="s">
        <v>946</v>
      </c>
      <c r="C59" s="414"/>
      <c r="D59" s="415" t="s">
        <v>102</v>
      </c>
      <c r="E59" s="329">
        <v>186.14</v>
      </c>
      <c r="F59" s="18">
        <f t="shared" si="51"/>
        <v>0</v>
      </c>
      <c r="G59" s="119">
        <f>ESTIMATE!I428</f>
        <v>152.12999999999997</v>
      </c>
      <c r="H59" s="114" t="s">
        <v>102</v>
      </c>
      <c r="I59" s="138">
        <f>ESTIMATE!K428</f>
        <v>245.55</v>
      </c>
      <c r="J59" s="18">
        <f>ROUND(G59*I59,0)</f>
        <v>37356</v>
      </c>
      <c r="K59" s="116">
        <f t="shared" si="7"/>
        <v>37356</v>
      </c>
      <c r="L59" s="116">
        <f t="shared" si="8"/>
        <v>0</v>
      </c>
      <c r="M59" s="112" t="s">
        <v>15</v>
      </c>
      <c r="N59" s="256">
        <f t="shared" si="9"/>
        <v>-59.410000000000025</v>
      </c>
      <c r="S59" s="117">
        <v>21122</v>
      </c>
      <c r="U59" s="215">
        <f>J59-S59</f>
        <v>16234</v>
      </c>
      <c r="W59" s="117">
        <v>116.91</v>
      </c>
      <c r="X59" s="215">
        <f>G59-W59</f>
        <v>35.21999999999997</v>
      </c>
    </row>
    <row r="60" spans="1:24" s="117" customFormat="1" ht="25.5" hidden="1">
      <c r="A60" s="112" t="s">
        <v>1283</v>
      </c>
      <c r="B60" s="118" t="s">
        <v>999</v>
      </c>
      <c r="C60" s="253"/>
      <c r="D60" s="263" t="s">
        <v>102</v>
      </c>
      <c r="E60" s="138">
        <v>897.27</v>
      </c>
      <c r="F60" s="18">
        <f t="shared" si="51"/>
        <v>0</v>
      </c>
      <c r="G60" s="119">
        <f>ESTIMATE!I438</f>
        <v>14.18</v>
      </c>
      <c r="H60" s="114" t="s">
        <v>102</v>
      </c>
      <c r="I60" s="138">
        <f>ESTIMATE!K438</f>
        <v>1280.9000000000001</v>
      </c>
      <c r="J60" s="18">
        <f t="shared" ref="J60" si="52">ROUND(G60*I60,0)</f>
        <v>18163</v>
      </c>
      <c r="K60" s="116">
        <f t="shared" si="7"/>
        <v>18163</v>
      </c>
      <c r="L60" s="116">
        <f t="shared" si="8"/>
        <v>0</v>
      </c>
      <c r="M60" s="112" t="s">
        <v>15</v>
      </c>
      <c r="N60" s="256">
        <f t="shared" si="9"/>
        <v>-383.63000000000011</v>
      </c>
      <c r="S60" s="117">
        <v>6572</v>
      </c>
      <c r="U60" s="215">
        <f t="shared" ref="U60" si="53">J60-S60</f>
        <v>11591</v>
      </c>
      <c r="W60" s="117">
        <v>38.090000000000003</v>
      </c>
      <c r="X60" s="215">
        <f t="shared" ref="X60" si="54">G60-W60</f>
        <v>-23.910000000000004</v>
      </c>
    </row>
    <row r="61" spans="1:24" s="117" customFormat="1" ht="20.25" hidden="1" customHeight="1">
      <c r="A61" s="112" t="s">
        <v>1283</v>
      </c>
      <c r="B61" s="118" t="s">
        <v>697</v>
      </c>
      <c r="C61" s="154"/>
      <c r="D61" s="358"/>
      <c r="E61" s="12"/>
      <c r="F61" s="18">
        <f>ROUND(C61*E61/1000,0)</f>
        <v>0</v>
      </c>
      <c r="G61" s="249">
        <f>ESTIMATE!I443</f>
        <v>0</v>
      </c>
      <c r="H61" s="121" t="s">
        <v>102</v>
      </c>
      <c r="I61" s="250">
        <f>ESTIMATE!K443</f>
        <v>4517</v>
      </c>
      <c r="J61" s="18">
        <f>ROUND(G61*I61,0)</f>
        <v>0</v>
      </c>
      <c r="K61" s="116">
        <f t="shared" si="7"/>
        <v>0</v>
      </c>
      <c r="L61" s="116">
        <f t="shared" si="8"/>
        <v>0</v>
      </c>
      <c r="M61" s="112" t="s">
        <v>15</v>
      </c>
      <c r="N61" s="256">
        <f t="shared" si="9"/>
        <v>-4517</v>
      </c>
      <c r="S61" s="117">
        <v>17909</v>
      </c>
      <c r="U61" s="215">
        <f>J61-S61</f>
        <v>-17909</v>
      </c>
      <c r="W61" s="117">
        <v>5.6</v>
      </c>
      <c r="X61" s="215">
        <f>G61-W61</f>
        <v>-5.6</v>
      </c>
    </row>
    <row r="62" spans="1:24" s="117" customFormat="1" ht="25.5" hidden="1">
      <c r="A62" s="112" t="s">
        <v>483</v>
      </c>
      <c r="B62" s="118" t="s">
        <v>912</v>
      </c>
      <c r="C62" s="414"/>
      <c r="D62" s="415" t="s">
        <v>102</v>
      </c>
      <c r="E62" s="329">
        <v>185.4</v>
      </c>
      <c r="F62" s="18">
        <f t="shared" ref="F62:F63" si="55">ROUND(C62*E62,0)</f>
        <v>0</v>
      </c>
      <c r="G62" s="119">
        <f>ESTIMATE!I433</f>
        <v>6.48</v>
      </c>
      <c r="H62" s="114" t="s">
        <v>102</v>
      </c>
      <c r="I62" s="138">
        <f>ESTIMATE!K433</f>
        <v>224.57</v>
      </c>
      <c r="J62" s="18">
        <f t="shared" si="44"/>
        <v>1455</v>
      </c>
      <c r="K62" s="116">
        <f t="shared" si="7"/>
        <v>1455</v>
      </c>
      <c r="L62" s="116">
        <f t="shared" si="8"/>
        <v>0</v>
      </c>
      <c r="M62" s="112" t="s">
        <v>15</v>
      </c>
      <c r="N62" s="256">
        <f t="shared" si="9"/>
        <v>-39.169999999999987</v>
      </c>
      <c r="S62" s="117">
        <v>6572</v>
      </c>
      <c r="U62" s="215">
        <f t="shared" si="10"/>
        <v>-5117</v>
      </c>
      <c r="W62" s="117">
        <v>38.090000000000003</v>
      </c>
      <c r="X62" s="215">
        <f t="shared" si="11"/>
        <v>-31.610000000000003</v>
      </c>
    </row>
    <row r="63" spans="1:24" s="117" customFormat="1" ht="25.5" hidden="1">
      <c r="A63" s="112" t="s">
        <v>484</v>
      </c>
      <c r="B63" s="118" t="s">
        <v>912</v>
      </c>
      <c r="C63" s="268"/>
      <c r="D63" s="359"/>
      <c r="E63" s="12"/>
      <c r="F63" s="18">
        <f t="shared" si="55"/>
        <v>0</v>
      </c>
      <c r="G63" s="119"/>
      <c r="H63" s="114"/>
      <c r="I63" s="138"/>
      <c r="J63" s="18"/>
      <c r="K63" s="116">
        <f t="shared" si="7"/>
        <v>0</v>
      </c>
      <c r="L63" s="116">
        <f t="shared" si="8"/>
        <v>0</v>
      </c>
      <c r="M63" s="112" t="s">
        <v>15</v>
      </c>
      <c r="N63" s="256">
        <f t="shared" si="9"/>
        <v>0</v>
      </c>
      <c r="U63" s="215"/>
      <c r="X63" s="215"/>
    </row>
    <row r="64" spans="1:24" s="117" customFormat="1" hidden="1">
      <c r="A64" s="112" t="s">
        <v>1286</v>
      </c>
      <c r="B64" s="118"/>
      <c r="C64" s="412"/>
      <c r="D64" s="353"/>
      <c r="E64" s="329"/>
      <c r="F64" s="328"/>
      <c r="G64" s="119"/>
      <c r="H64" s="114"/>
      <c r="I64" s="138"/>
      <c r="J64" s="18"/>
      <c r="K64" s="116">
        <f t="shared" si="7"/>
        <v>0</v>
      </c>
      <c r="L64" s="116">
        <f t="shared" si="8"/>
        <v>0</v>
      </c>
      <c r="M64" s="112" t="s">
        <v>15</v>
      </c>
      <c r="N64" s="256">
        <f t="shared" si="9"/>
        <v>0</v>
      </c>
      <c r="U64" s="215"/>
      <c r="X64" s="215"/>
    </row>
    <row r="65" spans="1:24" s="117" customFormat="1" ht="20.25" hidden="1" customHeight="1">
      <c r="A65" s="112" t="s">
        <v>483</v>
      </c>
      <c r="B65" s="118" t="s">
        <v>1253</v>
      </c>
      <c r="C65" s="214"/>
      <c r="D65" s="263"/>
      <c r="E65" s="15"/>
      <c r="F65" s="18"/>
      <c r="G65" s="119">
        <f>ESTIMATE!I450</f>
        <v>0</v>
      </c>
      <c r="H65" s="114" t="s">
        <v>114</v>
      </c>
      <c r="I65" s="138">
        <f>ESTIMATE!K450</f>
        <v>1040</v>
      </c>
      <c r="J65" s="18">
        <f>ROUND(G65*I65,0)</f>
        <v>0</v>
      </c>
      <c r="K65" s="116">
        <f t="shared" si="7"/>
        <v>0</v>
      </c>
      <c r="L65" s="116">
        <f t="shared" si="8"/>
        <v>0</v>
      </c>
      <c r="M65" s="112" t="s">
        <v>15</v>
      </c>
      <c r="N65" s="256">
        <f t="shared" si="9"/>
        <v>-1040</v>
      </c>
      <c r="S65" s="117">
        <v>130</v>
      </c>
      <c r="U65" s="215">
        <f>J65-S65</f>
        <v>-130</v>
      </c>
      <c r="W65" s="117">
        <v>1</v>
      </c>
      <c r="X65" s="215">
        <f>G65-W65</f>
        <v>-1</v>
      </c>
    </row>
    <row r="66" spans="1:24" s="117" customFormat="1" ht="20.25" hidden="1" customHeight="1">
      <c r="A66" s="112" t="s">
        <v>483</v>
      </c>
      <c r="B66" s="118" t="s">
        <v>1254</v>
      </c>
      <c r="C66" s="214"/>
      <c r="D66" s="263"/>
      <c r="E66" s="15"/>
      <c r="F66" s="18"/>
      <c r="G66" s="119">
        <f>ESTIMATE!I454</f>
        <v>0</v>
      </c>
      <c r="H66" s="114" t="s">
        <v>114</v>
      </c>
      <c r="I66" s="138">
        <f>ESTIMATE!K454</f>
        <v>780</v>
      </c>
      <c r="J66" s="18">
        <f>ROUND(G66*I66,0)</f>
        <v>0</v>
      </c>
      <c r="K66" s="116">
        <f t="shared" si="7"/>
        <v>0</v>
      </c>
      <c r="L66" s="116">
        <f t="shared" si="8"/>
        <v>0</v>
      </c>
      <c r="M66" s="112" t="s">
        <v>15</v>
      </c>
      <c r="N66" s="256">
        <f t="shared" si="9"/>
        <v>-780</v>
      </c>
      <c r="S66" s="117">
        <v>130</v>
      </c>
      <c r="U66" s="215">
        <f>J66-S66</f>
        <v>-130</v>
      </c>
      <c r="W66" s="117">
        <v>1</v>
      </c>
      <c r="X66" s="215">
        <f>G66-W66</f>
        <v>-1</v>
      </c>
    </row>
    <row r="67" spans="1:24" s="117" customFormat="1" ht="27" hidden="1" customHeight="1">
      <c r="A67" s="112" t="s">
        <v>496</v>
      </c>
      <c r="B67" s="118" t="s">
        <v>1255</v>
      </c>
      <c r="C67" s="214"/>
      <c r="D67" s="263"/>
      <c r="E67" s="15"/>
      <c r="F67" s="18"/>
      <c r="G67" s="119">
        <f>ESTIMATE!I457</f>
        <v>0</v>
      </c>
      <c r="H67" s="114" t="s">
        <v>114</v>
      </c>
      <c r="I67" s="138">
        <f>ESTIMATE!K457</f>
        <v>250</v>
      </c>
      <c r="J67" s="18">
        <f t="shared" ref="J67:J68" si="56">ROUND(G67*I67,0)</f>
        <v>0</v>
      </c>
      <c r="K67" s="116">
        <f t="shared" si="7"/>
        <v>0</v>
      </c>
      <c r="L67" s="116">
        <f t="shared" si="8"/>
        <v>0</v>
      </c>
      <c r="M67" s="112" t="s">
        <v>15</v>
      </c>
      <c r="N67" s="256">
        <f t="shared" si="9"/>
        <v>-250</v>
      </c>
      <c r="S67" s="117">
        <v>5333</v>
      </c>
      <c r="U67" s="215">
        <f t="shared" si="10"/>
        <v>-5333</v>
      </c>
      <c r="W67" s="117">
        <v>8</v>
      </c>
      <c r="X67" s="215">
        <f t="shared" si="11"/>
        <v>-8</v>
      </c>
    </row>
    <row r="68" spans="1:24" s="117" customFormat="1" ht="20.25" hidden="1" customHeight="1">
      <c r="A68" s="112" t="s">
        <v>484</v>
      </c>
      <c r="B68" s="118" t="s">
        <v>467</v>
      </c>
      <c r="C68" s="417"/>
      <c r="D68" s="246" t="s">
        <v>29</v>
      </c>
      <c r="E68" s="418">
        <v>68459</v>
      </c>
      <c r="F68" s="18">
        <f>ROUND(C68*E68/1,0)</f>
        <v>0</v>
      </c>
      <c r="G68" s="249">
        <f>ESTIMATE!I460</f>
        <v>3.7</v>
      </c>
      <c r="H68" s="121" t="s">
        <v>29</v>
      </c>
      <c r="I68" s="250">
        <f>ESTIMATE!K460</f>
        <v>86540.55</v>
      </c>
      <c r="J68" s="18">
        <f t="shared" si="56"/>
        <v>320200</v>
      </c>
      <c r="K68" s="116">
        <f t="shared" si="7"/>
        <v>320200</v>
      </c>
      <c r="L68" s="116">
        <f t="shared" si="8"/>
        <v>0</v>
      </c>
      <c r="M68" s="112" t="s">
        <v>15</v>
      </c>
      <c r="N68" s="256">
        <f t="shared" si="9"/>
        <v>-18081.550000000003</v>
      </c>
      <c r="S68" s="117">
        <v>349556</v>
      </c>
      <c r="U68" s="215">
        <f t="shared" si="10"/>
        <v>-29356</v>
      </c>
      <c r="W68" s="117">
        <v>5.62</v>
      </c>
      <c r="X68" s="215">
        <f t="shared" si="11"/>
        <v>-1.92</v>
      </c>
    </row>
    <row r="69" spans="1:24" s="117" customFormat="1" ht="20.25" hidden="1" customHeight="1">
      <c r="A69" s="112" t="s">
        <v>486</v>
      </c>
      <c r="B69" s="118"/>
      <c r="C69" s="154"/>
      <c r="D69" s="359"/>
      <c r="E69" s="12"/>
      <c r="F69" s="18">
        <f>ROUND(C69*E69/1000,0)</f>
        <v>0</v>
      </c>
      <c r="G69" s="249"/>
      <c r="H69" s="121"/>
      <c r="I69" s="250"/>
      <c r="J69" s="18"/>
      <c r="K69" s="116">
        <f t="shared" si="7"/>
        <v>0</v>
      </c>
      <c r="L69" s="116">
        <f t="shared" si="8"/>
        <v>0</v>
      </c>
      <c r="M69" s="112" t="s">
        <v>15</v>
      </c>
      <c r="N69" s="256">
        <f t="shared" si="9"/>
        <v>0</v>
      </c>
      <c r="U69" s="215">
        <f t="shared" si="10"/>
        <v>0</v>
      </c>
      <c r="X69" s="215">
        <f t="shared" si="11"/>
        <v>0</v>
      </c>
    </row>
    <row r="70" spans="1:24" s="117" customFormat="1" ht="20.25" customHeight="1">
      <c r="A70" s="112"/>
      <c r="B70" s="113" t="s">
        <v>487</v>
      </c>
      <c r="C70" s="214"/>
      <c r="D70" s="257"/>
      <c r="E70" s="15"/>
      <c r="F70" s="18"/>
      <c r="G70" s="119"/>
      <c r="H70" s="257"/>
      <c r="I70" s="138"/>
      <c r="J70" s="18">
        <f t="shared" si="6"/>
        <v>0</v>
      </c>
      <c r="K70" s="116">
        <f t="shared" si="7"/>
        <v>0</v>
      </c>
      <c r="L70" s="116">
        <f t="shared" si="8"/>
        <v>0</v>
      </c>
      <c r="M70" s="112" t="s">
        <v>15</v>
      </c>
      <c r="N70" s="256">
        <f t="shared" si="9"/>
        <v>0</v>
      </c>
      <c r="S70" s="117">
        <v>0</v>
      </c>
      <c r="U70" s="215">
        <f t="shared" si="10"/>
        <v>0</v>
      </c>
      <c r="X70" s="215">
        <f t="shared" si="11"/>
        <v>0</v>
      </c>
    </row>
    <row r="71" spans="1:24" s="117" customFormat="1" ht="20.25" hidden="1" customHeight="1">
      <c r="A71" s="112" t="s">
        <v>485</v>
      </c>
      <c r="B71" s="118" t="s">
        <v>1002</v>
      </c>
      <c r="C71" s="414"/>
      <c r="D71" s="415" t="s">
        <v>5</v>
      </c>
      <c r="E71" s="329">
        <v>10755.279999999999</v>
      </c>
      <c r="F71" s="18">
        <f t="shared" ref="F71:F73" si="57">ROUND(C71*E71,0)</f>
        <v>0</v>
      </c>
      <c r="G71" s="119">
        <f>ESTIMATE!I466</f>
        <v>0</v>
      </c>
      <c r="H71" s="114" t="s">
        <v>5</v>
      </c>
      <c r="I71" s="138">
        <f>ESTIMATE!K466</f>
        <v>13584.89</v>
      </c>
      <c r="J71" s="18">
        <f t="shared" si="6"/>
        <v>0</v>
      </c>
      <c r="K71" s="116">
        <f t="shared" si="7"/>
        <v>0</v>
      </c>
      <c r="L71" s="116">
        <f t="shared" si="8"/>
        <v>0</v>
      </c>
      <c r="M71" s="112" t="s">
        <v>15</v>
      </c>
      <c r="N71" s="256">
        <f t="shared" si="9"/>
        <v>-2829.6100000000006</v>
      </c>
      <c r="S71" s="117">
        <v>32680</v>
      </c>
      <c r="U71" s="215">
        <f t="shared" si="10"/>
        <v>-32680</v>
      </c>
      <c r="W71" s="117">
        <v>3.45</v>
      </c>
      <c r="X71" s="215">
        <f t="shared" si="11"/>
        <v>-3.45</v>
      </c>
    </row>
    <row r="72" spans="1:24" s="117" customFormat="1" ht="20.25" hidden="1" customHeight="1">
      <c r="A72" s="112" t="s">
        <v>486</v>
      </c>
      <c r="B72" s="118" t="s">
        <v>1004</v>
      </c>
      <c r="C72" s="414"/>
      <c r="D72" s="415" t="s">
        <v>5</v>
      </c>
      <c r="E72" s="329">
        <v>10188.65</v>
      </c>
      <c r="F72" s="18">
        <f t="shared" si="57"/>
        <v>0</v>
      </c>
      <c r="G72" s="119">
        <f>ESTIMATE!I472</f>
        <v>0</v>
      </c>
      <c r="H72" s="114" t="s">
        <v>5</v>
      </c>
      <c r="I72" s="138">
        <f>ESTIMATE!K472</f>
        <v>12444.66</v>
      </c>
      <c r="J72" s="18">
        <f t="shared" si="6"/>
        <v>0</v>
      </c>
      <c r="K72" s="116">
        <f t="shared" si="7"/>
        <v>0</v>
      </c>
      <c r="L72" s="116">
        <f t="shared" si="8"/>
        <v>0</v>
      </c>
      <c r="M72" s="112" t="s">
        <v>15</v>
      </c>
      <c r="N72" s="256">
        <f t="shared" si="9"/>
        <v>-2256.0100000000002</v>
      </c>
      <c r="S72" s="117">
        <v>67160</v>
      </c>
      <c r="U72" s="215">
        <f t="shared" si="10"/>
        <v>-67160</v>
      </c>
      <c r="W72" s="117">
        <v>7.3500000000000005</v>
      </c>
      <c r="X72" s="215">
        <f t="shared" si="11"/>
        <v>-7.3500000000000005</v>
      </c>
    </row>
    <row r="73" spans="1:24" s="117" customFormat="1" ht="20.25" hidden="1" customHeight="1">
      <c r="A73" s="112" t="s">
        <v>1284</v>
      </c>
      <c r="B73" s="118" t="s">
        <v>1005</v>
      </c>
      <c r="C73" s="414"/>
      <c r="D73" s="415" t="s">
        <v>102</v>
      </c>
      <c r="E73" s="329">
        <v>1349.81</v>
      </c>
      <c r="F73" s="18">
        <f t="shared" si="57"/>
        <v>0</v>
      </c>
      <c r="G73" s="119">
        <f>ESTIMATE!I484</f>
        <v>0</v>
      </c>
      <c r="H73" s="114" t="s">
        <v>102</v>
      </c>
      <c r="I73" s="138">
        <f>ESTIMATE!K484</f>
        <v>1676.1100000000001</v>
      </c>
      <c r="J73" s="18">
        <f t="shared" si="6"/>
        <v>0</v>
      </c>
      <c r="K73" s="116">
        <f t="shared" ref="K73:K136" si="58">IF(J73&gt;F73,J73-F73,0)</f>
        <v>0</v>
      </c>
      <c r="L73" s="116">
        <f t="shared" ref="L73:L136" si="59">IF(J73&lt;F73,F73-J73,0)</f>
        <v>0</v>
      </c>
      <c r="M73" s="112" t="s">
        <v>15</v>
      </c>
      <c r="N73" s="256">
        <f t="shared" ref="N73:N136" si="60">E73-I73</f>
        <v>-326.30000000000018</v>
      </c>
      <c r="S73" s="117">
        <v>139597</v>
      </c>
      <c r="U73" s="215">
        <f t="shared" si="10"/>
        <v>-139597</v>
      </c>
      <c r="W73" s="117">
        <v>117.23</v>
      </c>
      <c r="X73" s="215">
        <f t="shared" si="11"/>
        <v>-117.23</v>
      </c>
    </row>
    <row r="74" spans="1:24" s="117" customFormat="1" ht="20.25" hidden="1" customHeight="1">
      <c r="A74" s="112" t="s">
        <v>478</v>
      </c>
      <c r="B74" s="118" t="s">
        <v>1011</v>
      </c>
      <c r="C74" s="214"/>
      <c r="D74" s="263"/>
      <c r="E74" s="15"/>
      <c r="F74" s="18"/>
      <c r="G74" s="119">
        <f>ESTIMATE!I489</f>
        <v>0</v>
      </c>
      <c r="H74" s="114" t="s">
        <v>102</v>
      </c>
      <c r="I74" s="138">
        <f>ESTIMATE!K489</f>
        <v>1321.4</v>
      </c>
      <c r="J74" s="18">
        <f t="shared" ref="J74" si="61">ROUND(G74*I74,0)</f>
        <v>0</v>
      </c>
      <c r="K74" s="116">
        <f t="shared" si="58"/>
        <v>0</v>
      </c>
      <c r="L74" s="116">
        <f t="shared" si="59"/>
        <v>0</v>
      </c>
      <c r="M74" s="112" t="s">
        <v>15</v>
      </c>
      <c r="N74" s="256">
        <f t="shared" si="60"/>
        <v>-1321.4</v>
      </c>
      <c r="S74" s="117">
        <v>0</v>
      </c>
      <c r="U74" s="215">
        <f t="shared" si="10"/>
        <v>0</v>
      </c>
      <c r="X74" s="215">
        <f t="shared" si="11"/>
        <v>0</v>
      </c>
    </row>
    <row r="75" spans="1:24" s="117" customFormat="1" ht="20.25" hidden="1" customHeight="1">
      <c r="A75" s="112" t="s">
        <v>1287</v>
      </c>
      <c r="B75" s="118" t="s">
        <v>1006</v>
      </c>
      <c r="C75" s="154"/>
      <c r="D75" s="358"/>
      <c r="E75" s="12"/>
      <c r="F75" s="18">
        <f t="shared" ref="F75" si="62">ROUND(C75*E75,0)</f>
        <v>0</v>
      </c>
      <c r="G75" s="119">
        <f>ESTIMATE!I480</f>
        <v>0</v>
      </c>
      <c r="H75" s="121" t="s">
        <v>102</v>
      </c>
      <c r="I75" s="138">
        <f>ESTIMATE!K480</f>
        <v>1663.5299999999997</v>
      </c>
      <c r="J75" s="18">
        <f t="shared" si="6"/>
        <v>0</v>
      </c>
      <c r="K75" s="116">
        <f t="shared" si="58"/>
        <v>0</v>
      </c>
      <c r="L75" s="116">
        <f t="shared" si="59"/>
        <v>0</v>
      </c>
      <c r="M75" s="112" t="s">
        <v>15</v>
      </c>
      <c r="N75" s="256">
        <f t="shared" si="60"/>
        <v>-1663.5299999999997</v>
      </c>
      <c r="S75" s="117">
        <v>23110</v>
      </c>
      <c r="U75" s="215">
        <f t="shared" si="10"/>
        <v>-23110</v>
      </c>
      <c r="W75" s="117">
        <v>13.670000000000002</v>
      </c>
      <c r="X75" s="215">
        <f t="shared" si="11"/>
        <v>-13.670000000000002</v>
      </c>
    </row>
    <row r="76" spans="1:24" s="117" customFormat="1" ht="20.25" hidden="1" customHeight="1">
      <c r="A76" s="112" t="s">
        <v>505</v>
      </c>
      <c r="B76" s="118" t="s">
        <v>1048</v>
      </c>
      <c r="C76" s="265"/>
      <c r="D76" s="264"/>
      <c r="E76" s="266"/>
      <c r="F76" s="18"/>
      <c r="G76" s="119">
        <f>ESTIMATE!I500</f>
        <v>0</v>
      </c>
      <c r="H76" s="121" t="s">
        <v>102</v>
      </c>
      <c r="I76" s="138">
        <f>ESTIMATE!K500</f>
        <v>841.31</v>
      </c>
      <c r="J76" s="18">
        <f t="shared" ref="J76" si="63">ROUND(G76*I76,0)</f>
        <v>0</v>
      </c>
      <c r="K76" s="116">
        <f t="shared" si="58"/>
        <v>0</v>
      </c>
      <c r="L76" s="116">
        <f t="shared" si="59"/>
        <v>0</v>
      </c>
      <c r="M76" s="112" t="s">
        <v>15</v>
      </c>
      <c r="N76" s="256">
        <f t="shared" si="60"/>
        <v>-841.31</v>
      </c>
      <c r="S76" s="117">
        <v>0</v>
      </c>
      <c r="U76" s="215">
        <f t="shared" ref="U76" si="64">J76-S76</f>
        <v>0</v>
      </c>
      <c r="X76" s="215">
        <f t="shared" ref="X76" si="65">G76-W76</f>
        <v>0</v>
      </c>
    </row>
    <row r="77" spans="1:24" s="117" customFormat="1" ht="20.25" hidden="1" customHeight="1">
      <c r="A77" s="112" t="s">
        <v>505</v>
      </c>
      <c r="B77" s="118" t="s">
        <v>1256</v>
      </c>
      <c r="C77" s="265"/>
      <c r="D77" s="264"/>
      <c r="E77" s="266"/>
      <c r="F77" s="18"/>
      <c r="G77" s="119">
        <f>ESTIMATE!I511</f>
        <v>0</v>
      </c>
      <c r="H77" s="121" t="s">
        <v>102</v>
      </c>
      <c r="I77" s="138">
        <f>ESTIMATE!K511</f>
        <v>668.77</v>
      </c>
      <c r="J77" s="18">
        <f t="shared" ref="J77" si="66">ROUND(G77*I77,0)</f>
        <v>0</v>
      </c>
      <c r="K77" s="116">
        <f t="shared" si="58"/>
        <v>0</v>
      </c>
      <c r="L77" s="116">
        <f t="shared" si="59"/>
        <v>0</v>
      </c>
      <c r="M77" s="112" t="s">
        <v>15</v>
      </c>
      <c r="N77" s="256">
        <f t="shared" si="60"/>
        <v>-668.77</v>
      </c>
      <c r="S77" s="117">
        <v>0</v>
      </c>
      <c r="U77" s="215">
        <f t="shared" ref="U77" si="67">J77-S77</f>
        <v>0</v>
      </c>
      <c r="X77" s="215">
        <f t="shared" ref="X77" si="68">G77-W77</f>
        <v>0</v>
      </c>
    </row>
    <row r="78" spans="1:24" s="117" customFormat="1" ht="20.25" hidden="1" customHeight="1">
      <c r="A78" s="112" t="s">
        <v>1285</v>
      </c>
      <c r="B78" s="118" t="s">
        <v>1008</v>
      </c>
      <c r="C78" s="414"/>
      <c r="D78" s="415" t="s">
        <v>5</v>
      </c>
      <c r="E78" s="329">
        <v>10775.78</v>
      </c>
      <c r="F78" s="18">
        <f t="shared" ref="F78:F80" si="69">ROUND(C78*E78,0)</f>
        <v>0</v>
      </c>
      <c r="G78" s="119">
        <f>ESTIMATE!I516</f>
        <v>0</v>
      </c>
      <c r="H78" s="114" t="s">
        <v>5</v>
      </c>
      <c r="I78" s="138">
        <f>ESTIMATE!K516</f>
        <v>13608.179999999998</v>
      </c>
      <c r="J78" s="18">
        <f t="shared" si="6"/>
        <v>0</v>
      </c>
      <c r="K78" s="116">
        <f t="shared" si="58"/>
        <v>0</v>
      </c>
      <c r="L78" s="116">
        <f t="shared" si="59"/>
        <v>0</v>
      </c>
      <c r="M78" s="112" t="s">
        <v>15</v>
      </c>
      <c r="N78" s="256">
        <f t="shared" si="60"/>
        <v>-2832.3999999999978</v>
      </c>
      <c r="S78" s="117">
        <v>12749</v>
      </c>
      <c r="U78" s="215">
        <f t="shared" si="10"/>
        <v>-12749</v>
      </c>
      <c r="W78" s="117">
        <v>1.3400000000000003</v>
      </c>
      <c r="X78" s="215">
        <f t="shared" si="11"/>
        <v>-1.3400000000000003</v>
      </c>
    </row>
    <row r="79" spans="1:24" s="117" customFormat="1" ht="20.25" hidden="1" customHeight="1">
      <c r="A79" s="112" t="s">
        <v>1286</v>
      </c>
      <c r="B79" s="118" t="s">
        <v>1009</v>
      </c>
      <c r="C79" s="414"/>
      <c r="D79" s="246" t="s">
        <v>274</v>
      </c>
      <c r="E79" s="329">
        <v>898.77</v>
      </c>
      <c r="F79" s="18">
        <f t="shared" si="69"/>
        <v>0</v>
      </c>
      <c r="G79" s="119">
        <f>ESTIMATE!I520</f>
        <v>0</v>
      </c>
      <c r="H79" s="121" t="s">
        <v>274</v>
      </c>
      <c r="I79" s="138">
        <f>ESTIMATE!K520</f>
        <v>1091.03</v>
      </c>
      <c r="J79" s="18">
        <f t="shared" si="6"/>
        <v>0</v>
      </c>
      <c r="K79" s="116">
        <f t="shared" si="58"/>
        <v>0</v>
      </c>
      <c r="L79" s="116">
        <f t="shared" si="59"/>
        <v>0</v>
      </c>
      <c r="M79" s="112" t="s">
        <v>15</v>
      </c>
      <c r="N79" s="256">
        <f t="shared" si="60"/>
        <v>-192.26</v>
      </c>
      <c r="S79" s="117">
        <v>10248</v>
      </c>
      <c r="U79" s="215">
        <f t="shared" si="10"/>
        <v>-10248</v>
      </c>
      <c r="W79" s="117">
        <v>12.5</v>
      </c>
      <c r="X79" s="215">
        <f t="shared" si="11"/>
        <v>-12.5</v>
      </c>
    </row>
    <row r="80" spans="1:24" s="117" customFormat="1" ht="20.25" customHeight="1">
      <c r="A80" s="112" t="s">
        <v>450</v>
      </c>
      <c r="B80" s="118" t="s">
        <v>1250</v>
      </c>
      <c r="C80" s="414"/>
      <c r="D80" s="246"/>
      <c r="E80" s="329"/>
      <c r="F80" s="18">
        <f t="shared" si="69"/>
        <v>0</v>
      </c>
      <c r="G80" s="119">
        <f>ESTIMATE!I526</f>
        <v>0</v>
      </c>
      <c r="H80" s="121" t="s">
        <v>102</v>
      </c>
      <c r="I80" s="138">
        <f>ESTIMATE!K526</f>
        <v>421.37</v>
      </c>
      <c r="J80" s="18">
        <f t="shared" si="6"/>
        <v>0</v>
      </c>
      <c r="K80" s="116">
        <f t="shared" si="58"/>
        <v>0</v>
      </c>
      <c r="L80" s="116">
        <f t="shared" si="59"/>
        <v>0</v>
      </c>
      <c r="M80" s="112" t="s">
        <v>15</v>
      </c>
      <c r="N80" s="256">
        <f t="shared" si="60"/>
        <v>-421.37</v>
      </c>
      <c r="S80" s="117">
        <v>43353</v>
      </c>
      <c r="U80" s="215">
        <f t="shared" si="10"/>
        <v>-43353</v>
      </c>
      <c r="W80" s="117">
        <v>117.23</v>
      </c>
      <c r="X80" s="215">
        <f t="shared" si="11"/>
        <v>-117.23</v>
      </c>
    </row>
    <row r="81" spans="1:24" s="117" customFormat="1" ht="20.25" hidden="1" customHeight="1">
      <c r="A81" s="112" t="s">
        <v>508</v>
      </c>
      <c r="B81" s="118" t="s">
        <v>1251</v>
      </c>
      <c r="C81" s="265"/>
      <c r="D81" s="264"/>
      <c r="E81" s="266"/>
      <c r="F81" s="18"/>
      <c r="G81" s="119">
        <f>ESTIMATE!I532</f>
        <v>0</v>
      </c>
      <c r="H81" s="121" t="s">
        <v>102</v>
      </c>
      <c r="I81" s="138">
        <f>ESTIMATE!K532</f>
        <v>483.74</v>
      </c>
      <c r="J81" s="18">
        <f t="shared" ref="J81" si="70">ROUND(G81*I81,0)</f>
        <v>0</v>
      </c>
      <c r="K81" s="116">
        <f t="shared" si="58"/>
        <v>0</v>
      </c>
      <c r="L81" s="116">
        <f t="shared" si="59"/>
        <v>0</v>
      </c>
      <c r="M81" s="112" t="s">
        <v>15</v>
      </c>
      <c r="N81" s="256">
        <f t="shared" si="60"/>
        <v>-483.74</v>
      </c>
      <c r="S81" s="117">
        <v>43353</v>
      </c>
      <c r="U81" s="215">
        <f t="shared" ref="U81" si="71">J81-S81</f>
        <v>-43353</v>
      </c>
      <c r="W81" s="117">
        <v>117.23</v>
      </c>
      <c r="X81" s="215">
        <f t="shared" ref="X81" si="72">G81-W81</f>
        <v>-117.23</v>
      </c>
    </row>
    <row r="82" spans="1:24" s="117" customFormat="1" ht="20.25" hidden="1" customHeight="1">
      <c r="A82" s="112" t="s">
        <v>490</v>
      </c>
      <c r="B82" s="118" t="s">
        <v>786</v>
      </c>
      <c r="C82" s="268"/>
      <c r="D82" s="359"/>
      <c r="E82" s="12"/>
      <c r="F82" s="18">
        <f t="shared" ref="F82:F83" si="73">ROUND(C82*E82,0)</f>
        <v>0</v>
      </c>
      <c r="G82" s="119">
        <f>ESTIMATE!I569</f>
        <v>0</v>
      </c>
      <c r="H82" s="114" t="s">
        <v>5</v>
      </c>
      <c r="I82" s="138">
        <f>ESTIMATE!K569</f>
        <v>7915.73</v>
      </c>
      <c r="J82" s="18">
        <f t="shared" ref="J82" si="74">ROUND(G82*I82,0)</f>
        <v>0</v>
      </c>
      <c r="K82" s="116">
        <f t="shared" si="58"/>
        <v>0</v>
      </c>
      <c r="L82" s="116">
        <f t="shared" si="59"/>
        <v>0</v>
      </c>
      <c r="M82" s="112" t="s">
        <v>15</v>
      </c>
      <c r="N82" s="256">
        <f t="shared" si="60"/>
        <v>-7915.73</v>
      </c>
      <c r="S82" s="117">
        <v>98200</v>
      </c>
      <c r="U82" s="215">
        <f t="shared" si="10"/>
        <v>-98200</v>
      </c>
      <c r="W82" s="117">
        <v>16.680000000000003</v>
      </c>
      <c r="X82" s="215">
        <f t="shared" si="11"/>
        <v>-16.680000000000003</v>
      </c>
    </row>
    <row r="83" spans="1:24" s="117" customFormat="1" ht="20.25" hidden="1" customHeight="1">
      <c r="A83" s="112" t="s">
        <v>1288</v>
      </c>
      <c r="B83" s="118" t="s">
        <v>785</v>
      </c>
      <c r="C83" s="414"/>
      <c r="D83" s="415" t="s">
        <v>5</v>
      </c>
      <c r="E83" s="329">
        <v>6519.2500000000009</v>
      </c>
      <c r="F83" s="18">
        <f t="shared" si="73"/>
        <v>0</v>
      </c>
      <c r="G83" s="119">
        <f>ESTIMATE!I544</f>
        <v>0</v>
      </c>
      <c r="H83" s="114" t="s">
        <v>5</v>
      </c>
      <c r="I83" s="138">
        <f>ESTIMATE!K544</f>
        <v>8935.9399999999987</v>
      </c>
      <c r="J83" s="18">
        <f t="shared" si="6"/>
        <v>0</v>
      </c>
      <c r="K83" s="116">
        <f t="shared" si="58"/>
        <v>0</v>
      </c>
      <c r="L83" s="116">
        <f t="shared" si="59"/>
        <v>0</v>
      </c>
      <c r="M83" s="112" t="s">
        <v>15</v>
      </c>
      <c r="N83" s="256">
        <f t="shared" si="60"/>
        <v>-2416.6899999999978</v>
      </c>
      <c r="S83" s="117">
        <v>0</v>
      </c>
      <c r="U83" s="215">
        <f t="shared" si="10"/>
        <v>0</v>
      </c>
      <c r="X83" s="215">
        <f t="shared" si="11"/>
        <v>0</v>
      </c>
    </row>
    <row r="84" spans="1:24" s="117" customFormat="1" ht="27" hidden="1" customHeight="1">
      <c r="A84" s="112" t="s">
        <v>491</v>
      </c>
      <c r="B84" s="118" t="s">
        <v>696</v>
      </c>
      <c r="C84" s="268"/>
      <c r="D84" s="359"/>
      <c r="E84" s="12"/>
      <c r="F84" s="18">
        <f>ROUND(C84*E84/10,0)</f>
        <v>0</v>
      </c>
      <c r="G84" s="119">
        <f>ESTIMATE!I596</f>
        <v>0</v>
      </c>
      <c r="H84" s="114" t="s">
        <v>102</v>
      </c>
      <c r="I84" s="138">
        <f>ESTIMATE!K596</f>
        <v>1022.72</v>
      </c>
      <c r="J84" s="18">
        <f>ROUND(G84*I84/1,0)</f>
        <v>0</v>
      </c>
      <c r="K84" s="116">
        <f t="shared" si="58"/>
        <v>0</v>
      </c>
      <c r="L84" s="116">
        <f t="shared" si="59"/>
        <v>0</v>
      </c>
      <c r="M84" s="112" t="s">
        <v>15</v>
      </c>
      <c r="N84" s="256">
        <f t="shared" si="60"/>
        <v>-1022.72</v>
      </c>
      <c r="S84" s="117">
        <v>70796</v>
      </c>
      <c r="U84" s="215">
        <f t="shared" si="10"/>
        <v>-70796</v>
      </c>
      <c r="W84" s="117">
        <v>93.950000000000017</v>
      </c>
      <c r="X84" s="215">
        <f t="shared" si="11"/>
        <v>-93.950000000000017</v>
      </c>
    </row>
    <row r="85" spans="1:24" s="117" customFormat="1" hidden="1">
      <c r="A85" s="112" t="s">
        <v>474</v>
      </c>
      <c r="B85" s="118" t="s">
        <v>997</v>
      </c>
      <c r="C85" s="268"/>
      <c r="D85" s="263"/>
      <c r="E85" s="12"/>
      <c r="F85" s="18"/>
      <c r="G85" s="119">
        <f>ESTIMATE!I607</f>
        <v>0</v>
      </c>
      <c r="H85" s="114" t="s">
        <v>102</v>
      </c>
      <c r="I85" s="138">
        <f>ESTIMATE!K607</f>
        <v>7499.6200000000008</v>
      </c>
      <c r="J85" s="18">
        <f>ROUND(G85*I85/1,0)</f>
        <v>0</v>
      </c>
      <c r="K85" s="116">
        <f t="shared" si="58"/>
        <v>0</v>
      </c>
      <c r="L85" s="116">
        <f t="shared" si="59"/>
        <v>0</v>
      </c>
      <c r="M85" s="112" t="s">
        <v>15</v>
      </c>
      <c r="N85" s="256">
        <f t="shared" si="60"/>
        <v>-7499.6200000000008</v>
      </c>
      <c r="U85" s="215"/>
      <c r="X85" s="215"/>
    </row>
    <row r="86" spans="1:24" s="117" customFormat="1" hidden="1">
      <c r="A86" s="112" t="s">
        <v>475</v>
      </c>
      <c r="B86" s="118" t="s">
        <v>989</v>
      </c>
      <c r="C86" s="265"/>
      <c r="D86" s="263"/>
      <c r="E86" s="266"/>
      <c r="F86" s="18"/>
      <c r="G86" s="119">
        <f>ESTIMATE!I613</f>
        <v>0</v>
      </c>
      <c r="H86" s="114" t="s">
        <v>102</v>
      </c>
      <c r="I86" s="138">
        <f>ESTIMATE!K613</f>
        <v>2913.09</v>
      </c>
      <c r="J86" s="18">
        <f>ROUND(G86*I86/1,0)</f>
        <v>0</v>
      </c>
      <c r="K86" s="116">
        <f t="shared" si="58"/>
        <v>0</v>
      </c>
      <c r="L86" s="116">
        <f t="shared" si="59"/>
        <v>0</v>
      </c>
      <c r="M86" s="112" t="s">
        <v>15</v>
      </c>
      <c r="N86" s="256">
        <f t="shared" si="60"/>
        <v>-2913.09</v>
      </c>
      <c r="U86" s="215"/>
      <c r="X86" s="215"/>
    </row>
    <row r="87" spans="1:24" s="117" customFormat="1" ht="20.25" hidden="1" customHeight="1">
      <c r="A87" s="112" t="s">
        <v>488</v>
      </c>
      <c r="B87" s="118" t="s">
        <v>472</v>
      </c>
      <c r="C87" s="414"/>
      <c r="D87" s="415" t="s">
        <v>102</v>
      </c>
      <c r="E87" s="329">
        <v>340.19</v>
      </c>
      <c r="F87" s="18">
        <f t="shared" ref="F87" si="75">ROUND(C87*E87,0)</f>
        <v>0</v>
      </c>
      <c r="G87" s="119">
        <f>ESTIMATE!I621</f>
        <v>0</v>
      </c>
      <c r="H87" s="114" t="s">
        <v>102</v>
      </c>
      <c r="I87" s="138">
        <f>ESTIMATE!K621</f>
        <v>434.79</v>
      </c>
      <c r="J87" s="18">
        <f t="shared" si="6"/>
        <v>0</v>
      </c>
      <c r="K87" s="116">
        <f t="shared" si="58"/>
        <v>0</v>
      </c>
      <c r="L87" s="116">
        <f t="shared" si="59"/>
        <v>0</v>
      </c>
      <c r="M87" s="112" t="s">
        <v>15</v>
      </c>
      <c r="N87" s="256">
        <f t="shared" si="60"/>
        <v>-94.600000000000023</v>
      </c>
      <c r="S87" s="117">
        <v>40647</v>
      </c>
      <c r="U87" s="215">
        <f t="shared" si="10"/>
        <v>-40647</v>
      </c>
      <c r="W87" s="117">
        <v>142.76000000000002</v>
      </c>
      <c r="X87" s="215">
        <f t="shared" si="11"/>
        <v>-142.76000000000002</v>
      </c>
    </row>
    <row r="88" spans="1:24" s="117" customFormat="1" ht="20.25" hidden="1" customHeight="1">
      <c r="A88" s="112" t="s">
        <v>489</v>
      </c>
      <c r="B88" s="118" t="s">
        <v>493</v>
      </c>
      <c r="C88" s="214"/>
      <c r="D88" s="263"/>
      <c r="E88" s="138"/>
      <c r="F88" s="18"/>
      <c r="G88" s="119">
        <f>ESTIMATE!I631</f>
        <v>0</v>
      </c>
      <c r="H88" s="114" t="s">
        <v>102</v>
      </c>
      <c r="I88" s="138">
        <f>ESTIMATE!K631</f>
        <v>355.94</v>
      </c>
      <c r="J88" s="18">
        <f t="shared" si="6"/>
        <v>0</v>
      </c>
      <c r="K88" s="116">
        <f t="shared" si="58"/>
        <v>0</v>
      </c>
      <c r="L88" s="116">
        <f t="shared" si="59"/>
        <v>0</v>
      </c>
      <c r="M88" s="112" t="s">
        <v>15</v>
      </c>
      <c r="N88" s="256">
        <f t="shared" si="60"/>
        <v>-355.94</v>
      </c>
      <c r="S88" s="117">
        <v>0</v>
      </c>
      <c r="U88" s="215">
        <f t="shared" si="10"/>
        <v>0</v>
      </c>
      <c r="X88" s="215">
        <f t="shared" si="11"/>
        <v>0</v>
      </c>
    </row>
    <row r="89" spans="1:24" s="117" customFormat="1" ht="20.25" hidden="1" customHeight="1">
      <c r="A89" s="112" t="s">
        <v>490</v>
      </c>
      <c r="B89" s="118" t="s">
        <v>749</v>
      </c>
      <c r="C89" s="214"/>
      <c r="D89" s="263"/>
      <c r="E89" s="138"/>
      <c r="F89" s="18"/>
      <c r="G89" s="119">
        <f>ESTIMATE!I639</f>
        <v>0</v>
      </c>
      <c r="H89" s="114" t="s">
        <v>102</v>
      </c>
      <c r="I89" s="138">
        <f>ESTIMATE!K639</f>
        <v>371.5</v>
      </c>
      <c r="J89" s="18">
        <f t="shared" ref="J89:J90" si="76">ROUND(G89*I89,0)</f>
        <v>0</v>
      </c>
      <c r="K89" s="116">
        <f t="shared" si="58"/>
        <v>0</v>
      </c>
      <c r="L89" s="116">
        <f t="shared" si="59"/>
        <v>0</v>
      </c>
      <c r="M89" s="112" t="s">
        <v>15</v>
      </c>
      <c r="N89" s="256">
        <f t="shared" si="60"/>
        <v>-371.5</v>
      </c>
      <c r="S89" s="117">
        <v>0</v>
      </c>
      <c r="U89" s="215">
        <f t="shared" si="10"/>
        <v>0</v>
      </c>
      <c r="X89" s="215">
        <f t="shared" si="11"/>
        <v>0</v>
      </c>
    </row>
    <row r="90" spans="1:24" s="117" customFormat="1" ht="20.25" customHeight="1">
      <c r="A90" s="112" t="s">
        <v>451</v>
      </c>
      <c r="B90" s="118" t="s">
        <v>787</v>
      </c>
      <c r="C90" s="414">
        <v>150.41</v>
      </c>
      <c r="D90" s="415" t="s">
        <v>102</v>
      </c>
      <c r="E90" s="329">
        <v>435.97</v>
      </c>
      <c r="F90" s="18">
        <f t="shared" ref="F90:F91" si="77">ROUND(C90*E90,0)</f>
        <v>65574</v>
      </c>
      <c r="G90" s="119">
        <f>ESTIMATE!I664</f>
        <v>0</v>
      </c>
      <c r="H90" s="114" t="s">
        <v>102</v>
      </c>
      <c r="I90" s="138">
        <f>ESTIMATE!K664</f>
        <v>540.96</v>
      </c>
      <c r="J90" s="18">
        <f t="shared" si="76"/>
        <v>0</v>
      </c>
      <c r="K90" s="116">
        <f t="shared" si="58"/>
        <v>0</v>
      </c>
      <c r="L90" s="116">
        <f t="shared" si="59"/>
        <v>65574</v>
      </c>
      <c r="M90" s="112" t="s">
        <v>15</v>
      </c>
      <c r="N90" s="256">
        <f t="shared" si="60"/>
        <v>-104.99000000000001</v>
      </c>
      <c r="S90" s="117">
        <v>73418</v>
      </c>
      <c r="U90" s="215">
        <f t="shared" si="10"/>
        <v>-73418</v>
      </c>
      <c r="W90" s="117" t="s">
        <v>950</v>
      </c>
      <c r="X90" s="215">
        <f t="shared" si="11"/>
        <v>-281.20999999999998</v>
      </c>
    </row>
    <row r="91" spans="1:24" s="117" customFormat="1" ht="20.25" hidden="1" customHeight="1">
      <c r="A91" s="112" t="s">
        <v>492</v>
      </c>
      <c r="B91" s="118" t="s">
        <v>531</v>
      </c>
      <c r="C91" s="414"/>
      <c r="D91" s="415" t="s">
        <v>102</v>
      </c>
      <c r="E91" s="329">
        <v>430.85</v>
      </c>
      <c r="F91" s="18">
        <f t="shared" si="77"/>
        <v>0</v>
      </c>
      <c r="G91" s="119">
        <f>ESTIMATE!I672</f>
        <v>0</v>
      </c>
      <c r="H91" s="114" t="s">
        <v>102</v>
      </c>
      <c r="I91" s="138">
        <f>ESTIMATE!K672</f>
        <v>553.64</v>
      </c>
      <c r="J91" s="18">
        <f t="shared" si="6"/>
        <v>0</v>
      </c>
      <c r="K91" s="116">
        <f t="shared" si="58"/>
        <v>0</v>
      </c>
      <c r="L91" s="116">
        <f t="shared" si="59"/>
        <v>0</v>
      </c>
      <c r="M91" s="112" t="s">
        <v>15</v>
      </c>
      <c r="N91" s="256">
        <f t="shared" si="60"/>
        <v>-122.78999999999996</v>
      </c>
      <c r="S91" s="117">
        <v>43157</v>
      </c>
      <c r="U91" s="215">
        <f t="shared" ref="U91:U172" si="78">J91-S91</f>
        <v>-43157</v>
      </c>
      <c r="W91" s="117">
        <v>157.73000000000002</v>
      </c>
      <c r="X91" s="215">
        <f t="shared" ref="X91:X172" si="79">G91-W91</f>
        <v>-157.73000000000002</v>
      </c>
    </row>
    <row r="92" spans="1:24" s="117" customFormat="1" ht="20.25" hidden="1" customHeight="1">
      <c r="A92" s="112" t="s">
        <v>463</v>
      </c>
      <c r="B92" s="118" t="s">
        <v>1010</v>
      </c>
      <c r="C92" s="214"/>
      <c r="D92" s="263"/>
      <c r="E92" s="15"/>
      <c r="F92" s="18"/>
      <c r="G92" s="119">
        <f>ESTIMATE!I678</f>
        <v>0</v>
      </c>
      <c r="H92" s="114" t="s">
        <v>5</v>
      </c>
      <c r="I92" s="138">
        <f>ESTIMATE!K678</f>
        <v>6912.8</v>
      </c>
      <c r="J92" s="18">
        <f t="shared" ref="J92" si="80">ROUND(G92*I92,0)</f>
        <v>0</v>
      </c>
      <c r="K92" s="116">
        <f t="shared" si="58"/>
        <v>0</v>
      </c>
      <c r="L92" s="116">
        <f t="shared" si="59"/>
        <v>0</v>
      </c>
      <c r="M92" s="112" t="s">
        <v>15</v>
      </c>
      <c r="N92" s="256">
        <f t="shared" si="60"/>
        <v>-6912.8</v>
      </c>
      <c r="S92" s="117">
        <v>0</v>
      </c>
      <c r="U92" s="215">
        <f t="shared" si="78"/>
        <v>0</v>
      </c>
      <c r="W92" s="117">
        <v>0</v>
      </c>
      <c r="X92" s="215">
        <f t="shared" si="79"/>
        <v>0</v>
      </c>
    </row>
    <row r="93" spans="1:24" s="117" customFormat="1" ht="20.25" customHeight="1">
      <c r="A93" s="112" t="s">
        <v>452</v>
      </c>
      <c r="B93" s="118" t="s">
        <v>495</v>
      </c>
      <c r="C93" s="414">
        <v>42.19</v>
      </c>
      <c r="D93" s="415" t="s">
        <v>102</v>
      </c>
      <c r="E93" s="329">
        <v>1087.5999999999999</v>
      </c>
      <c r="F93" s="18">
        <f t="shared" ref="F93:F94" si="81">ROUND(C93*E93,0)</f>
        <v>45886</v>
      </c>
      <c r="G93" s="119">
        <f>ESTIMATE!I686</f>
        <v>0</v>
      </c>
      <c r="H93" s="114" t="s">
        <v>102</v>
      </c>
      <c r="I93" s="138">
        <f>ESTIMATE!K686</f>
        <v>1305.71</v>
      </c>
      <c r="J93" s="18">
        <f t="shared" si="6"/>
        <v>0</v>
      </c>
      <c r="K93" s="116">
        <f t="shared" si="58"/>
        <v>0</v>
      </c>
      <c r="L93" s="116">
        <f t="shared" si="59"/>
        <v>45886</v>
      </c>
      <c r="M93" s="112" t="s">
        <v>15</v>
      </c>
      <c r="N93" s="256">
        <f t="shared" si="60"/>
        <v>-218.11000000000013</v>
      </c>
      <c r="S93" s="117">
        <v>105936</v>
      </c>
      <c r="U93" s="215">
        <f t="shared" si="78"/>
        <v>-105936</v>
      </c>
      <c r="W93" s="117">
        <v>105.51</v>
      </c>
      <c r="X93" s="215">
        <f t="shared" si="79"/>
        <v>-105.51</v>
      </c>
    </row>
    <row r="94" spans="1:24" s="117" customFormat="1" ht="20.25" customHeight="1">
      <c r="A94" s="112" t="s">
        <v>453</v>
      </c>
      <c r="B94" s="118" t="s">
        <v>497</v>
      </c>
      <c r="C94" s="414">
        <v>4.51</v>
      </c>
      <c r="D94" s="415" t="s">
        <v>102</v>
      </c>
      <c r="E94" s="329">
        <v>1080.4000000000001</v>
      </c>
      <c r="F94" s="18">
        <f t="shared" si="81"/>
        <v>4873</v>
      </c>
      <c r="G94" s="119">
        <f>ESTIMATE!I701</f>
        <v>0</v>
      </c>
      <c r="H94" s="114" t="s">
        <v>102</v>
      </c>
      <c r="I94" s="138">
        <f>ESTIMATE!K701</f>
        <v>1301.5999999999999</v>
      </c>
      <c r="J94" s="18">
        <f>ROUND(G94*I94,0)</f>
        <v>0</v>
      </c>
      <c r="K94" s="116">
        <f t="shared" si="58"/>
        <v>0</v>
      </c>
      <c r="L94" s="116">
        <f t="shared" si="59"/>
        <v>4873</v>
      </c>
      <c r="M94" s="112" t="s">
        <v>15</v>
      </c>
      <c r="N94" s="256">
        <f t="shared" si="60"/>
        <v>-221.19999999999982</v>
      </c>
      <c r="S94" s="117">
        <v>9527</v>
      </c>
      <c r="U94" s="215">
        <f>J94-S94</f>
        <v>-9527</v>
      </c>
      <c r="W94" s="117">
        <v>9.4400000000000013</v>
      </c>
      <c r="X94" s="215">
        <f>G94-W94</f>
        <v>-9.4400000000000013</v>
      </c>
    </row>
    <row r="95" spans="1:24" s="117" customFormat="1" ht="20.25" hidden="1" customHeight="1">
      <c r="A95" s="112" t="s">
        <v>496</v>
      </c>
      <c r="B95" s="118" t="s">
        <v>699</v>
      </c>
      <c r="C95" s="253"/>
      <c r="D95" s="263"/>
      <c r="E95" s="138"/>
      <c r="F95" s="18"/>
      <c r="G95" s="119">
        <f>ESTIMATE!I708</f>
        <v>0</v>
      </c>
      <c r="H95" s="114" t="s">
        <v>77</v>
      </c>
      <c r="I95" s="138">
        <f>ESTIMATE!K708</f>
        <v>3122.89</v>
      </c>
      <c r="J95" s="18">
        <f t="shared" si="6"/>
        <v>0</v>
      </c>
      <c r="K95" s="116">
        <f t="shared" si="58"/>
        <v>0</v>
      </c>
      <c r="L95" s="116">
        <f t="shared" si="59"/>
        <v>0</v>
      </c>
      <c r="M95" s="112" t="s">
        <v>15</v>
      </c>
      <c r="N95" s="256">
        <f t="shared" si="60"/>
        <v>-3122.89</v>
      </c>
      <c r="S95" s="117">
        <v>33993</v>
      </c>
      <c r="U95" s="215">
        <f t="shared" si="78"/>
        <v>-33993</v>
      </c>
      <c r="W95" s="117">
        <v>12.16</v>
      </c>
      <c r="X95" s="215">
        <f t="shared" si="79"/>
        <v>-12.16</v>
      </c>
    </row>
    <row r="96" spans="1:24" s="117" customFormat="1" ht="20.25" hidden="1" customHeight="1">
      <c r="A96" s="112" t="s">
        <v>498</v>
      </c>
      <c r="B96" s="118" t="s">
        <v>831</v>
      </c>
      <c r="C96" s="253"/>
      <c r="D96" s="263"/>
      <c r="E96" s="138"/>
      <c r="F96" s="18"/>
      <c r="G96" s="119">
        <f>ESTIMATE!I714</f>
        <v>0</v>
      </c>
      <c r="H96" s="114" t="s">
        <v>102</v>
      </c>
      <c r="I96" s="138">
        <f>ESTIMATE!K714</f>
        <v>2859.99</v>
      </c>
      <c r="J96" s="18">
        <f t="shared" si="6"/>
        <v>0</v>
      </c>
      <c r="K96" s="116">
        <f t="shared" si="58"/>
        <v>0</v>
      </c>
      <c r="L96" s="116">
        <f t="shared" si="59"/>
        <v>0</v>
      </c>
      <c r="M96" s="112" t="s">
        <v>15</v>
      </c>
      <c r="N96" s="256">
        <f t="shared" si="60"/>
        <v>-2859.99</v>
      </c>
      <c r="S96" s="117">
        <v>11672</v>
      </c>
      <c r="U96" s="215">
        <f t="shared" si="78"/>
        <v>-11672</v>
      </c>
      <c r="W96" s="117">
        <v>4.46</v>
      </c>
      <c r="X96" s="215">
        <f t="shared" si="79"/>
        <v>-4.46</v>
      </c>
    </row>
    <row r="97" spans="1:24" s="117" customFormat="1" ht="20.25" hidden="1" customHeight="1">
      <c r="A97" s="112" t="s">
        <v>517</v>
      </c>
      <c r="B97" s="118" t="s">
        <v>701</v>
      </c>
      <c r="C97" s="253"/>
      <c r="D97" s="263"/>
      <c r="E97" s="138"/>
      <c r="F97" s="18"/>
      <c r="G97" s="119">
        <f>ESTIMATE!I729</f>
        <v>0</v>
      </c>
      <c r="H97" s="114" t="s">
        <v>102</v>
      </c>
      <c r="I97" s="138">
        <f>ESTIMATE!K729</f>
        <v>820.62</v>
      </c>
      <c r="J97" s="18">
        <f t="shared" si="6"/>
        <v>0</v>
      </c>
      <c r="K97" s="116">
        <f t="shared" si="58"/>
        <v>0</v>
      </c>
      <c r="L97" s="116">
        <f t="shared" si="59"/>
        <v>0</v>
      </c>
      <c r="M97" s="112" t="s">
        <v>15</v>
      </c>
      <c r="N97" s="256">
        <f t="shared" si="60"/>
        <v>-820.62</v>
      </c>
      <c r="S97" s="117">
        <v>5003</v>
      </c>
      <c r="U97" s="215">
        <f t="shared" si="78"/>
        <v>-5003</v>
      </c>
      <c r="W97" s="117">
        <v>13.879999999999999</v>
      </c>
      <c r="X97" s="215">
        <f t="shared" si="79"/>
        <v>-13.879999999999999</v>
      </c>
    </row>
    <row r="98" spans="1:24" s="117" customFormat="1" ht="20.25" hidden="1" customHeight="1">
      <c r="A98" s="112" t="s">
        <v>518</v>
      </c>
      <c r="B98" s="118" t="s">
        <v>702</v>
      </c>
      <c r="C98" s="253"/>
      <c r="D98" s="263"/>
      <c r="E98" s="138"/>
      <c r="F98" s="18"/>
      <c r="G98" s="119">
        <f>ESTIMATE!I739</f>
        <v>0</v>
      </c>
      <c r="H98" s="114" t="s">
        <v>102</v>
      </c>
      <c r="I98" s="138">
        <f>ESTIMATE!K739</f>
        <v>848.69</v>
      </c>
      <c r="J98" s="18">
        <f>ROUND(G98*I98,0)</f>
        <v>0</v>
      </c>
      <c r="K98" s="116">
        <f t="shared" si="58"/>
        <v>0</v>
      </c>
      <c r="L98" s="116">
        <f t="shared" si="59"/>
        <v>0</v>
      </c>
      <c r="M98" s="112" t="s">
        <v>15</v>
      </c>
      <c r="N98" s="256">
        <f t="shared" si="60"/>
        <v>-848.69</v>
      </c>
      <c r="S98" s="117">
        <v>0</v>
      </c>
      <c r="U98" s="215">
        <f>J98-S98</f>
        <v>0</v>
      </c>
      <c r="W98" s="117">
        <v>0</v>
      </c>
      <c r="X98" s="215">
        <f>G98-W98</f>
        <v>0</v>
      </c>
    </row>
    <row r="99" spans="1:24" s="117" customFormat="1" ht="20.25" customHeight="1">
      <c r="A99" s="112" t="s">
        <v>454</v>
      </c>
      <c r="B99" s="118" t="s">
        <v>499</v>
      </c>
      <c r="C99" s="414">
        <v>2.16</v>
      </c>
      <c r="D99" s="415" t="s">
        <v>102</v>
      </c>
      <c r="E99" s="329">
        <v>830.52</v>
      </c>
      <c r="F99" s="18">
        <f t="shared" ref="F99" si="82">ROUND(C99*E99,0)</f>
        <v>1794</v>
      </c>
      <c r="G99" s="119">
        <f>ESTIMATE!I744</f>
        <v>0</v>
      </c>
      <c r="H99" s="114" t="s">
        <v>102</v>
      </c>
      <c r="I99" s="138">
        <f>ESTIMATE!K744</f>
        <v>1033.07</v>
      </c>
      <c r="J99" s="18">
        <f t="shared" si="6"/>
        <v>0</v>
      </c>
      <c r="K99" s="116">
        <f t="shared" si="58"/>
        <v>0</v>
      </c>
      <c r="L99" s="116">
        <f t="shared" si="59"/>
        <v>1794</v>
      </c>
      <c r="M99" s="112" t="s">
        <v>15</v>
      </c>
      <c r="N99" s="256">
        <f t="shared" si="60"/>
        <v>-202.54999999999995</v>
      </c>
      <c r="S99" s="117">
        <v>6476</v>
      </c>
      <c r="U99" s="215">
        <f t="shared" si="78"/>
        <v>-6476</v>
      </c>
      <c r="W99" s="117">
        <v>9.24</v>
      </c>
      <c r="X99" s="215">
        <f t="shared" si="79"/>
        <v>-9.24</v>
      </c>
    </row>
    <row r="100" spans="1:24" s="117" customFormat="1" ht="20.25" customHeight="1">
      <c r="A100" s="112" t="s">
        <v>455</v>
      </c>
      <c r="B100" s="118" t="s">
        <v>560</v>
      </c>
      <c r="C100" s="414">
        <v>11.02</v>
      </c>
      <c r="D100" s="415" t="s">
        <v>102</v>
      </c>
      <c r="E100" s="329">
        <v>516.42999999999995</v>
      </c>
      <c r="F100" s="18">
        <f t="shared" ref="F100" si="83">ROUND(C100*E100,0)</f>
        <v>5691</v>
      </c>
      <c r="G100" s="119">
        <f>ESTIMATE!I750</f>
        <v>0</v>
      </c>
      <c r="H100" s="114" t="s">
        <v>102</v>
      </c>
      <c r="I100" s="138">
        <f>ESTIMATE!K750</f>
        <v>519.35</v>
      </c>
      <c r="J100" s="18">
        <f t="shared" si="6"/>
        <v>0</v>
      </c>
      <c r="K100" s="116">
        <f t="shared" si="58"/>
        <v>0</v>
      </c>
      <c r="L100" s="116">
        <f t="shared" si="59"/>
        <v>5691</v>
      </c>
      <c r="M100" s="112" t="s">
        <v>15</v>
      </c>
      <c r="N100" s="256">
        <f t="shared" si="60"/>
        <v>-2.9200000000000728</v>
      </c>
      <c r="S100" s="117">
        <v>20815</v>
      </c>
      <c r="U100" s="215">
        <f t="shared" si="78"/>
        <v>-20815</v>
      </c>
      <c r="W100" s="117">
        <v>42.84</v>
      </c>
      <c r="X100" s="215">
        <f t="shared" si="79"/>
        <v>-42.84</v>
      </c>
    </row>
    <row r="101" spans="1:24" s="117" customFormat="1" ht="20.25" hidden="1" customHeight="1">
      <c r="A101" s="112" t="s">
        <v>483</v>
      </c>
      <c r="B101" s="118" t="s">
        <v>998</v>
      </c>
      <c r="C101" s="253"/>
      <c r="D101" s="263"/>
      <c r="E101" s="138"/>
      <c r="F101" s="18">
        <f t="shared" ref="F101" si="84">ROUND(C101*E101,0)</f>
        <v>0</v>
      </c>
      <c r="G101" s="119">
        <f>ESTIMATE!I758</f>
        <v>0</v>
      </c>
      <c r="H101" s="114" t="s">
        <v>102</v>
      </c>
      <c r="I101" s="138">
        <f>ESTIMATE!K758</f>
        <v>1471.43</v>
      </c>
      <c r="J101" s="18">
        <f>ROUND(G101*I101,0)</f>
        <v>0</v>
      </c>
      <c r="K101" s="116">
        <f t="shared" si="58"/>
        <v>0</v>
      </c>
      <c r="L101" s="116">
        <f t="shared" si="59"/>
        <v>0</v>
      </c>
      <c r="M101" s="112" t="s">
        <v>15</v>
      </c>
      <c r="N101" s="256">
        <f t="shared" si="60"/>
        <v>-1471.43</v>
      </c>
      <c r="U101" s="215"/>
      <c r="X101" s="215"/>
    </row>
    <row r="102" spans="1:24" s="117" customFormat="1" ht="20.25" hidden="1" customHeight="1">
      <c r="A102" s="112" t="s">
        <v>521</v>
      </c>
      <c r="B102" s="118" t="s">
        <v>698</v>
      </c>
      <c r="C102" s="265"/>
      <c r="D102" s="263"/>
      <c r="E102" s="266"/>
      <c r="F102" s="18"/>
      <c r="G102" s="119">
        <f>ESTIMATE!I793</f>
        <v>0</v>
      </c>
      <c r="H102" s="114" t="s">
        <v>102</v>
      </c>
      <c r="I102" s="138">
        <f>ESTIMATE!K793</f>
        <v>28.58</v>
      </c>
      <c r="J102" s="18">
        <f t="shared" ref="J102:J107" si="85">ROUND(G102*I102,0)</f>
        <v>0</v>
      </c>
      <c r="K102" s="116">
        <f t="shared" si="58"/>
        <v>0</v>
      </c>
      <c r="L102" s="116">
        <f t="shared" si="59"/>
        <v>0</v>
      </c>
      <c r="M102" s="112" t="s">
        <v>15</v>
      </c>
      <c r="N102" s="256">
        <f t="shared" si="60"/>
        <v>-28.58</v>
      </c>
      <c r="S102" s="117">
        <v>12466</v>
      </c>
      <c r="U102" s="215">
        <f t="shared" si="78"/>
        <v>-12466</v>
      </c>
      <c r="W102" s="117">
        <v>581.69999999999993</v>
      </c>
      <c r="X102" s="215">
        <f t="shared" si="79"/>
        <v>-581.69999999999993</v>
      </c>
    </row>
    <row r="103" spans="1:24" s="117" customFormat="1" ht="20.25" customHeight="1">
      <c r="A103" s="112" t="s">
        <v>456</v>
      </c>
      <c r="B103" s="118" t="s">
        <v>842</v>
      </c>
      <c r="C103" s="253">
        <v>133.27000000000001</v>
      </c>
      <c r="D103" s="263" t="s">
        <v>102</v>
      </c>
      <c r="E103" s="138">
        <v>184.03</v>
      </c>
      <c r="F103" s="18">
        <f t="shared" ref="F103" si="86">ROUND(C103*E103,0)</f>
        <v>24526</v>
      </c>
      <c r="G103" s="119">
        <f>ESTIMATE!I815</f>
        <v>0</v>
      </c>
      <c r="H103" s="114" t="s">
        <v>102</v>
      </c>
      <c r="I103" s="138">
        <f>ESTIMATE!K815</f>
        <v>182.77</v>
      </c>
      <c r="J103" s="18">
        <f t="shared" ref="J103:J104" si="87">ROUND(G103*I103,0)</f>
        <v>0</v>
      </c>
      <c r="K103" s="116">
        <f t="shared" si="58"/>
        <v>0</v>
      </c>
      <c r="L103" s="116">
        <f t="shared" si="59"/>
        <v>24526</v>
      </c>
      <c r="M103" s="112" t="s">
        <v>15</v>
      </c>
      <c r="N103" s="256">
        <f t="shared" si="60"/>
        <v>1.2599999999999909</v>
      </c>
      <c r="S103" s="117">
        <v>68284</v>
      </c>
      <c r="U103" s="215">
        <f t="shared" si="78"/>
        <v>-68284</v>
      </c>
      <c r="W103" s="117">
        <v>436.56999999999994</v>
      </c>
      <c r="X103" s="215">
        <f t="shared" si="79"/>
        <v>-436.56999999999994</v>
      </c>
    </row>
    <row r="104" spans="1:24" s="117" customFormat="1" ht="20.25" customHeight="1">
      <c r="A104" s="112" t="s">
        <v>457</v>
      </c>
      <c r="B104" s="118" t="s">
        <v>561</v>
      </c>
      <c r="C104" s="414">
        <v>200.07</v>
      </c>
      <c r="D104" s="415" t="s">
        <v>102</v>
      </c>
      <c r="E104" s="329">
        <v>158.36000000000001</v>
      </c>
      <c r="F104" s="18">
        <f t="shared" ref="F104:F107" si="88">ROUND(C104*E104,0)</f>
        <v>31683</v>
      </c>
      <c r="G104" s="119">
        <f>ESTIMATE!I846</f>
        <v>0</v>
      </c>
      <c r="H104" s="114" t="s">
        <v>102</v>
      </c>
      <c r="I104" s="138">
        <f>ESTIMATE!K846</f>
        <v>194.33</v>
      </c>
      <c r="J104" s="18">
        <f t="shared" si="87"/>
        <v>0</v>
      </c>
      <c r="K104" s="116">
        <f t="shared" si="58"/>
        <v>0</v>
      </c>
      <c r="L104" s="116">
        <f t="shared" si="59"/>
        <v>31683</v>
      </c>
      <c r="M104" s="112" t="s">
        <v>15</v>
      </c>
      <c r="N104" s="256">
        <f t="shared" si="60"/>
        <v>-35.97</v>
      </c>
      <c r="S104" s="117">
        <v>0</v>
      </c>
      <c r="U104" s="215">
        <f t="shared" si="78"/>
        <v>0</v>
      </c>
      <c r="W104" s="117">
        <v>0</v>
      </c>
      <c r="X104" s="215">
        <f t="shared" si="79"/>
        <v>0</v>
      </c>
    </row>
    <row r="105" spans="1:24" s="117" customFormat="1" ht="20.25" customHeight="1">
      <c r="A105" s="112" t="s">
        <v>458</v>
      </c>
      <c r="B105" s="118" t="s">
        <v>1013</v>
      </c>
      <c r="C105" s="414">
        <v>105.04</v>
      </c>
      <c r="D105" s="415" t="s">
        <v>102</v>
      </c>
      <c r="E105" s="329">
        <v>217.22</v>
      </c>
      <c r="F105" s="18">
        <f t="shared" si="88"/>
        <v>22817</v>
      </c>
      <c r="G105" s="119">
        <f>ESTIMATE!I854</f>
        <v>0</v>
      </c>
      <c r="H105" s="114" t="s">
        <v>102</v>
      </c>
      <c r="I105" s="138">
        <f>ESTIMATE!K854</f>
        <v>267.35000000000002</v>
      </c>
      <c r="J105" s="18">
        <f t="shared" si="85"/>
        <v>0</v>
      </c>
      <c r="K105" s="116">
        <f t="shared" si="58"/>
        <v>0</v>
      </c>
      <c r="L105" s="116">
        <f t="shared" si="59"/>
        <v>22817</v>
      </c>
      <c r="M105" s="112" t="s">
        <v>15</v>
      </c>
      <c r="N105" s="256">
        <f t="shared" si="60"/>
        <v>-50.130000000000024</v>
      </c>
      <c r="S105" s="117">
        <v>29548</v>
      </c>
      <c r="U105" s="215">
        <f t="shared" si="78"/>
        <v>-29548</v>
      </c>
      <c r="W105" s="117">
        <v>157.73000000000002</v>
      </c>
      <c r="X105" s="215">
        <f t="shared" si="79"/>
        <v>-157.73000000000002</v>
      </c>
    </row>
    <row r="106" spans="1:24" s="117" customFormat="1" ht="27.75" customHeight="1">
      <c r="A106" s="112" t="s">
        <v>320</v>
      </c>
      <c r="B106" s="118" t="s">
        <v>1905</v>
      </c>
      <c r="C106" s="414">
        <v>26</v>
      </c>
      <c r="D106" s="415" t="s">
        <v>102</v>
      </c>
      <c r="E106" s="329">
        <v>1760.41</v>
      </c>
      <c r="F106" s="18">
        <f t="shared" ref="F106" si="89">ROUND(C106*E106,0)</f>
        <v>45771</v>
      </c>
      <c r="G106" s="119">
        <f>ESTIMATE!I860</f>
        <v>0</v>
      </c>
      <c r="H106" s="114" t="s">
        <v>102</v>
      </c>
      <c r="I106" s="138">
        <f>ESTIMATE!K860</f>
        <v>1760.4100000000003</v>
      </c>
      <c r="J106" s="18">
        <f t="shared" si="85"/>
        <v>0</v>
      </c>
      <c r="K106" s="116">
        <f t="shared" si="58"/>
        <v>0</v>
      </c>
      <c r="L106" s="116">
        <f t="shared" si="59"/>
        <v>45771</v>
      </c>
      <c r="M106" s="112" t="s">
        <v>15</v>
      </c>
      <c r="N106" s="256">
        <f t="shared" si="60"/>
        <v>0</v>
      </c>
      <c r="U106" s="215"/>
      <c r="X106" s="215"/>
    </row>
    <row r="107" spans="1:24" s="117" customFormat="1" ht="20.25" hidden="1" customHeight="1">
      <c r="A107" s="112" t="s">
        <v>496</v>
      </c>
      <c r="B107" s="118" t="s">
        <v>467</v>
      </c>
      <c r="C107" s="417"/>
      <c r="D107" s="246" t="s">
        <v>29</v>
      </c>
      <c r="E107" s="418">
        <v>69649</v>
      </c>
      <c r="F107" s="18">
        <f t="shared" si="88"/>
        <v>0</v>
      </c>
      <c r="G107" s="249">
        <f>ESTIMATE!I865</f>
        <v>0</v>
      </c>
      <c r="H107" s="121" t="s">
        <v>29</v>
      </c>
      <c r="I107" s="250">
        <f>ESTIMATE!K865</f>
        <v>88227.73</v>
      </c>
      <c r="J107" s="18">
        <f t="shared" si="85"/>
        <v>0</v>
      </c>
      <c r="K107" s="116">
        <f t="shared" si="58"/>
        <v>0</v>
      </c>
      <c r="L107" s="116">
        <f t="shared" si="59"/>
        <v>0</v>
      </c>
      <c r="M107" s="112" t="s">
        <v>15</v>
      </c>
      <c r="N107" s="256">
        <f t="shared" si="60"/>
        <v>-18578.729999999996</v>
      </c>
      <c r="S107" s="117">
        <v>254871</v>
      </c>
      <c r="U107" s="215">
        <f t="shared" si="78"/>
        <v>-254871</v>
      </c>
      <c r="W107" s="117">
        <v>4.03</v>
      </c>
      <c r="X107" s="215">
        <f t="shared" si="79"/>
        <v>-4.03</v>
      </c>
    </row>
    <row r="108" spans="1:24" s="117" customFormat="1" ht="20.25" hidden="1" customHeight="1">
      <c r="A108" s="112"/>
      <c r="B108" s="113" t="s">
        <v>843</v>
      </c>
      <c r="C108" s="214"/>
      <c r="D108" s="257"/>
      <c r="E108" s="15"/>
      <c r="F108" s="18"/>
      <c r="G108" s="119"/>
      <c r="H108" s="257"/>
      <c r="I108" s="138"/>
      <c r="J108" s="18">
        <f t="shared" ref="J108:J121" si="90">ROUND(G108*I108,0)</f>
        <v>0</v>
      </c>
      <c r="K108" s="116">
        <f t="shared" si="58"/>
        <v>0</v>
      </c>
      <c r="L108" s="116">
        <f t="shared" si="59"/>
        <v>0</v>
      </c>
      <c r="M108" s="112" t="s">
        <v>15</v>
      </c>
      <c r="N108" s="256">
        <f t="shared" si="60"/>
        <v>0</v>
      </c>
      <c r="S108" s="117">
        <v>0</v>
      </c>
      <c r="U108" s="215">
        <f t="shared" si="78"/>
        <v>0</v>
      </c>
      <c r="X108" s="215">
        <f t="shared" si="79"/>
        <v>0</v>
      </c>
    </row>
    <row r="109" spans="1:24" s="117" customFormat="1" ht="20.25" hidden="1" customHeight="1">
      <c r="A109" s="112" t="s">
        <v>505</v>
      </c>
      <c r="B109" s="118" t="s">
        <v>1002</v>
      </c>
      <c r="C109" s="265"/>
      <c r="D109" s="263"/>
      <c r="E109" s="266"/>
      <c r="F109" s="18"/>
      <c r="G109" s="119">
        <f>ESTIMATE!I871</f>
        <v>0</v>
      </c>
      <c r="H109" s="114" t="s">
        <v>5</v>
      </c>
      <c r="I109" s="138">
        <f>ESTIMATE!K871</f>
        <v>14570.31</v>
      </c>
      <c r="J109" s="18">
        <f t="shared" si="90"/>
        <v>0</v>
      </c>
      <c r="K109" s="116">
        <f t="shared" si="58"/>
        <v>0</v>
      </c>
      <c r="L109" s="116">
        <f t="shared" si="59"/>
        <v>0</v>
      </c>
      <c r="M109" s="112" t="s">
        <v>15</v>
      </c>
      <c r="N109" s="256">
        <f t="shared" si="60"/>
        <v>-14570.31</v>
      </c>
      <c r="S109" s="117">
        <v>32680</v>
      </c>
      <c r="U109" s="215">
        <f t="shared" si="78"/>
        <v>-32680</v>
      </c>
      <c r="W109" s="117">
        <v>3.45</v>
      </c>
      <c r="X109" s="215">
        <f t="shared" si="79"/>
        <v>-3.45</v>
      </c>
    </row>
    <row r="110" spans="1:24" s="117" customFormat="1" ht="20.25" hidden="1" customHeight="1">
      <c r="A110" s="112" t="s">
        <v>502</v>
      </c>
      <c r="B110" s="118" t="s">
        <v>1004</v>
      </c>
      <c r="C110" s="265"/>
      <c r="D110" s="263"/>
      <c r="E110" s="266"/>
      <c r="F110" s="18"/>
      <c r="G110" s="119">
        <f>ESTIMATE!I877</f>
        <v>0</v>
      </c>
      <c r="H110" s="114" t="s">
        <v>5</v>
      </c>
      <c r="I110" s="138">
        <f>ESTIMATE!K877</f>
        <v>13163.75</v>
      </c>
      <c r="J110" s="18">
        <f t="shared" si="90"/>
        <v>0</v>
      </c>
      <c r="K110" s="116">
        <f t="shared" si="58"/>
        <v>0</v>
      </c>
      <c r="L110" s="116">
        <f t="shared" si="59"/>
        <v>0</v>
      </c>
      <c r="M110" s="112" t="s">
        <v>15</v>
      </c>
      <c r="N110" s="256">
        <f t="shared" si="60"/>
        <v>-13163.75</v>
      </c>
      <c r="S110" s="117">
        <v>67160</v>
      </c>
      <c r="U110" s="215">
        <f t="shared" si="78"/>
        <v>-67160</v>
      </c>
      <c r="W110" s="117">
        <v>7.3500000000000005</v>
      </c>
      <c r="X110" s="215">
        <f t="shared" si="79"/>
        <v>-7.3500000000000005</v>
      </c>
    </row>
    <row r="111" spans="1:24" s="117" customFormat="1" ht="20.25" hidden="1" customHeight="1">
      <c r="A111" s="112" t="s">
        <v>506</v>
      </c>
      <c r="B111" s="118" t="s">
        <v>1005</v>
      </c>
      <c r="C111" s="265"/>
      <c r="D111" s="263"/>
      <c r="E111" s="266"/>
      <c r="F111" s="18"/>
      <c r="G111" s="119">
        <f>ESTIMATE!I890</f>
        <v>0</v>
      </c>
      <c r="H111" s="114" t="s">
        <v>102</v>
      </c>
      <c r="I111" s="138">
        <f>ESTIMATE!K890</f>
        <v>1706.1000000000001</v>
      </c>
      <c r="J111" s="18">
        <f t="shared" si="90"/>
        <v>0</v>
      </c>
      <c r="K111" s="116">
        <f t="shared" si="58"/>
        <v>0</v>
      </c>
      <c r="L111" s="116">
        <f t="shared" si="59"/>
        <v>0</v>
      </c>
      <c r="M111" s="112" t="s">
        <v>15</v>
      </c>
      <c r="N111" s="256">
        <f t="shared" si="60"/>
        <v>-1706.1000000000001</v>
      </c>
      <c r="S111" s="117">
        <v>139597</v>
      </c>
      <c r="U111" s="215">
        <f t="shared" si="78"/>
        <v>-139597</v>
      </c>
      <c r="W111" s="117">
        <v>117.23</v>
      </c>
      <c r="X111" s="215">
        <f t="shared" si="79"/>
        <v>-117.23</v>
      </c>
    </row>
    <row r="112" spans="1:24" s="117" customFormat="1" ht="20.25" hidden="1" customHeight="1">
      <c r="A112" s="112" t="s">
        <v>478</v>
      </c>
      <c r="B112" s="118" t="s">
        <v>1011</v>
      </c>
      <c r="C112" s="214"/>
      <c r="D112" s="263"/>
      <c r="E112" s="15"/>
      <c r="F112" s="18"/>
      <c r="G112" s="119">
        <f>ESTIMATE!I895</f>
        <v>0</v>
      </c>
      <c r="H112" s="114" t="s">
        <v>102</v>
      </c>
      <c r="I112" s="138">
        <f>ESTIMATE!K895</f>
        <v>1347.8000000000002</v>
      </c>
      <c r="J112" s="18">
        <f t="shared" si="90"/>
        <v>0</v>
      </c>
      <c r="K112" s="116">
        <f t="shared" si="58"/>
        <v>0</v>
      </c>
      <c r="L112" s="116">
        <f t="shared" si="59"/>
        <v>0</v>
      </c>
      <c r="M112" s="112" t="s">
        <v>15</v>
      </c>
      <c r="N112" s="256">
        <f t="shared" si="60"/>
        <v>-1347.8000000000002</v>
      </c>
      <c r="S112" s="117">
        <v>0</v>
      </c>
      <c r="U112" s="215">
        <f t="shared" si="78"/>
        <v>0</v>
      </c>
      <c r="X112" s="215">
        <f t="shared" si="79"/>
        <v>0</v>
      </c>
    </row>
    <row r="113" spans="1:24" s="117" customFormat="1" ht="20.25" hidden="1" customHeight="1">
      <c r="A113" s="112" t="s">
        <v>504</v>
      </c>
      <c r="B113" s="118" t="s">
        <v>1006</v>
      </c>
      <c r="C113" s="265"/>
      <c r="D113" s="264"/>
      <c r="E113" s="266"/>
      <c r="F113" s="18"/>
      <c r="G113" s="119">
        <f>ESTIMATE!I885</f>
        <v>0</v>
      </c>
      <c r="H113" s="121" t="s">
        <v>102</v>
      </c>
      <c r="I113" s="138">
        <f>ESTIMATE!K885</f>
        <v>1691.2</v>
      </c>
      <c r="J113" s="18">
        <f t="shared" si="90"/>
        <v>0</v>
      </c>
      <c r="K113" s="116">
        <f t="shared" si="58"/>
        <v>0</v>
      </c>
      <c r="L113" s="116">
        <f t="shared" si="59"/>
        <v>0</v>
      </c>
      <c r="M113" s="112" t="s">
        <v>15</v>
      </c>
      <c r="N113" s="256">
        <f t="shared" si="60"/>
        <v>-1691.2</v>
      </c>
      <c r="S113" s="117">
        <v>23110</v>
      </c>
      <c r="U113" s="215">
        <f t="shared" si="78"/>
        <v>-23110</v>
      </c>
      <c r="W113" s="117">
        <v>13.670000000000002</v>
      </c>
      <c r="X113" s="215">
        <f t="shared" si="79"/>
        <v>-13.670000000000002</v>
      </c>
    </row>
    <row r="114" spans="1:24" s="117" customFormat="1" ht="20.25" hidden="1" customHeight="1">
      <c r="A114" s="112" t="s">
        <v>505</v>
      </c>
      <c r="B114" s="118" t="s">
        <v>1048</v>
      </c>
      <c r="C114" s="265"/>
      <c r="D114" s="264"/>
      <c r="E114" s="266"/>
      <c r="F114" s="18"/>
      <c r="G114" s="119">
        <f>ESTIMATE!I906</f>
        <v>0</v>
      </c>
      <c r="H114" s="121" t="s">
        <v>102</v>
      </c>
      <c r="I114" s="138">
        <f>ESTIMATE!K906</f>
        <v>1063.0500000000002</v>
      </c>
      <c r="J114" s="18">
        <f t="shared" si="90"/>
        <v>0</v>
      </c>
      <c r="K114" s="116">
        <f t="shared" si="58"/>
        <v>0</v>
      </c>
      <c r="L114" s="116">
        <f t="shared" si="59"/>
        <v>0</v>
      </c>
      <c r="M114" s="112" t="s">
        <v>15</v>
      </c>
      <c r="N114" s="256">
        <f t="shared" si="60"/>
        <v>-1063.0500000000002</v>
      </c>
      <c r="S114" s="117">
        <v>0</v>
      </c>
      <c r="U114" s="215">
        <f t="shared" si="78"/>
        <v>0</v>
      </c>
      <c r="X114" s="215">
        <f t="shared" si="79"/>
        <v>0</v>
      </c>
    </row>
    <row r="115" spans="1:24" s="117" customFormat="1" ht="20.25" hidden="1" customHeight="1">
      <c r="A115" s="112" t="s">
        <v>505</v>
      </c>
      <c r="B115" s="118" t="s">
        <v>1256</v>
      </c>
      <c r="C115" s="265"/>
      <c r="D115" s="264"/>
      <c r="E115" s="266"/>
      <c r="F115" s="18"/>
      <c r="G115" s="119">
        <f>ESTIMATE!I917</f>
        <v>0</v>
      </c>
      <c r="H115" s="121" t="s">
        <v>102</v>
      </c>
      <c r="I115" s="138">
        <f>ESTIMATE!K917</f>
        <v>683.77</v>
      </c>
      <c r="J115" s="18">
        <f t="shared" si="90"/>
        <v>0</v>
      </c>
      <c r="K115" s="116">
        <f t="shared" si="58"/>
        <v>0</v>
      </c>
      <c r="L115" s="116">
        <f t="shared" si="59"/>
        <v>0</v>
      </c>
      <c r="M115" s="112" t="s">
        <v>15</v>
      </c>
      <c r="N115" s="256">
        <f t="shared" si="60"/>
        <v>-683.77</v>
      </c>
      <c r="S115" s="117">
        <v>0</v>
      </c>
      <c r="U115" s="215">
        <f t="shared" si="78"/>
        <v>0</v>
      </c>
      <c r="X115" s="215">
        <f t="shared" si="79"/>
        <v>0</v>
      </c>
    </row>
    <row r="116" spans="1:24" s="117" customFormat="1" ht="20.25" hidden="1" customHeight="1">
      <c r="A116" s="112" t="s">
        <v>506</v>
      </c>
      <c r="B116" s="118" t="s">
        <v>1008</v>
      </c>
      <c r="C116" s="265"/>
      <c r="D116" s="263"/>
      <c r="E116" s="266"/>
      <c r="F116" s="18"/>
      <c r="G116" s="119">
        <f>ESTIMATE!I925</f>
        <v>0</v>
      </c>
      <c r="H116" s="114" t="s">
        <v>5</v>
      </c>
      <c r="I116" s="138">
        <f>ESTIMATE!K925</f>
        <v>14412.61</v>
      </c>
      <c r="J116" s="18">
        <f t="shared" si="90"/>
        <v>0</v>
      </c>
      <c r="K116" s="116">
        <f t="shared" si="58"/>
        <v>0</v>
      </c>
      <c r="L116" s="116">
        <f t="shared" si="59"/>
        <v>0</v>
      </c>
      <c r="M116" s="112" t="s">
        <v>15</v>
      </c>
      <c r="N116" s="256">
        <f t="shared" si="60"/>
        <v>-14412.61</v>
      </c>
      <c r="S116" s="117">
        <v>12749</v>
      </c>
      <c r="U116" s="215">
        <f t="shared" si="78"/>
        <v>-12749</v>
      </c>
      <c r="W116" s="117">
        <v>1.3400000000000003</v>
      </c>
      <c r="X116" s="215">
        <f t="shared" si="79"/>
        <v>-1.3400000000000003</v>
      </c>
    </row>
    <row r="117" spans="1:24" s="117" customFormat="1" ht="20.25" hidden="1" customHeight="1">
      <c r="A117" s="112" t="s">
        <v>507</v>
      </c>
      <c r="B117" s="118" t="s">
        <v>1009</v>
      </c>
      <c r="C117" s="265"/>
      <c r="D117" s="264"/>
      <c r="E117" s="266"/>
      <c r="F117" s="18"/>
      <c r="G117" s="119">
        <f>ESTIMATE!I930</f>
        <v>0</v>
      </c>
      <c r="H117" s="121" t="s">
        <v>274</v>
      </c>
      <c r="I117" s="138">
        <f>ESTIMATE!K930</f>
        <v>1124.78</v>
      </c>
      <c r="J117" s="18">
        <f t="shared" si="90"/>
        <v>0</v>
      </c>
      <c r="K117" s="116">
        <f t="shared" si="58"/>
        <v>0</v>
      </c>
      <c r="L117" s="116">
        <f t="shared" si="59"/>
        <v>0</v>
      </c>
      <c r="M117" s="112" t="s">
        <v>15</v>
      </c>
      <c r="N117" s="256">
        <f t="shared" si="60"/>
        <v>-1124.78</v>
      </c>
      <c r="S117" s="117">
        <v>10248</v>
      </c>
      <c r="U117" s="215">
        <f t="shared" si="78"/>
        <v>-10248</v>
      </c>
      <c r="W117" s="117">
        <v>12.5</v>
      </c>
      <c r="X117" s="215">
        <f t="shared" si="79"/>
        <v>-12.5</v>
      </c>
    </row>
    <row r="118" spans="1:24" s="117" customFormat="1" ht="20.25" hidden="1" customHeight="1">
      <c r="A118" s="112" t="s">
        <v>507</v>
      </c>
      <c r="B118" s="118" t="s">
        <v>1250</v>
      </c>
      <c r="C118" s="265"/>
      <c r="D118" s="264"/>
      <c r="E118" s="266"/>
      <c r="F118" s="18"/>
      <c r="G118" s="119">
        <f>ESTIMATE!I935</f>
        <v>0</v>
      </c>
      <c r="H118" s="121" t="s">
        <v>102</v>
      </c>
      <c r="I118" s="138">
        <f>ESTIMATE!K935</f>
        <v>499.37</v>
      </c>
      <c r="J118" s="18">
        <f t="shared" si="90"/>
        <v>0</v>
      </c>
      <c r="K118" s="116">
        <f t="shared" si="58"/>
        <v>0</v>
      </c>
      <c r="L118" s="116">
        <f t="shared" si="59"/>
        <v>0</v>
      </c>
      <c r="M118" s="112" t="s">
        <v>15</v>
      </c>
      <c r="N118" s="256">
        <f t="shared" si="60"/>
        <v>-499.37</v>
      </c>
      <c r="S118" s="117">
        <v>43353</v>
      </c>
      <c r="U118" s="215">
        <f t="shared" si="78"/>
        <v>-43353</v>
      </c>
      <c r="W118" s="117">
        <v>117.23</v>
      </c>
      <c r="X118" s="215">
        <f t="shared" si="79"/>
        <v>-117.23</v>
      </c>
    </row>
    <row r="119" spans="1:24" s="117" customFormat="1" ht="20.25" hidden="1" customHeight="1">
      <c r="A119" s="112" t="s">
        <v>508</v>
      </c>
      <c r="B119" s="118" t="s">
        <v>1251</v>
      </c>
      <c r="C119" s="265"/>
      <c r="D119" s="264"/>
      <c r="E119" s="266"/>
      <c r="F119" s="18"/>
      <c r="G119" s="119">
        <f>ESTIMATE!I941</f>
        <v>0</v>
      </c>
      <c r="H119" s="121" t="s">
        <v>102</v>
      </c>
      <c r="I119" s="138">
        <f>ESTIMATE!K941</f>
        <v>521.59</v>
      </c>
      <c r="J119" s="18">
        <f t="shared" si="90"/>
        <v>0</v>
      </c>
      <c r="K119" s="116">
        <f t="shared" si="58"/>
        <v>0</v>
      </c>
      <c r="L119" s="116">
        <f t="shared" si="59"/>
        <v>0</v>
      </c>
      <c r="M119" s="112" t="s">
        <v>15</v>
      </c>
      <c r="N119" s="256">
        <f t="shared" si="60"/>
        <v>-521.59</v>
      </c>
      <c r="S119" s="117">
        <v>43353</v>
      </c>
      <c r="U119" s="215">
        <f t="shared" si="78"/>
        <v>-43353</v>
      </c>
      <c r="W119" s="117">
        <v>117.23</v>
      </c>
      <c r="X119" s="215">
        <f t="shared" si="79"/>
        <v>-117.23</v>
      </c>
    </row>
    <row r="120" spans="1:24" s="117" customFormat="1" ht="20.25" hidden="1" customHeight="1">
      <c r="A120" s="112" t="s">
        <v>508</v>
      </c>
      <c r="B120" s="118" t="s">
        <v>786</v>
      </c>
      <c r="C120" s="265"/>
      <c r="D120" s="263"/>
      <c r="E120" s="266"/>
      <c r="F120" s="18"/>
      <c r="G120" s="119">
        <f>ESTIMATE!I967</f>
        <v>0</v>
      </c>
      <c r="H120" s="114" t="s">
        <v>5</v>
      </c>
      <c r="I120" s="138">
        <f>ESTIMATE!K967</f>
        <v>8090.57</v>
      </c>
      <c r="J120" s="18">
        <f t="shared" si="90"/>
        <v>0</v>
      </c>
      <c r="K120" s="116">
        <f t="shared" si="58"/>
        <v>0</v>
      </c>
      <c r="L120" s="116">
        <f t="shared" si="59"/>
        <v>0</v>
      </c>
      <c r="M120" s="112" t="s">
        <v>15</v>
      </c>
      <c r="N120" s="256">
        <f t="shared" si="60"/>
        <v>-8090.57</v>
      </c>
      <c r="S120" s="117">
        <v>98200</v>
      </c>
      <c r="U120" s="215">
        <f t="shared" si="78"/>
        <v>-98200</v>
      </c>
      <c r="W120" s="117">
        <v>16.680000000000003</v>
      </c>
      <c r="X120" s="215">
        <f t="shared" si="79"/>
        <v>-16.680000000000003</v>
      </c>
    </row>
    <row r="121" spans="1:24" s="117" customFormat="1" ht="20.25" hidden="1" customHeight="1">
      <c r="A121" s="112" t="s">
        <v>482</v>
      </c>
      <c r="B121" s="118" t="s">
        <v>785</v>
      </c>
      <c r="C121" s="268"/>
      <c r="D121" s="263"/>
      <c r="E121" s="12"/>
      <c r="F121" s="18"/>
      <c r="G121" s="119">
        <f>ESTIMATE!I958</f>
        <v>0</v>
      </c>
      <c r="H121" s="114" t="s">
        <v>5</v>
      </c>
      <c r="I121" s="138">
        <f>ESTIMATE!K958</f>
        <v>9134.5899999999983</v>
      </c>
      <c r="J121" s="18">
        <f t="shared" si="90"/>
        <v>0</v>
      </c>
      <c r="K121" s="116">
        <f t="shared" si="58"/>
        <v>0</v>
      </c>
      <c r="L121" s="116">
        <f t="shared" si="59"/>
        <v>0</v>
      </c>
      <c r="M121" s="112" t="s">
        <v>15</v>
      </c>
      <c r="N121" s="256">
        <f t="shared" si="60"/>
        <v>-9134.5899999999983</v>
      </c>
      <c r="S121" s="117">
        <v>0</v>
      </c>
      <c r="U121" s="215">
        <f t="shared" si="78"/>
        <v>0</v>
      </c>
      <c r="X121" s="215">
        <f t="shared" si="79"/>
        <v>0</v>
      </c>
    </row>
    <row r="122" spans="1:24" s="117" customFormat="1" ht="27" hidden="1" customHeight="1">
      <c r="A122" s="112" t="s">
        <v>509</v>
      </c>
      <c r="B122" s="118" t="s">
        <v>696</v>
      </c>
      <c r="C122" s="265"/>
      <c r="D122" s="263"/>
      <c r="E122" s="266"/>
      <c r="F122" s="18"/>
      <c r="G122" s="119">
        <f>ESTIMATE!I972</f>
        <v>0</v>
      </c>
      <c r="H122" s="114" t="s">
        <v>102</v>
      </c>
      <c r="I122" s="138">
        <f>ESTIMATE!K972</f>
        <v>1096.72</v>
      </c>
      <c r="J122" s="18">
        <f>ROUND(G122*I122/1,0)</f>
        <v>0</v>
      </c>
      <c r="K122" s="116">
        <f t="shared" si="58"/>
        <v>0</v>
      </c>
      <c r="L122" s="116">
        <f t="shared" si="59"/>
        <v>0</v>
      </c>
      <c r="M122" s="112" t="s">
        <v>15</v>
      </c>
      <c r="N122" s="256">
        <f t="shared" si="60"/>
        <v>-1096.72</v>
      </c>
      <c r="S122" s="117">
        <v>70796</v>
      </c>
      <c r="U122" s="215">
        <f t="shared" si="78"/>
        <v>-70796</v>
      </c>
      <c r="W122" s="117">
        <v>93.950000000000017</v>
      </c>
      <c r="X122" s="215">
        <f t="shared" si="79"/>
        <v>-93.950000000000017</v>
      </c>
    </row>
    <row r="123" spans="1:24" s="117" customFormat="1" hidden="1">
      <c r="A123" s="112" t="s">
        <v>474</v>
      </c>
      <c r="B123" s="118" t="s">
        <v>997</v>
      </c>
      <c r="C123" s="268"/>
      <c r="D123" s="263"/>
      <c r="E123" s="12"/>
      <c r="F123" s="18"/>
      <c r="G123" s="119">
        <f>ESTIMATE!I983</f>
        <v>0</v>
      </c>
      <c r="H123" s="114" t="s">
        <v>102</v>
      </c>
      <c r="I123" s="138">
        <f>ESTIMATE!K983</f>
        <v>7690.3600000000006</v>
      </c>
      <c r="J123" s="18">
        <f>ROUND(G123*I123/1,0)</f>
        <v>0</v>
      </c>
      <c r="K123" s="116">
        <f t="shared" si="58"/>
        <v>0</v>
      </c>
      <c r="L123" s="116">
        <f t="shared" si="59"/>
        <v>0</v>
      </c>
      <c r="M123" s="112" t="s">
        <v>15</v>
      </c>
      <c r="N123" s="256">
        <f t="shared" si="60"/>
        <v>-7690.3600000000006</v>
      </c>
      <c r="U123" s="215"/>
      <c r="X123" s="215"/>
    </row>
    <row r="124" spans="1:24" s="117" customFormat="1" ht="20.25" hidden="1" customHeight="1">
      <c r="A124" s="112" t="s">
        <v>512</v>
      </c>
      <c r="B124" s="118" t="s">
        <v>472</v>
      </c>
      <c r="C124" s="265"/>
      <c r="D124" s="263"/>
      <c r="E124" s="266"/>
      <c r="F124" s="18"/>
      <c r="G124" s="119">
        <f>ESTIMATE!I993</f>
        <v>0</v>
      </c>
      <c r="H124" s="114" t="s">
        <v>102</v>
      </c>
      <c r="I124" s="138">
        <f>ESTIMATE!K993</f>
        <v>478.44</v>
      </c>
      <c r="J124" s="18">
        <f t="shared" ref="J124:J130" si="91">ROUND(G124*I124,0)</f>
        <v>0</v>
      </c>
      <c r="K124" s="116">
        <f t="shared" si="58"/>
        <v>0</v>
      </c>
      <c r="L124" s="116">
        <f t="shared" si="59"/>
        <v>0</v>
      </c>
      <c r="M124" s="112" t="s">
        <v>15</v>
      </c>
      <c r="N124" s="256">
        <f t="shared" si="60"/>
        <v>-478.44</v>
      </c>
      <c r="S124" s="117">
        <v>40647</v>
      </c>
      <c r="U124" s="215">
        <f t="shared" ref="U124:U130" si="92">J124-S124</f>
        <v>-40647</v>
      </c>
      <c r="W124" s="117">
        <v>142.76000000000002</v>
      </c>
      <c r="X124" s="215">
        <f t="shared" ref="X124:X130" si="93">G124-W124</f>
        <v>-142.76000000000002</v>
      </c>
    </row>
    <row r="125" spans="1:24" s="117" customFormat="1" ht="20.25" hidden="1" customHeight="1">
      <c r="A125" s="112" t="s">
        <v>484</v>
      </c>
      <c r="B125" s="118" t="s">
        <v>493</v>
      </c>
      <c r="C125" s="214"/>
      <c r="D125" s="263"/>
      <c r="E125" s="138"/>
      <c r="F125" s="18"/>
      <c r="G125" s="119">
        <f>ESTIMATE!I1034</f>
        <v>0</v>
      </c>
      <c r="H125" s="114" t="s">
        <v>102</v>
      </c>
      <c r="I125" s="138">
        <f>ESTIMATE!K1034</f>
        <v>389.04</v>
      </c>
      <c r="J125" s="18">
        <f t="shared" si="91"/>
        <v>0</v>
      </c>
      <c r="K125" s="116">
        <f t="shared" si="58"/>
        <v>0</v>
      </c>
      <c r="L125" s="116">
        <f t="shared" si="59"/>
        <v>0</v>
      </c>
      <c r="M125" s="112" t="s">
        <v>15</v>
      </c>
      <c r="N125" s="256">
        <f t="shared" si="60"/>
        <v>-389.04</v>
      </c>
      <c r="S125" s="117">
        <v>0</v>
      </c>
      <c r="U125" s="215">
        <f t="shared" si="92"/>
        <v>0</v>
      </c>
      <c r="X125" s="215">
        <f t="shared" si="93"/>
        <v>0</v>
      </c>
    </row>
    <row r="126" spans="1:24" s="117" customFormat="1" ht="20.25" hidden="1" customHeight="1">
      <c r="A126" s="112" t="s">
        <v>485</v>
      </c>
      <c r="B126" s="118" t="s">
        <v>749</v>
      </c>
      <c r="C126" s="214"/>
      <c r="D126" s="263"/>
      <c r="E126" s="138"/>
      <c r="F126" s="18"/>
      <c r="G126" s="119">
        <f>ESTIMATE!I1039</f>
        <v>0</v>
      </c>
      <c r="H126" s="114" t="s">
        <v>102</v>
      </c>
      <c r="I126" s="138">
        <f>ESTIMATE!K1039</f>
        <v>404.6</v>
      </c>
      <c r="J126" s="18">
        <f t="shared" si="91"/>
        <v>0</v>
      </c>
      <c r="K126" s="116">
        <f t="shared" si="58"/>
        <v>0</v>
      </c>
      <c r="L126" s="116">
        <f t="shared" si="59"/>
        <v>0</v>
      </c>
      <c r="M126" s="112" t="s">
        <v>15</v>
      </c>
      <c r="N126" s="256">
        <f t="shared" si="60"/>
        <v>-404.6</v>
      </c>
      <c r="S126" s="117">
        <v>0</v>
      </c>
      <c r="U126" s="215">
        <f t="shared" si="92"/>
        <v>0</v>
      </c>
      <c r="X126" s="215">
        <f t="shared" si="93"/>
        <v>0</v>
      </c>
    </row>
    <row r="127" spans="1:24" s="117" customFormat="1" ht="20.25" hidden="1" customHeight="1">
      <c r="A127" s="112" t="s">
        <v>510</v>
      </c>
      <c r="B127" s="118" t="s">
        <v>787</v>
      </c>
      <c r="C127" s="265"/>
      <c r="D127" s="263"/>
      <c r="E127" s="266"/>
      <c r="F127" s="18"/>
      <c r="G127" s="119">
        <f>ESTIMATE!I1046</f>
        <v>0</v>
      </c>
      <c r="H127" s="114" t="s">
        <v>102</v>
      </c>
      <c r="I127" s="138">
        <f>ESTIMATE!K1046</f>
        <v>545.52</v>
      </c>
      <c r="J127" s="18">
        <f t="shared" si="91"/>
        <v>0</v>
      </c>
      <c r="K127" s="116">
        <f t="shared" si="58"/>
        <v>0</v>
      </c>
      <c r="L127" s="116">
        <f t="shared" si="59"/>
        <v>0</v>
      </c>
      <c r="M127" s="112" t="s">
        <v>15</v>
      </c>
      <c r="N127" s="256">
        <f t="shared" si="60"/>
        <v>-545.52</v>
      </c>
      <c r="S127" s="117">
        <v>73418</v>
      </c>
      <c r="U127" s="215">
        <f t="shared" si="92"/>
        <v>-73418</v>
      </c>
      <c r="W127" s="117" t="s">
        <v>950</v>
      </c>
      <c r="X127" s="215">
        <f t="shared" si="93"/>
        <v>-281.20999999999998</v>
      </c>
    </row>
    <row r="128" spans="1:24" s="117" customFormat="1" ht="20.25" hidden="1" customHeight="1">
      <c r="A128" s="112" t="s">
        <v>514</v>
      </c>
      <c r="B128" s="118" t="s">
        <v>531</v>
      </c>
      <c r="C128" s="265"/>
      <c r="D128" s="263"/>
      <c r="E128" s="266"/>
      <c r="F128" s="18"/>
      <c r="G128" s="119">
        <f>ESTIMATE!I1055</f>
        <v>0</v>
      </c>
      <c r="H128" s="114" t="s">
        <v>102</v>
      </c>
      <c r="I128" s="138">
        <f>ESTIMATE!K1055</f>
        <v>558.20000000000005</v>
      </c>
      <c r="J128" s="18">
        <f t="shared" si="91"/>
        <v>0</v>
      </c>
      <c r="K128" s="116">
        <f t="shared" si="58"/>
        <v>0</v>
      </c>
      <c r="L128" s="116">
        <f t="shared" si="59"/>
        <v>0</v>
      </c>
      <c r="M128" s="112" t="s">
        <v>15</v>
      </c>
      <c r="N128" s="256">
        <f t="shared" si="60"/>
        <v>-558.20000000000005</v>
      </c>
      <c r="S128" s="117">
        <v>43157</v>
      </c>
      <c r="U128" s="215">
        <f t="shared" si="92"/>
        <v>-43157</v>
      </c>
      <c r="W128" s="117">
        <v>157.73000000000002</v>
      </c>
      <c r="X128" s="215">
        <f t="shared" si="93"/>
        <v>-157.73000000000002</v>
      </c>
    </row>
    <row r="129" spans="1:24" s="117" customFormat="1" ht="20.25" hidden="1" customHeight="1">
      <c r="A129" s="112" t="s">
        <v>463</v>
      </c>
      <c r="B129" s="118" t="s">
        <v>1010</v>
      </c>
      <c r="C129" s="214"/>
      <c r="D129" s="263"/>
      <c r="E129" s="15"/>
      <c r="F129" s="18"/>
      <c r="G129" s="119">
        <f>ESTIMATE!I1061</f>
        <v>0</v>
      </c>
      <c r="H129" s="114" t="s">
        <v>5</v>
      </c>
      <c r="I129" s="138">
        <f>ESTIMATE!K1061</f>
        <v>6912.8</v>
      </c>
      <c r="J129" s="18">
        <f t="shared" si="91"/>
        <v>0</v>
      </c>
      <c r="K129" s="116">
        <f t="shared" si="58"/>
        <v>0</v>
      </c>
      <c r="L129" s="116">
        <f t="shared" si="59"/>
        <v>0</v>
      </c>
      <c r="M129" s="112" t="s">
        <v>15</v>
      </c>
      <c r="N129" s="256">
        <f t="shared" si="60"/>
        <v>-6912.8</v>
      </c>
      <c r="S129" s="117">
        <v>0</v>
      </c>
      <c r="U129" s="215">
        <f t="shared" si="92"/>
        <v>0</v>
      </c>
      <c r="W129" s="117">
        <v>0</v>
      </c>
      <c r="X129" s="215">
        <f t="shared" si="93"/>
        <v>0</v>
      </c>
    </row>
    <row r="130" spans="1:24" s="117" customFormat="1" ht="20.25" hidden="1" customHeight="1">
      <c r="A130" s="112" t="s">
        <v>515</v>
      </c>
      <c r="B130" s="118" t="s">
        <v>495</v>
      </c>
      <c r="C130" s="267"/>
      <c r="D130" s="263"/>
      <c r="E130" s="12"/>
      <c r="F130" s="18"/>
      <c r="G130" s="119">
        <f>ESTIMATE!I1071</f>
        <v>0</v>
      </c>
      <c r="H130" s="114" t="s">
        <v>102</v>
      </c>
      <c r="I130" s="138">
        <f>ESTIMATE!K1071</f>
        <v>1353.71</v>
      </c>
      <c r="J130" s="18">
        <f t="shared" si="91"/>
        <v>0</v>
      </c>
      <c r="K130" s="116">
        <f t="shared" si="58"/>
        <v>0</v>
      </c>
      <c r="L130" s="116">
        <f t="shared" si="59"/>
        <v>0</v>
      </c>
      <c r="M130" s="112" t="s">
        <v>15</v>
      </c>
      <c r="N130" s="256">
        <f t="shared" si="60"/>
        <v>-1353.71</v>
      </c>
      <c r="S130" s="117">
        <v>105936</v>
      </c>
      <c r="U130" s="215">
        <f t="shared" si="92"/>
        <v>-105936</v>
      </c>
      <c r="W130" s="117">
        <v>105.51</v>
      </c>
      <c r="X130" s="215">
        <f t="shared" si="93"/>
        <v>-105.51</v>
      </c>
    </row>
    <row r="131" spans="1:24" s="117" customFormat="1" ht="20.25" hidden="1" customHeight="1">
      <c r="A131" s="112" t="s">
        <v>516</v>
      </c>
      <c r="B131" s="118" t="s">
        <v>497</v>
      </c>
      <c r="C131" s="267"/>
      <c r="D131" s="263"/>
      <c r="E131" s="12"/>
      <c r="F131" s="18"/>
      <c r="G131" s="119">
        <f>ESTIMATE!I1080</f>
        <v>0</v>
      </c>
      <c r="H131" s="114" t="s">
        <v>102</v>
      </c>
      <c r="I131" s="138">
        <f>ESTIMATE!K1080</f>
        <v>1349.6</v>
      </c>
      <c r="J131" s="18">
        <f>ROUND(G131*I131,0)</f>
        <v>0</v>
      </c>
      <c r="K131" s="116">
        <f t="shared" si="58"/>
        <v>0</v>
      </c>
      <c r="L131" s="116">
        <f t="shared" si="59"/>
        <v>0</v>
      </c>
      <c r="M131" s="112" t="s">
        <v>15</v>
      </c>
      <c r="N131" s="256">
        <f t="shared" si="60"/>
        <v>-1349.6</v>
      </c>
      <c r="S131" s="117">
        <v>9527</v>
      </c>
      <c r="U131" s="215">
        <f>J131-S131</f>
        <v>-9527</v>
      </c>
      <c r="W131" s="117">
        <v>9.4400000000000013</v>
      </c>
      <c r="X131" s="215">
        <f>G131-W131</f>
        <v>-9.4400000000000013</v>
      </c>
    </row>
    <row r="132" spans="1:24" s="117" customFormat="1" ht="20.25" hidden="1" customHeight="1">
      <c r="A132" s="112" t="s">
        <v>496</v>
      </c>
      <c r="B132" s="118" t="s">
        <v>699</v>
      </c>
      <c r="C132" s="253"/>
      <c r="D132" s="263"/>
      <c r="E132" s="138"/>
      <c r="F132" s="18"/>
      <c r="G132" s="119">
        <f>ESTIMATE!I1091</f>
        <v>0</v>
      </c>
      <c r="H132" s="114" t="s">
        <v>77</v>
      </c>
      <c r="I132" s="138">
        <f>ESTIMATE!K1091</f>
        <v>3200.79</v>
      </c>
      <c r="J132" s="18">
        <f t="shared" ref="J132:J134" si="94">ROUND(G132*I132,0)</f>
        <v>0</v>
      </c>
      <c r="K132" s="116">
        <f t="shared" si="58"/>
        <v>0</v>
      </c>
      <c r="L132" s="116">
        <f t="shared" si="59"/>
        <v>0</v>
      </c>
      <c r="M132" s="112" t="s">
        <v>15</v>
      </c>
      <c r="N132" s="256">
        <f t="shared" si="60"/>
        <v>-3200.79</v>
      </c>
      <c r="S132" s="117">
        <v>33993</v>
      </c>
      <c r="U132" s="215">
        <f t="shared" ref="U132:U134" si="95">J132-S132</f>
        <v>-33993</v>
      </c>
      <c r="W132" s="117">
        <v>12.16</v>
      </c>
      <c r="X132" s="215">
        <f t="shared" ref="X132:X134" si="96">G132-W132</f>
        <v>-12.16</v>
      </c>
    </row>
    <row r="133" spans="1:24" s="117" customFormat="1" ht="20.25" hidden="1" customHeight="1">
      <c r="A133" s="112" t="s">
        <v>498</v>
      </c>
      <c r="B133" s="118" t="s">
        <v>831</v>
      </c>
      <c r="C133" s="253"/>
      <c r="D133" s="263"/>
      <c r="E133" s="138"/>
      <c r="F133" s="18"/>
      <c r="G133" s="119">
        <f>ESTIMATE!I1100</f>
        <v>0</v>
      </c>
      <c r="H133" s="114" t="s">
        <v>102</v>
      </c>
      <c r="I133" s="138">
        <f>ESTIMATE!K1100</f>
        <v>2912.93</v>
      </c>
      <c r="J133" s="18">
        <f t="shared" si="94"/>
        <v>0</v>
      </c>
      <c r="K133" s="116">
        <f t="shared" si="58"/>
        <v>0</v>
      </c>
      <c r="L133" s="116">
        <f t="shared" si="59"/>
        <v>0</v>
      </c>
      <c r="M133" s="112" t="s">
        <v>15</v>
      </c>
      <c r="N133" s="256">
        <f t="shared" si="60"/>
        <v>-2912.93</v>
      </c>
      <c r="S133" s="117">
        <v>11672</v>
      </c>
      <c r="U133" s="215">
        <f t="shared" si="95"/>
        <v>-11672</v>
      </c>
      <c r="W133" s="117">
        <v>4.46</v>
      </c>
      <c r="X133" s="215">
        <f t="shared" si="96"/>
        <v>-4.46</v>
      </c>
    </row>
    <row r="134" spans="1:24" s="117" customFormat="1" ht="20.25" hidden="1" customHeight="1">
      <c r="A134" s="112" t="s">
        <v>517</v>
      </c>
      <c r="B134" s="118" t="s">
        <v>701</v>
      </c>
      <c r="C134" s="253"/>
      <c r="D134" s="263"/>
      <c r="E134" s="138"/>
      <c r="F134" s="18"/>
      <c r="G134" s="119">
        <f>ESTIMATE!I1115</f>
        <v>0</v>
      </c>
      <c r="H134" s="114" t="s">
        <v>102</v>
      </c>
      <c r="I134" s="138">
        <f>ESTIMATE!K1115</f>
        <v>861.08</v>
      </c>
      <c r="J134" s="18">
        <f t="shared" si="94"/>
        <v>0</v>
      </c>
      <c r="K134" s="116">
        <f t="shared" si="58"/>
        <v>0</v>
      </c>
      <c r="L134" s="116">
        <f t="shared" si="59"/>
        <v>0</v>
      </c>
      <c r="M134" s="112" t="s">
        <v>15</v>
      </c>
      <c r="N134" s="256">
        <f t="shared" si="60"/>
        <v>-861.08</v>
      </c>
      <c r="S134" s="117">
        <v>5003</v>
      </c>
      <c r="U134" s="215">
        <f t="shared" si="95"/>
        <v>-5003</v>
      </c>
      <c r="W134" s="117">
        <v>13.879999999999999</v>
      </c>
      <c r="X134" s="215">
        <f t="shared" si="96"/>
        <v>-13.879999999999999</v>
      </c>
    </row>
    <row r="135" spans="1:24" s="117" customFormat="1" ht="20.25" hidden="1" customHeight="1">
      <c r="A135" s="112" t="s">
        <v>518</v>
      </c>
      <c r="B135" s="118" t="s">
        <v>702</v>
      </c>
      <c r="C135" s="253"/>
      <c r="D135" s="263"/>
      <c r="E135" s="138"/>
      <c r="F135" s="18"/>
      <c r="G135" s="119">
        <f>ESTIMATE!I1125</f>
        <v>0</v>
      </c>
      <c r="H135" s="114" t="s">
        <v>102</v>
      </c>
      <c r="I135" s="138">
        <f>ESTIMATE!K1125</f>
        <v>890.93</v>
      </c>
      <c r="J135" s="18">
        <f>ROUND(G135*I135,0)</f>
        <v>0</v>
      </c>
      <c r="K135" s="116">
        <f t="shared" si="58"/>
        <v>0</v>
      </c>
      <c r="L135" s="116">
        <f t="shared" si="59"/>
        <v>0</v>
      </c>
      <c r="M135" s="112" t="s">
        <v>15</v>
      </c>
      <c r="N135" s="256">
        <f t="shared" si="60"/>
        <v>-890.93</v>
      </c>
      <c r="S135" s="117">
        <v>0</v>
      </c>
      <c r="U135" s="215">
        <f>J135-S135</f>
        <v>0</v>
      </c>
      <c r="W135" s="117">
        <v>0</v>
      </c>
      <c r="X135" s="215">
        <f>G135-W135</f>
        <v>0</v>
      </c>
    </row>
    <row r="136" spans="1:24" s="117" customFormat="1" ht="20.25" hidden="1" customHeight="1">
      <c r="A136" s="112" t="s">
        <v>519</v>
      </c>
      <c r="B136" s="118" t="s">
        <v>499</v>
      </c>
      <c r="C136" s="265"/>
      <c r="D136" s="263"/>
      <c r="E136" s="270"/>
      <c r="F136" s="18"/>
      <c r="G136" s="119">
        <f>ESTIMATE!I1139</f>
        <v>0</v>
      </c>
      <c r="H136" s="114" t="s">
        <v>102</v>
      </c>
      <c r="I136" s="138">
        <f>ESTIMATE!K1139</f>
        <v>1081.07</v>
      </c>
      <c r="J136" s="18">
        <f t="shared" ref="J136:J137" si="97">ROUND(G136*I136,0)</f>
        <v>0</v>
      </c>
      <c r="K136" s="116">
        <f t="shared" si="58"/>
        <v>0</v>
      </c>
      <c r="L136" s="116">
        <f t="shared" si="59"/>
        <v>0</v>
      </c>
      <c r="M136" s="112" t="s">
        <v>15</v>
      </c>
      <c r="N136" s="256">
        <f t="shared" si="60"/>
        <v>-1081.07</v>
      </c>
      <c r="S136" s="117">
        <v>6476</v>
      </c>
      <c r="U136" s="215">
        <f t="shared" ref="U136:U137" si="98">J136-S136</f>
        <v>-6476</v>
      </c>
      <c r="W136" s="117">
        <v>9.24</v>
      </c>
      <c r="X136" s="215">
        <f t="shared" ref="X136:X137" si="99">G136-W136</f>
        <v>-9.24</v>
      </c>
    </row>
    <row r="137" spans="1:24" s="117" customFormat="1" ht="20.25" hidden="1" customHeight="1">
      <c r="A137" s="112" t="s">
        <v>520</v>
      </c>
      <c r="B137" s="118" t="s">
        <v>560</v>
      </c>
      <c r="C137" s="265"/>
      <c r="D137" s="263"/>
      <c r="E137" s="266"/>
      <c r="F137" s="18"/>
      <c r="G137" s="119">
        <f>ESTIMATE!I1145</f>
        <v>0</v>
      </c>
      <c r="H137" s="114" t="s">
        <v>102</v>
      </c>
      <c r="I137" s="138">
        <f>ESTIMATE!K1145</f>
        <v>529.92999999999995</v>
      </c>
      <c r="J137" s="18">
        <f t="shared" si="97"/>
        <v>0</v>
      </c>
      <c r="K137" s="116">
        <f t="shared" ref="K137:K200" si="100">IF(J137&gt;F137,J137-F137,0)</f>
        <v>0</v>
      </c>
      <c r="L137" s="116">
        <f t="shared" ref="L137:L200" si="101">IF(J137&lt;F137,F137-J137,0)</f>
        <v>0</v>
      </c>
      <c r="M137" s="112" t="s">
        <v>15</v>
      </c>
      <c r="N137" s="256">
        <f t="shared" ref="N137:N200" si="102">E137-I137</f>
        <v>-529.92999999999995</v>
      </c>
      <c r="S137" s="117">
        <v>20815</v>
      </c>
      <c r="U137" s="215">
        <f t="shared" si="98"/>
        <v>-20815</v>
      </c>
      <c r="W137" s="117">
        <v>42.84</v>
      </c>
      <c r="X137" s="215">
        <f t="shared" si="99"/>
        <v>-42.84</v>
      </c>
    </row>
    <row r="138" spans="1:24" s="117" customFormat="1" ht="20.25" hidden="1" customHeight="1">
      <c r="A138" s="112" t="s">
        <v>483</v>
      </c>
      <c r="B138" s="118" t="s">
        <v>998</v>
      </c>
      <c r="C138" s="253"/>
      <c r="D138" s="263"/>
      <c r="E138" s="138"/>
      <c r="F138" s="18"/>
      <c r="G138" s="119">
        <f>ESTIMATE!I1153</f>
        <v>0</v>
      </c>
      <c r="H138" s="114" t="s">
        <v>102</v>
      </c>
      <c r="I138" s="138">
        <f>ESTIMATE!K1153</f>
        <v>1519.83</v>
      </c>
      <c r="J138" s="18">
        <f>ROUND(G138*I138,0)</f>
        <v>0</v>
      </c>
      <c r="K138" s="116">
        <f t="shared" si="100"/>
        <v>0</v>
      </c>
      <c r="L138" s="116">
        <f t="shared" si="101"/>
        <v>0</v>
      </c>
      <c r="M138" s="112" t="s">
        <v>15</v>
      </c>
      <c r="N138" s="256">
        <f t="shared" si="102"/>
        <v>-1519.83</v>
      </c>
      <c r="U138" s="215"/>
      <c r="X138" s="215"/>
    </row>
    <row r="139" spans="1:24" s="117" customFormat="1" ht="20.25" hidden="1" customHeight="1">
      <c r="A139" s="112" t="s">
        <v>521</v>
      </c>
      <c r="B139" s="118" t="s">
        <v>698</v>
      </c>
      <c r="C139" s="265"/>
      <c r="D139" s="263"/>
      <c r="E139" s="266"/>
      <c r="F139" s="18"/>
      <c r="G139" s="119">
        <f>ESTIMATE!I1188</f>
        <v>0</v>
      </c>
      <c r="H139" s="114" t="s">
        <v>102</v>
      </c>
      <c r="I139" s="138">
        <f>ESTIMATE!K1188</f>
        <v>28.58</v>
      </c>
      <c r="J139" s="18">
        <f t="shared" ref="J139:J143" si="103">ROUND(G139*I139,0)</f>
        <v>0</v>
      </c>
      <c r="K139" s="116">
        <f t="shared" si="100"/>
        <v>0</v>
      </c>
      <c r="L139" s="116">
        <f t="shared" si="101"/>
        <v>0</v>
      </c>
      <c r="M139" s="112" t="s">
        <v>15</v>
      </c>
      <c r="N139" s="256">
        <f t="shared" si="102"/>
        <v>-28.58</v>
      </c>
      <c r="S139" s="117">
        <v>12466</v>
      </c>
      <c r="U139" s="215">
        <f t="shared" ref="U139:U143" si="104">J139-S139</f>
        <v>-12466</v>
      </c>
      <c r="W139" s="117">
        <v>581.69999999999993</v>
      </c>
      <c r="X139" s="215">
        <f t="shared" ref="X139:X143" si="105">G139-W139</f>
        <v>-581.69999999999993</v>
      </c>
    </row>
    <row r="140" spans="1:24" s="117" customFormat="1" ht="20.25" hidden="1" customHeight="1">
      <c r="A140" s="112" t="s">
        <v>512</v>
      </c>
      <c r="B140" s="118" t="s">
        <v>842</v>
      </c>
      <c r="C140" s="253"/>
      <c r="D140" s="263"/>
      <c r="E140" s="138"/>
      <c r="F140" s="18"/>
      <c r="G140" s="119">
        <f>ESTIMATE!I1204</f>
        <v>0</v>
      </c>
      <c r="H140" s="114" t="s">
        <v>102</v>
      </c>
      <c r="I140" s="138">
        <f>ESTIMATE!K1204</f>
        <v>194.84</v>
      </c>
      <c r="J140" s="18">
        <f t="shared" si="103"/>
        <v>0</v>
      </c>
      <c r="K140" s="116">
        <f t="shared" si="100"/>
        <v>0</v>
      </c>
      <c r="L140" s="116">
        <f t="shared" si="101"/>
        <v>0</v>
      </c>
      <c r="M140" s="112" t="s">
        <v>15</v>
      </c>
      <c r="N140" s="256">
        <f t="shared" si="102"/>
        <v>-194.84</v>
      </c>
      <c r="S140" s="117">
        <v>68284</v>
      </c>
      <c r="U140" s="215">
        <f t="shared" si="104"/>
        <v>-68284</v>
      </c>
      <c r="W140" s="117">
        <v>436.56999999999994</v>
      </c>
      <c r="X140" s="215">
        <f t="shared" si="105"/>
        <v>-436.56999999999994</v>
      </c>
    </row>
    <row r="141" spans="1:24" s="117" customFormat="1" ht="20.25" hidden="1" customHeight="1">
      <c r="A141" s="112" t="s">
        <v>513</v>
      </c>
      <c r="B141" s="118" t="s">
        <v>561</v>
      </c>
      <c r="C141" s="253"/>
      <c r="D141" s="263"/>
      <c r="E141" s="138"/>
      <c r="F141" s="18"/>
      <c r="G141" s="119">
        <f>ESTIMATE!I1217</f>
        <v>0</v>
      </c>
      <c r="H141" s="114" t="s">
        <v>102</v>
      </c>
      <c r="I141" s="138">
        <f>ESTIMATE!K1217</f>
        <v>209.69</v>
      </c>
      <c r="J141" s="18">
        <f t="shared" si="103"/>
        <v>0</v>
      </c>
      <c r="K141" s="116">
        <f t="shared" si="100"/>
        <v>0</v>
      </c>
      <c r="L141" s="116">
        <f t="shared" si="101"/>
        <v>0</v>
      </c>
      <c r="M141" s="112" t="s">
        <v>15</v>
      </c>
      <c r="N141" s="256">
        <f t="shared" si="102"/>
        <v>-209.69</v>
      </c>
      <c r="S141" s="117">
        <v>0</v>
      </c>
      <c r="U141" s="215">
        <f t="shared" si="104"/>
        <v>0</v>
      </c>
      <c r="W141" s="117">
        <v>0</v>
      </c>
      <c r="X141" s="215">
        <f t="shared" si="105"/>
        <v>0</v>
      </c>
    </row>
    <row r="142" spans="1:24" s="117" customFormat="1" ht="20.25" hidden="1" customHeight="1">
      <c r="A142" s="112" t="s">
        <v>514</v>
      </c>
      <c r="B142" s="118" t="s">
        <v>1013</v>
      </c>
      <c r="C142" s="265"/>
      <c r="D142" s="263"/>
      <c r="E142" s="266"/>
      <c r="F142" s="18"/>
      <c r="G142" s="119">
        <f>ESTIMATE!I1228</f>
        <v>0</v>
      </c>
      <c r="H142" s="114" t="s">
        <v>102</v>
      </c>
      <c r="I142" s="138">
        <f>ESTIMATE!K1228</f>
        <v>289.14999999999998</v>
      </c>
      <c r="J142" s="18">
        <f t="shared" si="103"/>
        <v>0</v>
      </c>
      <c r="K142" s="116">
        <f t="shared" si="100"/>
        <v>0</v>
      </c>
      <c r="L142" s="116">
        <f t="shared" si="101"/>
        <v>0</v>
      </c>
      <c r="M142" s="112" t="s">
        <v>15</v>
      </c>
      <c r="N142" s="256">
        <f t="shared" si="102"/>
        <v>-289.14999999999998</v>
      </c>
      <c r="S142" s="117">
        <v>29548</v>
      </c>
      <c r="U142" s="215">
        <f t="shared" si="104"/>
        <v>-29548</v>
      </c>
      <c r="W142" s="117">
        <v>157.73000000000002</v>
      </c>
      <c r="X142" s="215">
        <f t="shared" si="105"/>
        <v>-157.73000000000002</v>
      </c>
    </row>
    <row r="143" spans="1:24" s="117" customFormat="1" ht="20.25" hidden="1" customHeight="1">
      <c r="A143" s="112" t="s">
        <v>515</v>
      </c>
      <c r="B143" s="118" t="s">
        <v>467</v>
      </c>
      <c r="C143" s="269"/>
      <c r="D143" s="264"/>
      <c r="E143" s="266"/>
      <c r="F143" s="18"/>
      <c r="G143" s="249">
        <f>ESTIMATE!I1233</f>
        <v>0</v>
      </c>
      <c r="H143" s="121" t="s">
        <v>29</v>
      </c>
      <c r="I143" s="250">
        <f>ESTIMATE!K1233</f>
        <v>89914.91</v>
      </c>
      <c r="J143" s="18">
        <f t="shared" si="103"/>
        <v>0</v>
      </c>
      <c r="K143" s="116">
        <f t="shared" si="100"/>
        <v>0</v>
      </c>
      <c r="L143" s="116">
        <f t="shared" si="101"/>
        <v>0</v>
      </c>
      <c r="M143" s="112" t="s">
        <v>15</v>
      </c>
      <c r="N143" s="256">
        <f t="shared" si="102"/>
        <v>-89914.91</v>
      </c>
      <c r="S143" s="117">
        <v>254871</v>
      </c>
      <c r="U143" s="215">
        <f t="shared" si="104"/>
        <v>-254871</v>
      </c>
      <c r="W143" s="117">
        <v>4.03</v>
      </c>
      <c r="X143" s="215">
        <f t="shared" si="105"/>
        <v>-4.03</v>
      </c>
    </row>
    <row r="144" spans="1:24" s="117" customFormat="1" ht="20.25" hidden="1" customHeight="1">
      <c r="A144" s="112"/>
      <c r="B144" s="113" t="s">
        <v>844</v>
      </c>
      <c r="C144" s="268"/>
      <c r="D144" s="264"/>
      <c r="E144" s="262"/>
      <c r="F144" s="18"/>
      <c r="G144" s="249"/>
      <c r="H144" s="121"/>
      <c r="I144" s="250"/>
      <c r="J144" s="18"/>
      <c r="K144" s="116">
        <f t="shared" si="100"/>
        <v>0</v>
      </c>
      <c r="L144" s="116">
        <f t="shared" si="101"/>
        <v>0</v>
      </c>
      <c r="M144" s="112" t="s">
        <v>15</v>
      </c>
      <c r="N144" s="256">
        <f t="shared" si="102"/>
        <v>0</v>
      </c>
      <c r="U144" s="215">
        <f t="shared" si="78"/>
        <v>0</v>
      </c>
      <c r="X144" s="215">
        <f t="shared" si="79"/>
        <v>0</v>
      </c>
    </row>
    <row r="145" spans="1:24" s="117" customFormat="1" ht="20.25" hidden="1" customHeight="1">
      <c r="A145" s="112" t="s">
        <v>498</v>
      </c>
      <c r="B145" s="118" t="s">
        <v>1015</v>
      </c>
      <c r="C145" s="414"/>
      <c r="D145" s="415" t="s">
        <v>114</v>
      </c>
      <c r="E145" s="329">
        <v>21226.89</v>
      </c>
      <c r="F145" s="18">
        <f>ROUND(C145*E145/1,0)</f>
        <v>0</v>
      </c>
      <c r="G145" s="119">
        <f>ESTIMATE!I1238</f>
        <v>0</v>
      </c>
      <c r="H145" s="114" t="s">
        <v>114</v>
      </c>
      <c r="I145" s="138">
        <f>ESTIMATE!K1238</f>
        <v>4646.1099999999997</v>
      </c>
      <c r="J145" s="18">
        <f>ROUND(G145*I145,0)</f>
        <v>0</v>
      </c>
      <c r="K145" s="116">
        <f t="shared" si="100"/>
        <v>0</v>
      </c>
      <c r="L145" s="116">
        <f t="shared" si="101"/>
        <v>0</v>
      </c>
      <c r="M145" s="112" t="s">
        <v>15</v>
      </c>
      <c r="N145" s="256">
        <f t="shared" si="102"/>
        <v>16580.78</v>
      </c>
      <c r="S145" s="117">
        <v>22996</v>
      </c>
      <c r="U145" s="215">
        <f t="shared" si="78"/>
        <v>-22996</v>
      </c>
      <c r="W145" s="117">
        <v>1</v>
      </c>
      <c r="X145" s="215">
        <f t="shared" si="79"/>
        <v>-1</v>
      </c>
    </row>
    <row r="146" spans="1:24" s="117" customFormat="1" ht="20.25" hidden="1" customHeight="1">
      <c r="A146" s="112"/>
      <c r="B146" s="118" t="s">
        <v>1346</v>
      </c>
      <c r="C146" s="265"/>
      <c r="D146" s="263"/>
      <c r="E146" s="12"/>
      <c r="F146" s="18"/>
      <c r="G146" s="119">
        <f>ESTIMATE!I1275</f>
        <v>0</v>
      </c>
      <c r="H146" s="114" t="s">
        <v>114</v>
      </c>
      <c r="I146" s="138">
        <f>ESTIMATE!K1275</f>
        <v>17556.240000000002</v>
      </c>
      <c r="J146" s="18">
        <f t="shared" ref="J146:J147" si="106">ROUND(G146*I146,0)</f>
        <v>0</v>
      </c>
      <c r="K146" s="116">
        <f t="shared" si="100"/>
        <v>0</v>
      </c>
      <c r="L146" s="116">
        <f t="shared" si="101"/>
        <v>0</v>
      </c>
      <c r="M146" s="112" t="s">
        <v>15</v>
      </c>
      <c r="N146" s="256">
        <f t="shared" si="102"/>
        <v>-17556.240000000002</v>
      </c>
      <c r="U146" s="215"/>
      <c r="X146" s="215"/>
    </row>
    <row r="147" spans="1:24" s="117" customFormat="1" ht="20.25" hidden="1" customHeight="1">
      <c r="A147" s="112"/>
      <c r="B147" s="118" t="s">
        <v>1347</v>
      </c>
      <c r="C147" s="265"/>
      <c r="D147" s="263"/>
      <c r="E147" s="12"/>
      <c r="F147" s="18"/>
      <c r="G147" s="119">
        <f>ESTIMATE!I1283</f>
        <v>2</v>
      </c>
      <c r="H147" s="114" t="s">
        <v>114</v>
      </c>
      <c r="I147" s="138">
        <f>ESTIMATE!K1283</f>
        <v>20725.63</v>
      </c>
      <c r="J147" s="18">
        <f t="shared" si="106"/>
        <v>41451</v>
      </c>
      <c r="K147" s="116">
        <f t="shared" si="100"/>
        <v>41451</v>
      </c>
      <c r="L147" s="116">
        <f t="shared" si="101"/>
        <v>0</v>
      </c>
      <c r="M147" s="112" t="s">
        <v>15</v>
      </c>
      <c r="N147" s="256">
        <f t="shared" si="102"/>
        <v>-20725.63</v>
      </c>
      <c r="U147" s="215"/>
      <c r="X147" s="215"/>
    </row>
    <row r="148" spans="1:24" s="117" customFormat="1" ht="20.25" hidden="1" customHeight="1">
      <c r="A148" s="112" t="s">
        <v>930</v>
      </c>
      <c r="B148" s="118" t="s">
        <v>1014</v>
      </c>
      <c r="C148" s="265"/>
      <c r="D148" s="271"/>
      <c r="E148" s="12"/>
      <c r="F148" s="18"/>
      <c r="G148" s="119">
        <f>ESTIMATE!I1270</f>
        <v>0</v>
      </c>
      <c r="H148" s="114" t="s">
        <v>114</v>
      </c>
      <c r="I148" s="138">
        <f>ESTIMATE!K1270</f>
        <v>17319.53</v>
      </c>
      <c r="J148" s="18">
        <f t="shared" ref="J148:J163" si="107">ROUND(G148*I148,0)</f>
        <v>0</v>
      </c>
      <c r="K148" s="116">
        <f t="shared" si="100"/>
        <v>0</v>
      </c>
      <c r="L148" s="116">
        <f t="shared" si="101"/>
        <v>0</v>
      </c>
      <c r="M148" s="112" t="s">
        <v>15</v>
      </c>
      <c r="N148" s="256">
        <f t="shared" si="102"/>
        <v>-17319.53</v>
      </c>
      <c r="U148" s="215"/>
      <c r="X148" s="215"/>
    </row>
    <row r="149" spans="1:24" s="117" customFormat="1" ht="20.25" hidden="1" customHeight="1">
      <c r="A149" s="112" t="s">
        <v>516</v>
      </c>
      <c r="B149" s="118" t="s">
        <v>914</v>
      </c>
      <c r="C149" s="268"/>
      <c r="D149" s="359"/>
      <c r="E149" s="12"/>
      <c r="F149" s="18">
        <f t="shared" ref="F149:F154" si="108">ROUND(C149*E149/1,0)</f>
        <v>0</v>
      </c>
      <c r="G149" s="119">
        <f>ESTIMATE!I1286</f>
        <v>1</v>
      </c>
      <c r="H149" s="114" t="s">
        <v>114</v>
      </c>
      <c r="I149" s="138">
        <f>ESTIMATE!K1286</f>
        <v>24508.86</v>
      </c>
      <c r="J149" s="18">
        <f t="shared" si="107"/>
        <v>24509</v>
      </c>
      <c r="K149" s="116">
        <f t="shared" si="100"/>
        <v>24509</v>
      </c>
      <c r="L149" s="116">
        <f t="shared" si="101"/>
        <v>0</v>
      </c>
      <c r="M149" s="112" t="s">
        <v>15</v>
      </c>
      <c r="N149" s="256">
        <f t="shared" si="102"/>
        <v>-24508.86</v>
      </c>
      <c r="S149" s="117">
        <v>0</v>
      </c>
      <c r="U149" s="215">
        <f t="shared" si="78"/>
        <v>24509</v>
      </c>
      <c r="X149" s="215">
        <f t="shared" si="79"/>
        <v>1</v>
      </c>
    </row>
    <row r="150" spans="1:24" s="117" customFormat="1" ht="20.25" hidden="1" customHeight="1">
      <c r="A150" s="112" t="s">
        <v>1439</v>
      </c>
      <c r="B150" s="118" t="s">
        <v>915</v>
      </c>
      <c r="C150" s="268"/>
      <c r="D150" s="359"/>
      <c r="E150" s="12"/>
      <c r="F150" s="18">
        <f t="shared" si="108"/>
        <v>0</v>
      </c>
      <c r="G150" s="119">
        <f>ESTIMATE!I1292</f>
        <v>0</v>
      </c>
      <c r="H150" s="114" t="s">
        <v>114</v>
      </c>
      <c r="I150" s="138">
        <f>ESTIMATE!K1292</f>
        <v>13665.51</v>
      </c>
      <c r="J150" s="18">
        <f t="shared" si="107"/>
        <v>0</v>
      </c>
      <c r="K150" s="116">
        <f t="shared" si="100"/>
        <v>0</v>
      </c>
      <c r="L150" s="116">
        <f t="shared" si="101"/>
        <v>0</v>
      </c>
      <c r="M150" s="112" t="s">
        <v>15</v>
      </c>
      <c r="N150" s="256">
        <f t="shared" si="102"/>
        <v>-13665.51</v>
      </c>
      <c r="U150" s="215">
        <f t="shared" si="78"/>
        <v>0</v>
      </c>
      <c r="X150" s="215">
        <f t="shared" si="79"/>
        <v>0</v>
      </c>
    </row>
    <row r="151" spans="1:24" s="117" customFormat="1" ht="32.25" customHeight="1">
      <c r="A151" s="112" t="s">
        <v>459</v>
      </c>
      <c r="B151" s="118" t="s">
        <v>703</v>
      </c>
      <c r="C151" s="414">
        <v>8.2100000000000009</v>
      </c>
      <c r="D151" s="415" t="s">
        <v>102</v>
      </c>
      <c r="E151" s="329">
        <v>6958.78</v>
      </c>
      <c r="F151" s="18">
        <f t="shared" si="108"/>
        <v>57132</v>
      </c>
      <c r="G151" s="119">
        <f>ESTIMATE!I1298</f>
        <v>0</v>
      </c>
      <c r="H151" s="114" t="s">
        <v>102</v>
      </c>
      <c r="I151" s="138">
        <f>ESTIMATE!K1298</f>
        <v>7732.59</v>
      </c>
      <c r="J151" s="18">
        <f t="shared" si="107"/>
        <v>0</v>
      </c>
      <c r="K151" s="116">
        <f t="shared" si="100"/>
        <v>0</v>
      </c>
      <c r="L151" s="116">
        <f t="shared" si="101"/>
        <v>57132</v>
      </c>
      <c r="M151" s="112" t="s">
        <v>15</v>
      </c>
      <c r="N151" s="256">
        <f t="shared" si="102"/>
        <v>-773.8100000000004</v>
      </c>
      <c r="S151" s="117">
        <v>189353</v>
      </c>
      <c r="U151" s="215">
        <f t="shared" si="78"/>
        <v>-189353</v>
      </c>
      <c r="W151" s="117">
        <v>31.5</v>
      </c>
      <c r="X151" s="215">
        <f t="shared" si="79"/>
        <v>-31.5</v>
      </c>
    </row>
    <row r="152" spans="1:24" s="117" customFormat="1" ht="32.25" hidden="1" customHeight="1">
      <c r="A152" s="112" t="s">
        <v>518</v>
      </c>
      <c r="B152" s="118" t="s">
        <v>1425</v>
      </c>
      <c r="C152" s="356"/>
      <c r="D152" s="353"/>
      <c r="E152" s="12"/>
      <c r="F152" s="18">
        <f t="shared" si="108"/>
        <v>0</v>
      </c>
      <c r="G152" s="119"/>
      <c r="H152" s="114"/>
      <c r="I152" s="138"/>
      <c r="J152" s="18"/>
      <c r="K152" s="116">
        <f t="shared" si="100"/>
        <v>0</v>
      </c>
      <c r="L152" s="116">
        <f t="shared" si="101"/>
        <v>0</v>
      </c>
      <c r="M152" s="112" t="s">
        <v>15</v>
      </c>
      <c r="N152" s="256">
        <f t="shared" si="102"/>
        <v>0</v>
      </c>
      <c r="U152" s="215"/>
      <c r="X152" s="215"/>
    </row>
    <row r="153" spans="1:24" s="117" customFormat="1" ht="24.75" hidden="1" customHeight="1">
      <c r="A153" s="112" t="s">
        <v>500</v>
      </c>
      <c r="B153" s="118" t="s">
        <v>916</v>
      </c>
      <c r="C153" s="414"/>
      <c r="D153" s="415" t="s">
        <v>102</v>
      </c>
      <c r="E153" s="329">
        <v>8058</v>
      </c>
      <c r="F153" s="18">
        <f t="shared" si="108"/>
        <v>0</v>
      </c>
      <c r="G153" s="119">
        <f>ESTIMATE!I1311</f>
        <v>12.96</v>
      </c>
      <c r="H153" s="114" t="s">
        <v>102</v>
      </c>
      <c r="I153" s="138">
        <f>ESTIMATE!K1311</f>
        <v>10225.35</v>
      </c>
      <c r="J153" s="18">
        <f t="shared" si="107"/>
        <v>132521</v>
      </c>
      <c r="K153" s="116">
        <f t="shared" si="100"/>
        <v>132521</v>
      </c>
      <c r="L153" s="116">
        <f t="shared" si="101"/>
        <v>0</v>
      </c>
      <c r="M153" s="112" t="s">
        <v>15</v>
      </c>
      <c r="N153" s="256">
        <f t="shared" si="102"/>
        <v>-2167.3500000000004</v>
      </c>
      <c r="S153" s="117">
        <v>244883</v>
      </c>
      <c r="U153" s="215">
        <f t="shared" si="78"/>
        <v>-112362</v>
      </c>
      <c r="W153" s="117">
        <v>30.39</v>
      </c>
      <c r="X153" s="215">
        <f t="shared" si="79"/>
        <v>-17.43</v>
      </c>
    </row>
    <row r="154" spans="1:24" s="117" customFormat="1" ht="24.75" customHeight="1">
      <c r="A154" s="112" t="s">
        <v>462</v>
      </c>
      <c r="B154" s="118" t="s">
        <v>1906</v>
      </c>
      <c r="C154" s="268">
        <v>5.76</v>
      </c>
      <c r="D154" s="263" t="s">
        <v>102</v>
      </c>
      <c r="E154" s="12">
        <v>6460</v>
      </c>
      <c r="F154" s="18">
        <f t="shared" si="108"/>
        <v>37210</v>
      </c>
      <c r="G154" s="119">
        <f>ESTIMATE!I1315</f>
        <v>0</v>
      </c>
      <c r="H154" s="114" t="s">
        <v>102</v>
      </c>
      <c r="I154" s="138">
        <f>ESTIMATE!K1315</f>
        <v>6698</v>
      </c>
      <c r="J154" s="18">
        <f t="shared" si="107"/>
        <v>0</v>
      </c>
      <c r="K154" s="116">
        <f t="shared" si="100"/>
        <v>0</v>
      </c>
      <c r="L154" s="116">
        <f t="shared" si="101"/>
        <v>37210</v>
      </c>
      <c r="M154" s="112" t="s">
        <v>15</v>
      </c>
      <c r="N154" s="256">
        <f t="shared" si="102"/>
        <v>-238</v>
      </c>
      <c r="U154" s="215"/>
      <c r="X154" s="215"/>
    </row>
    <row r="155" spans="1:24" s="117" customFormat="1" ht="24.75" hidden="1" customHeight="1">
      <c r="A155" s="112" t="s">
        <v>520</v>
      </c>
      <c r="B155" s="118" t="s">
        <v>917</v>
      </c>
      <c r="C155" s="268"/>
      <c r="D155" s="263"/>
      <c r="E155" s="12"/>
      <c r="F155" s="18"/>
      <c r="G155" s="119">
        <f>ESTIMATE!I1319</f>
        <v>0</v>
      </c>
      <c r="H155" s="114" t="s">
        <v>102</v>
      </c>
      <c r="I155" s="138">
        <f>ESTIMATE!K1319</f>
        <v>6456</v>
      </c>
      <c r="J155" s="18">
        <f t="shared" si="107"/>
        <v>0</v>
      </c>
      <c r="K155" s="116">
        <f t="shared" si="100"/>
        <v>0</v>
      </c>
      <c r="L155" s="116">
        <f t="shared" si="101"/>
        <v>0</v>
      </c>
      <c r="M155" s="112" t="s">
        <v>15</v>
      </c>
      <c r="N155" s="256">
        <f t="shared" si="102"/>
        <v>-6456</v>
      </c>
      <c r="S155" s="117">
        <v>14983</v>
      </c>
      <c r="U155" s="215">
        <f t="shared" si="78"/>
        <v>-14983</v>
      </c>
      <c r="W155" s="117">
        <v>2.57</v>
      </c>
      <c r="X155" s="215">
        <f t="shared" si="79"/>
        <v>-2.57</v>
      </c>
    </row>
    <row r="156" spans="1:24" s="117" customFormat="1" ht="20.25" customHeight="1">
      <c r="A156" s="112" t="s">
        <v>463</v>
      </c>
      <c r="B156" s="118" t="s">
        <v>704</v>
      </c>
      <c r="C156" s="253">
        <v>1</v>
      </c>
      <c r="D156" s="263" t="s">
        <v>114</v>
      </c>
      <c r="E156" s="138">
        <v>576.98</v>
      </c>
      <c r="F156" s="18">
        <f>ROUND(C156*E156/1,0)</f>
        <v>577</v>
      </c>
      <c r="G156" s="119">
        <f>ESTIMATE!I1324</f>
        <v>0</v>
      </c>
      <c r="H156" s="114" t="s">
        <v>114</v>
      </c>
      <c r="I156" s="138">
        <f>ESTIMATE!K1324</f>
        <v>605.57000000000005</v>
      </c>
      <c r="J156" s="18">
        <f t="shared" si="107"/>
        <v>0</v>
      </c>
      <c r="K156" s="116">
        <f t="shared" si="100"/>
        <v>0</v>
      </c>
      <c r="L156" s="116">
        <f t="shared" si="101"/>
        <v>577</v>
      </c>
      <c r="M156" s="112" t="s">
        <v>15</v>
      </c>
      <c r="N156" s="256">
        <f t="shared" si="102"/>
        <v>-28.590000000000032</v>
      </c>
      <c r="S156" s="117">
        <v>0</v>
      </c>
      <c r="U156" s="215">
        <f t="shared" si="78"/>
        <v>0</v>
      </c>
      <c r="X156" s="215">
        <f t="shared" si="79"/>
        <v>0</v>
      </c>
    </row>
    <row r="157" spans="1:24" s="117" customFormat="1" ht="20.25" hidden="1" customHeight="1">
      <c r="A157" s="112" t="s">
        <v>501</v>
      </c>
      <c r="B157" s="118" t="s">
        <v>880</v>
      </c>
      <c r="C157" s="414"/>
      <c r="D157" s="415" t="s">
        <v>102</v>
      </c>
      <c r="E157" s="329">
        <v>554.35</v>
      </c>
      <c r="F157" s="18">
        <f>ROUND(C157*E157/1,0)</f>
        <v>0</v>
      </c>
      <c r="G157" s="119">
        <f>ESTIMATE!I1328</f>
        <v>1.1000000000000001</v>
      </c>
      <c r="H157" s="114" t="s">
        <v>102</v>
      </c>
      <c r="I157" s="138">
        <f>ESTIMATE!K1328</f>
        <v>769.31999999999994</v>
      </c>
      <c r="J157" s="18">
        <f t="shared" si="107"/>
        <v>846</v>
      </c>
      <c r="K157" s="116">
        <f t="shared" si="100"/>
        <v>846</v>
      </c>
      <c r="L157" s="116">
        <f t="shared" si="101"/>
        <v>0</v>
      </c>
      <c r="M157" s="112" t="s">
        <v>15</v>
      </c>
      <c r="N157" s="256">
        <f t="shared" si="102"/>
        <v>-214.96999999999991</v>
      </c>
      <c r="S157" s="117">
        <v>1847</v>
      </c>
      <c r="U157" s="215">
        <f t="shared" si="78"/>
        <v>-1001</v>
      </c>
      <c r="W157" s="117">
        <v>3.6</v>
      </c>
      <c r="X157" s="215">
        <f t="shared" si="79"/>
        <v>-2.5</v>
      </c>
    </row>
    <row r="158" spans="1:24" s="117" customFormat="1" ht="20.25" hidden="1" customHeight="1">
      <c r="A158" s="112" t="s">
        <v>934</v>
      </c>
      <c r="B158" s="118" t="s">
        <v>880</v>
      </c>
      <c r="C158" s="265"/>
      <c r="D158" s="263"/>
      <c r="E158" s="266"/>
      <c r="F158" s="18"/>
      <c r="G158" s="119"/>
      <c r="H158" s="114"/>
      <c r="I158" s="138"/>
      <c r="J158" s="18">
        <f t="shared" si="107"/>
        <v>0</v>
      </c>
      <c r="K158" s="116">
        <f t="shared" si="100"/>
        <v>0</v>
      </c>
      <c r="L158" s="116">
        <f t="shared" si="101"/>
        <v>0</v>
      </c>
      <c r="M158" s="112" t="s">
        <v>15</v>
      </c>
      <c r="N158" s="256">
        <f t="shared" si="102"/>
        <v>0</v>
      </c>
      <c r="U158" s="215"/>
      <c r="X158" s="215"/>
    </row>
    <row r="159" spans="1:24" s="117" customFormat="1" ht="20.25" customHeight="1">
      <c r="A159" s="112" t="s">
        <v>464</v>
      </c>
      <c r="B159" s="118" t="s">
        <v>532</v>
      </c>
      <c r="C159" s="412">
        <v>172</v>
      </c>
      <c r="D159" s="353" t="s">
        <v>4</v>
      </c>
      <c r="E159" s="329">
        <v>110.99</v>
      </c>
      <c r="F159" s="18">
        <f>ROUND(C159*E159/1,0)</f>
        <v>19090</v>
      </c>
      <c r="G159" s="119">
        <f>ESTIMATE!I1333</f>
        <v>280</v>
      </c>
      <c r="H159" s="114" t="s">
        <v>826</v>
      </c>
      <c r="I159" s="138">
        <f>ESTIMATE!K1333</f>
        <v>121.03</v>
      </c>
      <c r="J159" s="18">
        <f t="shared" si="107"/>
        <v>33888</v>
      </c>
      <c r="K159" s="116">
        <f t="shared" si="100"/>
        <v>14798</v>
      </c>
      <c r="L159" s="116">
        <f t="shared" si="101"/>
        <v>0</v>
      </c>
      <c r="M159" s="112" t="s">
        <v>15</v>
      </c>
      <c r="N159" s="256">
        <f t="shared" si="102"/>
        <v>-10.040000000000006</v>
      </c>
      <c r="S159" s="117">
        <v>39023</v>
      </c>
      <c r="U159" s="215">
        <f t="shared" ref="U159" si="109">J159-S159</f>
        <v>-5135</v>
      </c>
      <c r="W159" s="117">
        <v>32.42</v>
      </c>
      <c r="X159" s="215">
        <f t="shared" ref="X159" si="110">G159-W159</f>
        <v>247.57999999999998</v>
      </c>
    </row>
    <row r="160" spans="1:24" s="117" customFormat="1" ht="20.25" hidden="1" customHeight="1">
      <c r="A160" s="112" t="s">
        <v>503</v>
      </c>
      <c r="B160" s="118" t="s">
        <v>532</v>
      </c>
      <c r="C160" s="414"/>
      <c r="D160" s="415" t="s">
        <v>102</v>
      </c>
      <c r="E160" s="329">
        <v>1398.37</v>
      </c>
      <c r="F160" s="18">
        <f>ROUND(C160*E160/1,0)</f>
        <v>0</v>
      </c>
      <c r="G160" s="119">
        <f>ESTIMATE!I1340</f>
        <v>0</v>
      </c>
      <c r="H160" s="114" t="s">
        <v>102</v>
      </c>
      <c r="I160" s="138">
        <f>ESTIMATE!K1340</f>
        <v>1927.75</v>
      </c>
      <c r="J160" s="18">
        <f t="shared" si="107"/>
        <v>0</v>
      </c>
      <c r="K160" s="116">
        <f t="shared" si="100"/>
        <v>0</v>
      </c>
      <c r="L160" s="116">
        <f t="shared" si="101"/>
        <v>0</v>
      </c>
      <c r="M160" s="112" t="s">
        <v>15</v>
      </c>
      <c r="N160" s="256">
        <f t="shared" si="102"/>
        <v>-529.38000000000011</v>
      </c>
      <c r="S160" s="117">
        <v>39023</v>
      </c>
      <c r="U160" s="215">
        <f t="shared" si="78"/>
        <v>-39023</v>
      </c>
      <c r="W160" s="117">
        <v>32.42</v>
      </c>
      <c r="X160" s="215">
        <f t="shared" si="79"/>
        <v>-32.42</v>
      </c>
    </row>
    <row r="161" spans="1:24" s="117" customFormat="1" ht="20.25" hidden="1" customHeight="1">
      <c r="A161" s="112" t="s">
        <v>506</v>
      </c>
      <c r="B161" s="118" t="s">
        <v>621</v>
      </c>
      <c r="C161" s="214"/>
      <c r="D161" s="263"/>
      <c r="E161" s="15"/>
      <c r="F161" s="18">
        <f>ROUND(C161*E161/1,0)</f>
        <v>0</v>
      </c>
      <c r="G161" s="119">
        <f>ESTIMATE!I1345</f>
        <v>0</v>
      </c>
      <c r="H161" s="114"/>
      <c r="I161" s="138">
        <f>ESTIMATE!K1345</f>
        <v>171.79</v>
      </c>
      <c r="J161" s="18">
        <f t="shared" si="107"/>
        <v>0</v>
      </c>
      <c r="K161" s="116">
        <f t="shared" si="100"/>
        <v>0</v>
      </c>
      <c r="L161" s="116">
        <f t="shared" si="101"/>
        <v>0</v>
      </c>
      <c r="M161" s="112" t="s">
        <v>15</v>
      </c>
      <c r="N161" s="256">
        <f t="shared" si="102"/>
        <v>-171.79</v>
      </c>
      <c r="S161" s="117">
        <v>0</v>
      </c>
      <c r="U161" s="215">
        <f t="shared" si="78"/>
        <v>0</v>
      </c>
      <c r="X161" s="215">
        <f t="shared" si="79"/>
        <v>0</v>
      </c>
    </row>
    <row r="162" spans="1:24" s="117" customFormat="1" ht="20.25" hidden="1" customHeight="1">
      <c r="A162" s="112" t="s">
        <v>935</v>
      </c>
      <c r="B162" s="118" t="s">
        <v>705</v>
      </c>
      <c r="C162" s="214"/>
      <c r="D162" s="263"/>
      <c r="E162" s="15"/>
      <c r="F162" s="18"/>
      <c r="G162" s="119">
        <f>ESTIMATE!I1352</f>
        <v>0</v>
      </c>
      <c r="H162" s="114" t="s">
        <v>102</v>
      </c>
      <c r="I162" s="138">
        <f>ESTIMATE!K1352</f>
        <v>4307.82</v>
      </c>
      <c r="J162" s="18">
        <f t="shared" si="107"/>
        <v>0</v>
      </c>
      <c r="K162" s="116">
        <f t="shared" si="100"/>
        <v>0</v>
      </c>
      <c r="L162" s="116">
        <f t="shared" si="101"/>
        <v>0</v>
      </c>
      <c r="M162" s="112" t="s">
        <v>15</v>
      </c>
      <c r="N162" s="256">
        <f t="shared" si="102"/>
        <v>-4307.82</v>
      </c>
      <c r="S162" s="117">
        <v>41051</v>
      </c>
      <c r="U162" s="215">
        <f t="shared" si="78"/>
        <v>-41051</v>
      </c>
      <c r="W162" s="117">
        <v>14.49</v>
      </c>
      <c r="X162" s="215">
        <f t="shared" si="79"/>
        <v>-14.49</v>
      </c>
    </row>
    <row r="163" spans="1:24" s="117" customFormat="1" ht="20.25" hidden="1" customHeight="1">
      <c r="A163" s="112" t="s">
        <v>634</v>
      </c>
      <c r="B163" s="118" t="s">
        <v>913</v>
      </c>
      <c r="C163" s="268"/>
      <c r="D163" s="264"/>
      <c r="E163" s="262"/>
      <c r="F163" s="18"/>
      <c r="G163" s="249">
        <f>ESTIMATE!I1363</f>
        <v>0</v>
      </c>
      <c r="H163" s="121" t="s">
        <v>274</v>
      </c>
      <c r="I163" s="250">
        <f>ESTIMATE!K1363</f>
        <v>556</v>
      </c>
      <c r="J163" s="18">
        <f t="shared" si="107"/>
        <v>0</v>
      </c>
      <c r="K163" s="116">
        <f t="shared" si="100"/>
        <v>0</v>
      </c>
      <c r="L163" s="116">
        <f t="shared" si="101"/>
        <v>0</v>
      </c>
      <c r="M163" s="112" t="s">
        <v>15</v>
      </c>
      <c r="N163" s="256">
        <f t="shared" si="102"/>
        <v>-556</v>
      </c>
      <c r="S163" s="117">
        <v>31312</v>
      </c>
      <c r="U163" s="215">
        <f t="shared" si="78"/>
        <v>-31312</v>
      </c>
      <c r="W163" s="117">
        <v>76</v>
      </c>
      <c r="X163" s="215">
        <f t="shared" si="79"/>
        <v>-76</v>
      </c>
    </row>
    <row r="164" spans="1:24" s="117" customFormat="1" ht="29.25" hidden="1" customHeight="1">
      <c r="A164" s="112" t="s">
        <v>522</v>
      </c>
      <c r="B164" s="113" t="s">
        <v>511</v>
      </c>
      <c r="C164" s="214"/>
      <c r="D164" s="257"/>
      <c r="E164" s="115"/>
      <c r="F164" s="18"/>
      <c r="G164" s="119"/>
      <c r="H164" s="257"/>
      <c r="I164" s="138"/>
      <c r="J164" s="18">
        <f t="shared" ref="J164" si="111">ROUND(G164*I164,0)</f>
        <v>0</v>
      </c>
      <c r="K164" s="116">
        <f t="shared" si="100"/>
        <v>0</v>
      </c>
      <c r="L164" s="116">
        <f t="shared" si="101"/>
        <v>0</v>
      </c>
      <c r="M164" s="112" t="s">
        <v>15</v>
      </c>
      <c r="N164" s="256">
        <f t="shared" si="102"/>
        <v>0</v>
      </c>
      <c r="S164" s="117">
        <v>0</v>
      </c>
      <c r="U164" s="215">
        <f t="shared" si="78"/>
        <v>0</v>
      </c>
      <c r="X164" s="215">
        <f t="shared" si="79"/>
        <v>0</v>
      </c>
    </row>
    <row r="165" spans="1:24" s="117" customFormat="1" ht="20.25" hidden="1" customHeight="1">
      <c r="A165" s="112" t="s">
        <v>631</v>
      </c>
      <c r="B165" s="118" t="s">
        <v>533</v>
      </c>
      <c r="C165" s="346"/>
      <c r="D165" s="355"/>
      <c r="E165" s="345"/>
      <c r="F165" s="18">
        <f t="shared" ref="F165:F168" si="112">ROUND(C165*E165,0)</f>
        <v>0</v>
      </c>
      <c r="G165" s="119">
        <f>ESTIMATE!I1368</f>
        <v>0</v>
      </c>
      <c r="H165" s="114" t="s">
        <v>274</v>
      </c>
      <c r="I165" s="138">
        <f>ESTIMATE!K1368</f>
        <v>291</v>
      </c>
      <c r="J165" s="18">
        <f t="shared" ref="J165:J241" si="113">ROUND(G165*I165,0)</f>
        <v>0</v>
      </c>
      <c r="K165" s="116">
        <f t="shared" si="100"/>
        <v>0</v>
      </c>
      <c r="L165" s="116">
        <f t="shared" si="101"/>
        <v>0</v>
      </c>
      <c r="M165" s="112" t="s">
        <v>15</v>
      </c>
      <c r="N165" s="256">
        <f t="shared" si="102"/>
        <v>-291</v>
      </c>
      <c r="S165" s="117">
        <v>7720</v>
      </c>
      <c r="U165" s="215">
        <f t="shared" si="78"/>
        <v>-7720</v>
      </c>
      <c r="W165" s="117">
        <v>40</v>
      </c>
      <c r="X165" s="215">
        <f t="shared" si="79"/>
        <v>-40</v>
      </c>
    </row>
    <row r="166" spans="1:24" s="117" customFormat="1" ht="20.25" customHeight="1">
      <c r="A166" s="112" t="s">
        <v>465</v>
      </c>
      <c r="B166" s="118" t="s">
        <v>534</v>
      </c>
      <c r="C166" s="346">
        <v>30</v>
      </c>
      <c r="D166" s="355" t="s">
        <v>274</v>
      </c>
      <c r="E166" s="345">
        <v>136</v>
      </c>
      <c r="F166" s="18">
        <f t="shared" si="112"/>
        <v>4080</v>
      </c>
      <c r="G166" s="119">
        <f>ESTIMATE!I1372</f>
        <v>0</v>
      </c>
      <c r="H166" s="114" t="s">
        <v>274</v>
      </c>
      <c r="I166" s="138">
        <f>ESTIMATE!K1372</f>
        <v>224</v>
      </c>
      <c r="J166" s="18">
        <f t="shared" si="113"/>
        <v>0</v>
      </c>
      <c r="K166" s="116">
        <f t="shared" si="100"/>
        <v>0</v>
      </c>
      <c r="L166" s="116">
        <f t="shared" si="101"/>
        <v>4080</v>
      </c>
      <c r="M166" s="112" t="s">
        <v>15</v>
      </c>
      <c r="N166" s="256">
        <f t="shared" si="102"/>
        <v>-88</v>
      </c>
      <c r="S166" s="117">
        <v>4920</v>
      </c>
      <c r="U166" s="215">
        <f t="shared" si="78"/>
        <v>-4920</v>
      </c>
      <c r="W166" s="117">
        <v>40</v>
      </c>
      <c r="X166" s="215">
        <f t="shared" si="79"/>
        <v>-40</v>
      </c>
    </row>
    <row r="167" spans="1:24" s="117" customFormat="1" ht="20.25" hidden="1" customHeight="1">
      <c r="A167" s="112" t="s">
        <v>632</v>
      </c>
      <c r="B167" s="118" t="s">
        <v>1345</v>
      </c>
      <c r="C167" s="346"/>
      <c r="D167" s="355"/>
      <c r="E167" s="345"/>
      <c r="F167" s="18">
        <f t="shared" si="112"/>
        <v>0</v>
      </c>
      <c r="G167" s="119">
        <f>ESTIMATE!I1378</f>
        <v>0</v>
      </c>
      <c r="H167" s="114" t="s">
        <v>274</v>
      </c>
      <c r="I167" s="138">
        <f>ESTIMATE!K1378</f>
        <v>186</v>
      </c>
      <c r="J167" s="18">
        <f t="shared" ref="J167" si="114">ROUND(G167*I167,0)</f>
        <v>0</v>
      </c>
      <c r="K167" s="116">
        <f t="shared" si="100"/>
        <v>0</v>
      </c>
      <c r="L167" s="116">
        <f t="shared" si="101"/>
        <v>0</v>
      </c>
      <c r="M167" s="112" t="s">
        <v>15</v>
      </c>
      <c r="N167" s="256">
        <f t="shared" si="102"/>
        <v>-186</v>
      </c>
      <c r="S167" s="117">
        <v>4920</v>
      </c>
      <c r="U167" s="215">
        <f t="shared" ref="U167" si="115">J167-S167</f>
        <v>-4920</v>
      </c>
      <c r="W167" s="117">
        <v>40</v>
      </c>
      <c r="X167" s="215">
        <f t="shared" ref="X167" si="116">G167-W167</f>
        <v>-40</v>
      </c>
    </row>
    <row r="168" spans="1:24" s="117" customFormat="1" ht="20.25" hidden="1" customHeight="1">
      <c r="A168" s="112" t="s">
        <v>1440</v>
      </c>
      <c r="B168" s="118" t="s">
        <v>1434</v>
      </c>
      <c r="C168" s="346"/>
      <c r="D168" s="355"/>
      <c r="E168" s="345"/>
      <c r="F168" s="18">
        <f t="shared" si="112"/>
        <v>0</v>
      </c>
      <c r="G168" s="119">
        <f>ESTIMATE!I1379</f>
        <v>0</v>
      </c>
      <c r="H168" s="114" t="s">
        <v>274</v>
      </c>
      <c r="I168" s="138">
        <f>ESTIMATE!K1379</f>
        <v>0</v>
      </c>
      <c r="J168" s="18">
        <f t="shared" ref="J168" si="117">ROUND(G168*I168,0)</f>
        <v>0</v>
      </c>
      <c r="K168" s="116">
        <f t="shared" si="100"/>
        <v>0</v>
      </c>
      <c r="L168" s="116">
        <f t="shared" si="101"/>
        <v>0</v>
      </c>
      <c r="M168" s="112" t="s">
        <v>15</v>
      </c>
      <c r="N168" s="256">
        <f t="shared" si="102"/>
        <v>0</v>
      </c>
      <c r="S168" s="117">
        <v>4920</v>
      </c>
      <c r="U168" s="215">
        <f t="shared" ref="U168" si="118">J168-S168</f>
        <v>-4920</v>
      </c>
      <c r="W168" s="117">
        <v>40</v>
      </c>
      <c r="X168" s="215">
        <f t="shared" ref="X168" si="119">G168-W168</f>
        <v>-40</v>
      </c>
    </row>
    <row r="169" spans="1:24" s="117" customFormat="1" ht="20.25" hidden="1" customHeight="1">
      <c r="A169" s="112" t="s">
        <v>937</v>
      </c>
      <c r="B169" s="118" t="s">
        <v>1049</v>
      </c>
      <c r="C169" s="214"/>
      <c r="D169" s="263"/>
      <c r="E169" s="15"/>
      <c r="F169" s="18"/>
      <c r="G169" s="119">
        <f>ESTIMATE!I1382</f>
        <v>0</v>
      </c>
      <c r="H169" s="114" t="s">
        <v>274</v>
      </c>
      <c r="I169" s="138">
        <f>ESTIMATE!K1382</f>
        <v>25</v>
      </c>
      <c r="J169" s="18">
        <f t="shared" si="113"/>
        <v>0</v>
      </c>
      <c r="K169" s="116">
        <f t="shared" si="100"/>
        <v>0</v>
      </c>
      <c r="L169" s="116">
        <f t="shared" si="101"/>
        <v>0</v>
      </c>
      <c r="M169" s="112" t="s">
        <v>15</v>
      </c>
      <c r="N169" s="256">
        <f t="shared" si="102"/>
        <v>-25</v>
      </c>
      <c r="U169" s="215"/>
      <c r="X169" s="215"/>
    </row>
    <row r="170" spans="1:24" s="117" customFormat="1" ht="20.25" customHeight="1">
      <c r="A170" s="112" t="s">
        <v>466</v>
      </c>
      <c r="B170" s="118" t="s">
        <v>535</v>
      </c>
      <c r="C170" s="346">
        <v>30</v>
      </c>
      <c r="D170" s="355" t="s">
        <v>274</v>
      </c>
      <c r="E170" s="345">
        <v>33</v>
      </c>
      <c r="F170" s="18">
        <f t="shared" ref="F170:F178" si="120">ROUND(C170*E170,0)</f>
        <v>990</v>
      </c>
      <c r="G170" s="119">
        <f>ESTIMATE!I1386</f>
        <v>0</v>
      </c>
      <c r="H170" s="114" t="s">
        <v>274</v>
      </c>
      <c r="I170" s="138">
        <f>ESTIMATE!K1386</f>
        <v>37</v>
      </c>
      <c r="J170" s="18">
        <f t="shared" si="113"/>
        <v>0</v>
      </c>
      <c r="K170" s="116">
        <f t="shared" si="100"/>
        <v>0</v>
      </c>
      <c r="L170" s="116">
        <f t="shared" si="101"/>
        <v>990</v>
      </c>
      <c r="M170" s="112" t="s">
        <v>15</v>
      </c>
      <c r="N170" s="256">
        <f t="shared" si="102"/>
        <v>-4</v>
      </c>
      <c r="S170" s="117">
        <v>2480</v>
      </c>
      <c r="U170" s="215">
        <f t="shared" si="78"/>
        <v>-2480</v>
      </c>
      <c r="W170" s="117">
        <v>80</v>
      </c>
      <c r="X170" s="215">
        <f t="shared" si="79"/>
        <v>-80</v>
      </c>
    </row>
    <row r="171" spans="1:24" s="117" customFormat="1" ht="20.25" customHeight="1">
      <c r="A171" s="112" t="s">
        <v>468</v>
      </c>
      <c r="B171" s="118" t="s">
        <v>536</v>
      </c>
      <c r="C171" s="346">
        <v>4</v>
      </c>
      <c r="D171" s="355" t="s">
        <v>114</v>
      </c>
      <c r="E171" s="345">
        <v>387</v>
      </c>
      <c r="F171" s="18">
        <f t="shared" si="120"/>
        <v>1548</v>
      </c>
      <c r="G171" s="119">
        <f>ESTIMATE!I1390</f>
        <v>0</v>
      </c>
      <c r="H171" s="114" t="s">
        <v>114</v>
      </c>
      <c r="I171" s="138">
        <f>ESTIMATE!K1390</f>
        <v>391</v>
      </c>
      <c r="J171" s="18">
        <f t="shared" si="113"/>
        <v>0</v>
      </c>
      <c r="K171" s="116">
        <f t="shared" si="100"/>
        <v>0</v>
      </c>
      <c r="L171" s="116">
        <f t="shared" si="101"/>
        <v>1548</v>
      </c>
      <c r="M171" s="112" t="s">
        <v>15</v>
      </c>
      <c r="N171" s="256">
        <f t="shared" si="102"/>
        <v>-4</v>
      </c>
      <c r="S171" s="117">
        <v>698</v>
      </c>
      <c r="U171" s="215">
        <f t="shared" si="78"/>
        <v>-698</v>
      </c>
      <c r="W171" s="117">
        <v>2</v>
      </c>
      <c r="X171" s="215">
        <f t="shared" si="79"/>
        <v>-2</v>
      </c>
    </row>
    <row r="172" spans="1:24" s="117" customFormat="1" ht="24.75" hidden="1" customHeight="1">
      <c r="A172" s="112" t="s">
        <v>929</v>
      </c>
      <c r="B172" s="118" t="s">
        <v>706</v>
      </c>
      <c r="C172" s="346"/>
      <c r="D172" s="355"/>
      <c r="E172" s="345"/>
      <c r="F172" s="18">
        <f t="shared" si="120"/>
        <v>0</v>
      </c>
      <c r="G172" s="119">
        <f>ESTIMATE!I1394</f>
        <v>0</v>
      </c>
      <c r="H172" s="114" t="s">
        <v>114</v>
      </c>
      <c r="I172" s="138">
        <f>ESTIMATE!K1394</f>
        <v>1658</v>
      </c>
      <c r="J172" s="18">
        <f t="shared" si="113"/>
        <v>0</v>
      </c>
      <c r="K172" s="116">
        <f t="shared" si="100"/>
        <v>0</v>
      </c>
      <c r="L172" s="116">
        <f t="shared" si="101"/>
        <v>0</v>
      </c>
      <c r="M172" s="112" t="s">
        <v>15</v>
      </c>
      <c r="N172" s="256">
        <f t="shared" si="102"/>
        <v>-1658</v>
      </c>
      <c r="S172" s="117">
        <v>0</v>
      </c>
      <c r="U172" s="215">
        <f t="shared" si="78"/>
        <v>0</v>
      </c>
      <c r="W172" s="117">
        <v>0</v>
      </c>
      <c r="X172" s="215">
        <f t="shared" si="79"/>
        <v>0</v>
      </c>
    </row>
    <row r="173" spans="1:24" s="117" customFormat="1" ht="20.25" customHeight="1">
      <c r="A173" s="112" t="s">
        <v>469</v>
      </c>
      <c r="B173" s="118" t="s">
        <v>537</v>
      </c>
      <c r="C173" s="346">
        <v>4</v>
      </c>
      <c r="D173" s="355" t="s">
        <v>274</v>
      </c>
      <c r="E173" s="345">
        <v>149</v>
      </c>
      <c r="F173" s="18">
        <f t="shared" si="120"/>
        <v>596</v>
      </c>
      <c r="G173" s="119">
        <f>ESTIMATE!I1399</f>
        <v>0</v>
      </c>
      <c r="H173" s="114" t="s">
        <v>274</v>
      </c>
      <c r="I173" s="138">
        <f>ESTIMATE!K1399</f>
        <v>150.33333333333334</v>
      </c>
      <c r="J173" s="18">
        <f t="shared" si="113"/>
        <v>0</v>
      </c>
      <c r="K173" s="116">
        <f t="shared" si="100"/>
        <v>0</v>
      </c>
      <c r="L173" s="116">
        <f t="shared" si="101"/>
        <v>596</v>
      </c>
      <c r="M173" s="112" t="s">
        <v>15</v>
      </c>
      <c r="N173" s="256">
        <f t="shared" si="102"/>
        <v>-1.3333333333333428</v>
      </c>
      <c r="S173" s="117">
        <v>820</v>
      </c>
      <c r="U173" s="215">
        <f t="shared" ref="U173:U237" si="121">J173-S173</f>
        <v>-820</v>
      </c>
      <c r="W173" s="117">
        <v>6</v>
      </c>
      <c r="X173" s="215">
        <f t="shared" ref="X173:X237" si="122">G173-W173</f>
        <v>-6</v>
      </c>
    </row>
    <row r="174" spans="1:24" s="117" customFormat="1" ht="20.25" hidden="1" customHeight="1">
      <c r="A174" s="112" t="s">
        <v>633</v>
      </c>
      <c r="B174" s="118" t="s">
        <v>538</v>
      </c>
      <c r="C174" s="346"/>
      <c r="D174" s="355"/>
      <c r="E174" s="345"/>
      <c r="F174" s="18">
        <f t="shared" si="120"/>
        <v>0</v>
      </c>
      <c r="G174" s="119">
        <f>ESTIMATE!I1403</f>
        <v>0</v>
      </c>
      <c r="H174" s="114" t="s">
        <v>274</v>
      </c>
      <c r="I174" s="138">
        <f>ESTIMATE!K1403</f>
        <v>143</v>
      </c>
      <c r="J174" s="18">
        <f t="shared" si="113"/>
        <v>0</v>
      </c>
      <c r="K174" s="116">
        <f t="shared" si="100"/>
        <v>0</v>
      </c>
      <c r="L174" s="116">
        <f t="shared" si="101"/>
        <v>0</v>
      </c>
      <c r="M174" s="112" t="s">
        <v>15</v>
      </c>
      <c r="N174" s="256">
        <f t="shared" si="102"/>
        <v>-143</v>
      </c>
      <c r="S174" s="117">
        <v>0</v>
      </c>
      <c r="U174" s="215">
        <f t="shared" si="121"/>
        <v>0</v>
      </c>
      <c r="W174" s="117">
        <v>0</v>
      </c>
      <c r="X174" s="215">
        <f t="shared" si="122"/>
        <v>0</v>
      </c>
    </row>
    <row r="175" spans="1:24" s="117" customFormat="1" ht="20.25" customHeight="1">
      <c r="A175" s="112" t="s">
        <v>470</v>
      </c>
      <c r="B175" s="118" t="s">
        <v>539</v>
      </c>
      <c r="C175" s="346">
        <v>4</v>
      </c>
      <c r="D175" s="355" t="s">
        <v>274</v>
      </c>
      <c r="E175" s="345">
        <v>89</v>
      </c>
      <c r="F175" s="18">
        <f t="shared" si="120"/>
        <v>356</v>
      </c>
      <c r="G175" s="119">
        <f>ESTIMATE!I1407</f>
        <v>0</v>
      </c>
      <c r="H175" s="114" t="s">
        <v>274</v>
      </c>
      <c r="I175" s="138">
        <f>ESTIMATE!K1407</f>
        <v>90</v>
      </c>
      <c r="J175" s="18">
        <f t="shared" si="113"/>
        <v>0</v>
      </c>
      <c r="K175" s="116">
        <f t="shared" si="100"/>
        <v>0</v>
      </c>
      <c r="L175" s="116">
        <f t="shared" si="101"/>
        <v>356</v>
      </c>
      <c r="M175" s="112" t="s">
        <v>15</v>
      </c>
      <c r="N175" s="256">
        <f t="shared" si="102"/>
        <v>-1</v>
      </c>
      <c r="S175" s="117">
        <v>488</v>
      </c>
      <c r="U175" s="215">
        <f t="shared" si="121"/>
        <v>-488</v>
      </c>
      <c r="W175" s="117">
        <v>6</v>
      </c>
      <c r="X175" s="215">
        <f t="shared" si="122"/>
        <v>-6</v>
      </c>
    </row>
    <row r="176" spans="1:24" s="117" customFormat="1" ht="20.25" customHeight="1">
      <c r="A176" s="112" t="s">
        <v>471</v>
      </c>
      <c r="B176" s="118" t="s">
        <v>540</v>
      </c>
      <c r="C176" s="346">
        <v>8</v>
      </c>
      <c r="D176" s="355" t="s">
        <v>274</v>
      </c>
      <c r="E176" s="345">
        <v>79</v>
      </c>
      <c r="F176" s="18">
        <f t="shared" si="120"/>
        <v>632</v>
      </c>
      <c r="G176" s="119">
        <f>ESTIMATE!I1412</f>
        <v>0</v>
      </c>
      <c r="H176" s="114" t="s">
        <v>274</v>
      </c>
      <c r="I176" s="138">
        <f>ESTIMATE!K1412</f>
        <v>85</v>
      </c>
      <c r="J176" s="18">
        <f t="shared" si="113"/>
        <v>0</v>
      </c>
      <c r="K176" s="116">
        <f t="shared" si="100"/>
        <v>0</v>
      </c>
      <c r="L176" s="116">
        <f t="shared" si="101"/>
        <v>632</v>
      </c>
      <c r="M176" s="112" t="s">
        <v>15</v>
      </c>
      <c r="N176" s="256">
        <f t="shared" si="102"/>
        <v>-6</v>
      </c>
      <c r="S176" s="117">
        <v>840</v>
      </c>
      <c r="U176" s="215">
        <f t="shared" si="121"/>
        <v>-840</v>
      </c>
      <c r="W176" s="117">
        <v>12</v>
      </c>
      <c r="X176" s="215">
        <f t="shared" si="122"/>
        <v>-12</v>
      </c>
    </row>
    <row r="177" spans="1:24" s="117" customFormat="1" ht="20.25" hidden="1" customHeight="1">
      <c r="A177" s="112" t="s">
        <v>634</v>
      </c>
      <c r="B177" s="118" t="s">
        <v>1432</v>
      </c>
      <c r="C177" s="346"/>
      <c r="D177" s="355"/>
      <c r="E177" s="345"/>
      <c r="F177" s="18">
        <f t="shared" si="120"/>
        <v>0</v>
      </c>
      <c r="G177" s="119"/>
      <c r="H177" s="114"/>
      <c r="I177" s="138"/>
      <c r="J177" s="18"/>
      <c r="K177" s="116">
        <f t="shared" si="100"/>
        <v>0</v>
      </c>
      <c r="L177" s="116">
        <f t="shared" si="101"/>
        <v>0</v>
      </c>
      <c r="M177" s="112" t="s">
        <v>15</v>
      </c>
      <c r="N177" s="256">
        <f t="shared" si="102"/>
        <v>0</v>
      </c>
      <c r="U177" s="215"/>
      <c r="X177" s="215"/>
    </row>
    <row r="178" spans="1:24" s="117" customFormat="1" ht="20.25" customHeight="1">
      <c r="A178" s="112" t="s">
        <v>473</v>
      </c>
      <c r="B178" s="118" t="s">
        <v>541</v>
      </c>
      <c r="C178" s="346">
        <v>1</v>
      </c>
      <c r="D178" s="355" t="s">
        <v>114</v>
      </c>
      <c r="E178" s="345">
        <v>5297</v>
      </c>
      <c r="F178" s="18">
        <f t="shared" si="120"/>
        <v>5297</v>
      </c>
      <c r="G178" s="119">
        <f>ESTIMATE!I1415</f>
        <v>0</v>
      </c>
      <c r="H178" s="114" t="s">
        <v>114</v>
      </c>
      <c r="I178" s="138">
        <f>ESTIMATE!K1415</f>
        <v>5340</v>
      </c>
      <c r="J178" s="18">
        <f t="shared" si="113"/>
        <v>0</v>
      </c>
      <c r="K178" s="116">
        <f t="shared" si="100"/>
        <v>0</v>
      </c>
      <c r="L178" s="116">
        <f t="shared" si="101"/>
        <v>5297</v>
      </c>
      <c r="M178" s="112" t="s">
        <v>15</v>
      </c>
      <c r="N178" s="256">
        <f t="shared" si="102"/>
        <v>-43</v>
      </c>
      <c r="S178" s="117">
        <v>9552</v>
      </c>
      <c r="U178" s="215">
        <f t="shared" si="121"/>
        <v>-9552</v>
      </c>
      <c r="W178" s="117">
        <v>2</v>
      </c>
      <c r="X178" s="215">
        <f t="shared" si="122"/>
        <v>-2</v>
      </c>
    </row>
    <row r="179" spans="1:24" s="117" customFormat="1" ht="20.25" hidden="1" customHeight="1">
      <c r="A179" s="112" t="s">
        <v>508</v>
      </c>
      <c r="B179" s="118" t="s">
        <v>622</v>
      </c>
      <c r="C179" s="214"/>
      <c r="D179" s="263"/>
      <c r="E179" s="15"/>
      <c r="F179" s="18"/>
      <c r="G179" s="119">
        <f>ESTIMATE!I1419</f>
        <v>0</v>
      </c>
      <c r="H179" s="114" t="s">
        <v>114</v>
      </c>
      <c r="I179" s="138">
        <f>ESTIMATE!K1419</f>
        <v>1045</v>
      </c>
      <c r="J179" s="18">
        <f t="shared" ref="J179" si="123">ROUND(G179*I179,0)</f>
        <v>0</v>
      </c>
      <c r="K179" s="116">
        <f t="shared" si="100"/>
        <v>0</v>
      </c>
      <c r="L179" s="116">
        <f t="shared" si="101"/>
        <v>0</v>
      </c>
      <c r="M179" s="112" t="s">
        <v>15</v>
      </c>
      <c r="N179" s="256">
        <f t="shared" si="102"/>
        <v>-1045</v>
      </c>
      <c r="S179" s="117">
        <v>0</v>
      </c>
      <c r="U179" s="215">
        <f t="shared" si="121"/>
        <v>0</v>
      </c>
      <c r="W179" s="117">
        <v>0</v>
      </c>
      <c r="X179" s="215">
        <f t="shared" si="122"/>
        <v>0</v>
      </c>
    </row>
    <row r="180" spans="1:24" s="117" customFormat="1" ht="20.25" customHeight="1">
      <c r="A180" s="112" t="s">
        <v>474</v>
      </c>
      <c r="B180" s="118" t="s">
        <v>623</v>
      </c>
      <c r="C180" s="346">
        <v>1</v>
      </c>
      <c r="D180" s="355" t="s">
        <v>114</v>
      </c>
      <c r="E180" s="345">
        <v>2025</v>
      </c>
      <c r="F180" s="18">
        <f t="shared" ref="F180" si="124">ROUND(C180*E180,0)</f>
        <v>2025</v>
      </c>
      <c r="G180" s="119">
        <f>ESTIMATE!I1426</f>
        <v>0</v>
      </c>
      <c r="H180" s="114" t="s">
        <v>114</v>
      </c>
      <c r="I180" s="138">
        <f>ESTIMATE!K1426</f>
        <v>2044</v>
      </c>
      <c r="J180" s="18">
        <f t="shared" ref="J180:J182" si="125">ROUND(G180*I180,0)</f>
        <v>0</v>
      </c>
      <c r="K180" s="116">
        <f t="shared" si="100"/>
        <v>0</v>
      </c>
      <c r="L180" s="116">
        <f t="shared" si="101"/>
        <v>2025</v>
      </c>
      <c r="M180" s="112" t="s">
        <v>15</v>
      </c>
      <c r="N180" s="256">
        <f t="shared" si="102"/>
        <v>-19</v>
      </c>
      <c r="S180" s="117">
        <v>3654</v>
      </c>
      <c r="U180" s="215">
        <f t="shared" si="121"/>
        <v>-3654</v>
      </c>
      <c r="W180" s="117">
        <v>2</v>
      </c>
      <c r="X180" s="215">
        <f t="shared" si="122"/>
        <v>-2</v>
      </c>
    </row>
    <row r="181" spans="1:24" s="117" customFormat="1" ht="20.25" hidden="1" customHeight="1">
      <c r="A181" s="112" t="s">
        <v>1052</v>
      </c>
      <c r="B181" s="118" t="s">
        <v>1050</v>
      </c>
      <c r="C181" s="214"/>
      <c r="D181" s="263"/>
      <c r="E181" s="15"/>
      <c r="F181" s="18"/>
      <c r="G181" s="119">
        <f>ESTIMATE!I1423</f>
        <v>0</v>
      </c>
      <c r="H181" s="114" t="s">
        <v>114</v>
      </c>
      <c r="I181" s="138">
        <f>ESTIMATE!K1423</f>
        <v>2666</v>
      </c>
      <c r="J181" s="18">
        <f t="shared" si="125"/>
        <v>0</v>
      </c>
      <c r="K181" s="116">
        <f t="shared" si="100"/>
        <v>0</v>
      </c>
      <c r="L181" s="116">
        <f t="shared" si="101"/>
        <v>0</v>
      </c>
      <c r="M181" s="112" t="s">
        <v>15</v>
      </c>
      <c r="N181" s="256">
        <f t="shared" si="102"/>
        <v>-2666</v>
      </c>
      <c r="U181" s="215"/>
      <c r="X181" s="215"/>
    </row>
    <row r="182" spans="1:24" s="117" customFormat="1" ht="20.25" customHeight="1">
      <c r="A182" s="112" t="s">
        <v>475</v>
      </c>
      <c r="B182" s="118" t="s">
        <v>713</v>
      </c>
      <c r="C182" s="346">
        <v>1</v>
      </c>
      <c r="D182" s="355" t="s">
        <v>114</v>
      </c>
      <c r="E182" s="345">
        <v>115</v>
      </c>
      <c r="F182" s="18">
        <f t="shared" ref="F182" si="126">ROUND(C182*E182,0)</f>
        <v>115</v>
      </c>
      <c r="G182" s="119">
        <f>ESTIMATE!I1429</f>
        <v>0</v>
      </c>
      <c r="H182" s="114" t="s">
        <v>114</v>
      </c>
      <c r="I182" s="138">
        <f>ESTIMATE!K1429</f>
        <v>115</v>
      </c>
      <c r="J182" s="18">
        <f t="shared" si="125"/>
        <v>0</v>
      </c>
      <c r="K182" s="116">
        <f t="shared" si="100"/>
        <v>0</v>
      </c>
      <c r="L182" s="116">
        <f t="shared" si="101"/>
        <v>115</v>
      </c>
      <c r="M182" s="112" t="s">
        <v>15</v>
      </c>
      <c r="N182" s="256">
        <f t="shared" si="102"/>
        <v>0</v>
      </c>
      <c r="S182" s="117">
        <v>230</v>
      </c>
      <c r="U182" s="215">
        <f t="shared" si="121"/>
        <v>-230</v>
      </c>
      <c r="W182" s="117">
        <v>2</v>
      </c>
      <c r="X182" s="215">
        <f t="shared" si="122"/>
        <v>-2</v>
      </c>
    </row>
    <row r="183" spans="1:24" s="117" customFormat="1" ht="20.25" hidden="1" customHeight="1">
      <c r="A183" s="112" t="s">
        <v>1441</v>
      </c>
      <c r="B183" s="118" t="s">
        <v>1433</v>
      </c>
      <c r="C183" s="346"/>
      <c r="D183" s="355"/>
      <c r="E183" s="345"/>
      <c r="F183" s="18">
        <f t="shared" ref="F183:F187" si="127">ROUND(C183*E183,0)</f>
        <v>0</v>
      </c>
      <c r="G183" s="119"/>
      <c r="H183" s="114"/>
      <c r="I183" s="138"/>
      <c r="J183" s="18"/>
      <c r="K183" s="116">
        <f t="shared" si="100"/>
        <v>0</v>
      </c>
      <c r="L183" s="116">
        <f t="shared" si="101"/>
        <v>0</v>
      </c>
      <c r="M183" s="112" t="s">
        <v>15</v>
      </c>
      <c r="N183" s="256">
        <f t="shared" si="102"/>
        <v>0</v>
      </c>
      <c r="U183" s="215"/>
      <c r="X183" s="215"/>
    </row>
    <row r="184" spans="1:24" s="117" customFormat="1" ht="20.25" hidden="1" customHeight="1">
      <c r="A184" s="112" t="s">
        <v>635</v>
      </c>
      <c r="B184" s="118" t="s">
        <v>542</v>
      </c>
      <c r="C184" s="346"/>
      <c r="D184" s="355"/>
      <c r="E184" s="345"/>
      <c r="F184" s="18">
        <f t="shared" si="127"/>
        <v>0</v>
      </c>
      <c r="G184" s="119">
        <f>ESTIMATE!I1432</f>
        <v>0</v>
      </c>
      <c r="H184" s="114" t="s">
        <v>563</v>
      </c>
      <c r="I184" s="138">
        <f>ESTIMATE!K1432</f>
        <v>11</v>
      </c>
      <c r="J184" s="18">
        <f t="shared" si="113"/>
        <v>0</v>
      </c>
      <c r="K184" s="116">
        <f t="shared" si="100"/>
        <v>0</v>
      </c>
      <c r="L184" s="116">
        <f t="shared" si="101"/>
        <v>0</v>
      </c>
      <c r="M184" s="112" t="s">
        <v>15</v>
      </c>
      <c r="N184" s="256">
        <f t="shared" si="102"/>
        <v>-11</v>
      </c>
      <c r="S184" s="117">
        <v>0</v>
      </c>
      <c r="U184" s="215">
        <f t="shared" si="121"/>
        <v>0</v>
      </c>
      <c r="W184" s="117">
        <v>0</v>
      </c>
      <c r="X184" s="215">
        <f t="shared" si="122"/>
        <v>0</v>
      </c>
    </row>
    <row r="185" spans="1:24" s="117" customFormat="1" ht="20.25" hidden="1" customHeight="1">
      <c r="A185" s="112" t="s">
        <v>1442</v>
      </c>
      <c r="B185" s="118" t="s">
        <v>1435</v>
      </c>
      <c r="C185" s="346"/>
      <c r="D185" s="355"/>
      <c r="E185" s="345"/>
      <c r="F185" s="18">
        <f t="shared" si="127"/>
        <v>0</v>
      </c>
      <c r="G185" s="119"/>
      <c r="H185" s="114"/>
      <c r="I185" s="138"/>
      <c r="J185" s="18"/>
      <c r="K185" s="116">
        <f t="shared" si="100"/>
        <v>0</v>
      </c>
      <c r="L185" s="116">
        <f t="shared" si="101"/>
        <v>0</v>
      </c>
      <c r="M185" s="112" t="s">
        <v>15</v>
      </c>
      <c r="N185" s="256">
        <f t="shared" si="102"/>
        <v>0</v>
      </c>
      <c r="U185" s="215"/>
      <c r="X185" s="215"/>
    </row>
    <row r="186" spans="1:24" s="117" customFormat="1" ht="20.25" hidden="1" customHeight="1">
      <c r="A186" s="112" t="s">
        <v>1443</v>
      </c>
      <c r="B186" s="118" t="s">
        <v>1436</v>
      </c>
      <c r="C186" s="346"/>
      <c r="D186" s="355"/>
      <c r="E186" s="345"/>
      <c r="F186" s="18">
        <f t="shared" si="127"/>
        <v>0</v>
      </c>
      <c r="G186" s="119"/>
      <c r="H186" s="114"/>
      <c r="I186" s="138"/>
      <c r="J186" s="18"/>
      <c r="K186" s="116">
        <f t="shared" si="100"/>
        <v>0</v>
      </c>
      <c r="L186" s="116">
        <f t="shared" si="101"/>
        <v>0</v>
      </c>
      <c r="M186" s="112" t="s">
        <v>15</v>
      </c>
      <c r="N186" s="256">
        <f t="shared" si="102"/>
        <v>0</v>
      </c>
      <c r="U186" s="215"/>
      <c r="X186" s="215"/>
    </row>
    <row r="187" spans="1:24" s="117" customFormat="1" ht="20.25" hidden="1" customHeight="1">
      <c r="A187" s="112" t="s">
        <v>1444</v>
      </c>
      <c r="B187" s="118" t="s">
        <v>543</v>
      </c>
      <c r="C187" s="346"/>
      <c r="D187" s="355"/>
      <c r="E187" s="345"/>
      <c r="F187" s="18">
        <f t="shared" si="127"/>
        <v>0</v>
      </c>
      <c r="G187" s="119">
        <f>ESTIMATE!I1434</f>
        <v>0</v>
      </c>
      <c r="H187" s="114" t="s">
        <v>274</v>
      </c>
      <c r="I187" s="138">
        <f>ESTIMATE!K1434</f>
        <v>492.16</v>
      </c>
      <c r="J187" s="18">
        <f t="shared" si="113"/>
        <v>0</v>
      </c>
      <c r="K187" s="116">
        <f t="shared" si="100"/>
        <v>0</v>
      </c>
      <c r="L187" s="116">
        <f t="shared" si="101"/>
        <v>0</v>
      </c>
      <c r="M187" s="112" t="s">
        <v>15</v>
      </c>
      <c r="N187" s="256">
        <f t="shared" si="102"/>
        <v>-492.16</v>
      </c>
      <c r="S187" s="117">
        <v>45000</v>
      </c>
      <c r="U187" s="215">
        <f t="shared" si="121"/>
        <v>-45000</v>
      </c>
      <c r="W187" s="117">
        <v>90</v>
      </c>
      <c r="X187" s="215">
        <f t="shared" si="122"/>
        <v>-90</v>
      </c>
    </row>
    <row r="188" spans="1:24" s="117" customFormat="1" ht="20.25" hidden="1" customHeight="1">
      <c r="A188" s="112" t="s">
        <v>512</v>
      </c>
      <c r="B188" s="118"/>
      <c r="C188" s="214"/>
      <c r="D188" s="263"/>
      <c r="E188" s="15"/>
      <c r="F188" s="18"/>
      <c r="G188" s="119">
        <f>ESTIMATE!I1435</f>
        <v>0</v>
      </c>
      <c r="H188" s="114" t="s">
        <v>274</v>
      </c>
      <c r="I188" s="138">
        <f>ESTIMATE!K1435</f>
        <v>526.54999999999995</v>
      </c>
      <c r="J188" s="18">
        <f t="shared" ref="J188:J189" si="128">ROUND(G188*I188,0)</f>
        <v>0</v>
      </c>
      <c r="K188" s="116">
        <f t="shared" si="100"/>
        <v>0</v>
      </c>
      <c r="L188" s="116">
        <f t="shared" si="101"/>
        <v>0</v>
      </c>
      <c r="M188" s="112" t="s">
        <v>15</v>
      </c>
      <c r="N188" s="256">
        <f t="shared" si="102"/>
        <v>-526.54999999999995</v>
      </c>
      <c r="S188" s="117">
        <v>0</v>
      </c>
      <c r="U188" s="215">
        <f t="shared" si="121"/>
        <v>0</v>
      </c>
      <c r="W188" s="117">
        <v>0</v>
      </c>
      <c r="X188" s="215">
        <f t="shared" si="122"/>
        <v>0</v>
      </c>
    </row>
    <row r="189" spans="1:24" s="117" customFormat="1" ht="20.25" hidden="1" customHeight="1">
      <c r="A189" s="112" t="s">
        <v>513</v>
      </c>
      <c r="B189" s="118"/>
      <c r="C189" s="214"/>
      <c r="D189" s="263"/>
      <c r="E189" s="15"/>
      <c r="F189" s="18"/>
      <c r="G189" s="119">
        <f>ESTIMATE!I1436</f>
        <v>0</v>
      </c>
      <c r="H189" s="114" t="s">
        <v>274</v>
      </c>
      <c r="I189" s="138">
        <f>ESTIMATE!K1436</f>
        <v>590.61</v>
      </c>
      <c r="J189" s="18">
        <f t="shared" si="128"/>
        <v>0</v>
      </c>
      <c r="K189" s="116">
        <f t="shared" si="100"/>
        <v>0</v>
      </c>
      <c r="L189" s="116">
        <f t="shared" si="101"/>
        <v>0</v>
      </c>
      <c r="M189" s="112" t="s">
        <v>15</v>
      </c>
      <c r="N189" s="256">
        <f t="shared" si="102"/>
        <v>-590.61</v>
      </c>
      <c r="S189" s="117">
        <v>0</v>
      </c>
      <c r="U189" s="215">
        <f t="shared" si="121"/>
        <v>0</v>
      </c>
      <c r="W189" s="117">
        <v>0</v>
      </c>
      <c r="X189" s="215">
        <f t="shared" si="122"/>
        <v>0</v>
      </c>
    </row>
    <row r="190" spans="1:24" s="117" customFormat="1" ht="20.25" hidden="1" customHeight="1">
      <c r="A190" s="112" t="s">
        <v>1445</v>
      </c>
      <c r="B190" s="118" t="s">
        <v>544</v>
      </c>
      <c r="C190" s="346"/>
      <c r="D190" s="355"/>
      <c r="E190" s="345"/>
      <c r="F190" s="18">
        <f t="shared" ref="F190:F199" si="129">ROUND(C190*E190,0)</f>
        <v>0</v>
      </c>
      <c r="G190" s="119">
        <f>ESTIMATE!I1440</f>
        <v>0</v>
      </c>
      <c r="H190" s="114" t="s">
        <v>274</v>
      </c>
      <c r="I190" s="138">
        <f>ESTIMATE!K1440</f>
        <v>358.31</v>
      </c>
      <c r="J190" s="18">
        <f t="shared" si="113"/>
        <v>0</v>
      </c>
      <c r="K190" s="116">
        <f t="shared" si="100"/>
        <v>0</v>
      </c>
      <c r="L190" s="116">
        <f t="shared" si="101"/>
        <v>0</v>
      </c>
      <c r="M190" s="112" t="s">
        <v>15</v>
      </c>
      <c r="N190" s="256">
        <f t="shared" si="102"/>
        <v>-358.31</v>
      </c>
      <c r="S190" s="117">
        <v>5850</v>
      </c>
      <c r="U190" s="215">
        <f t="shared" si="121"/>
        <v>-5850</v>
      </c>
      <c r="W190" s="117">
        <v>18</v>
      </c>
      <c r="X190" s="215">
        <f t="shared" si="122"/>
        <v>-18</v>
      </c>
    </row>
    <row r="191" spans="1:24" s="117" customFormat="1" ht="20.25" hidden="1" customHeight="1">
      <c r="A191" s="112" t="s">
        <v>1446</v>
      </c>
      <c r="B191" s="118" t="s">
        <v>624</v>
      </c>
      <c r="C191" s="346"/>
      <c r="D191" s="355"/>
      <c r="E191" s="345"/>
      <c r="F191" s="18">
        <f t="shared" si="129"/>
        <v>0</v>
      </c>
      <c r="G191" s="119">
        <f>ESTIMATE!I1443</f>
        <v>0</v>
      </c>
      <c r="H191" s="114" t="s">
        <v>114</v>
      </c>
      <c r="I191" s="138">
        <f>ESTIMATE!K1443</f>
        <v>22228</v>
      </c>
      <c r="J191" s="18">
        <f t="shared" si="113"/>
        <v>0</v>
      </c>
      <c r="K191" s="116">
        <f t="shared" si="100"/>
        <v>0</v>
      </c>
      <c r="L191" s="116">
        <f t="shared" si="101"/>
        <v>0</v>
      </c>
      <c r="M191" s="112" t="s">
        <v>15</v>
      </c>
      <c r="N191" s="256">
        <f t="shared" si="102"/>
        <v>-22228</v>
      </c>
      <c r="S191" s="117">
        <v>24300</v>
      </c>
      <c r="U191" s="215">
        <f t="shared" si="121"/>
        <v>-24300</v>
      </c>
      <c r="W191" s="117">
        <v>1</v>
      </c>
      <c r="X191" s="215">
        <f t="shared" si="122"/>
        <v>-1</v>
      </c>
    </row>
    <row r="192" spans="1:24" s="117" customFormat="1" ht="20.25" hidden="1" customHeight="1">
      <c r="A192" s="112" t="s">
        <v>1447</v>
      </c>
      <c r="B192" s="118" t="s">
        <v>625</v>
      </c>
      <c r="C192" s="346"/>
      <c r="D192" s="355"/>
      <c r="E192" s="345"/>
      <c r="F192" s="18">
        <f t="shared" si="129"/>
        <v>0</v>
      </c>
      <c r="G192" s="119">
        <f>ESTIMATE!I1446</f>
        <v>0</v>
      </c>
      <c r="H192" s="114" t="s">
        <v>274</v>
      </c>
      <c r="I192" s="138">
        <f>ESTIMATE!K1446</f>
        <v>80</v>
      </c>
      <c r="J192" s="18">
        <f t="shared" si="113"/>
        <v>0</v>
      </c>
      <c r="K192" s="116">
        <f t="shared" si="100"/>
        <v>0</v>
      </c>
      <c r="L192" s="116">
        <f t="shared" si="101"/>
        <v>0</v>
      </c>
      <c r="M192" s="112" t="s">
        <v>15</v>
      </c>
      <c r="N192" s="256">
        <f t="shared" si="102"/>
        <v>-80</v>
      </c>
      <c r="S192" s="117">
        <v>5120</v>
      </c>
      <c r="U192" s="215">
        <f t="shared" si="121"/>
        <v>-5120</v>
      </c>
      <c r="W192" s="117">
        <v>80</v>
      </c>
      <c r="X192" s="215">
        <f t="shared" si="122"/>
        <v>-80</v>
      </c>
    </row>
    <row r="193" spans="1:24" s="117" customFormat="1" ht="20.25" hidden="1" customHeight="1">
      <c r="A193" s="112" t="s">
        <v>1448</v>
      </c>
      <c r="B193" s="118" t="s">
        <v>282</v>
      </c>
      <c r="C193" s="346"/>
      <c r="D193" s="355"/>
      <c r="E193" s="345"/>
      <c r="F193" s="18">
        <f t="shared" si="129"/>
        <v>0</v>
      </c>
      <c r="G193" s="119">
        <f>ESTIMATE!I1449</f>
        <v>0</v>
      </c>
      <c r="H193" s="114" t="s">
        <v>114</v>
      </c>
      <c r="I193" s="138">
        <f>ESTIMATE!K1449</f>
        <v>330.75</v>
      </c>
      <c r="J193" s="18">
        <f t="shared" si="113"/>
        <v>0</v>
      </c>
      <c r="K193" s="116">
        <f t="shared" si="100"/>
        <v>0</v>
      </c>
      <c r="L193" s="116">
        <f t="shared" si="101"/>
        <v>0</v>
      </c>
      <c r="M193" s="112" t="s">
        <v>15</v>
      </c>
      <c r="N193" s="256">
        <f t="shared" si="102"/>
        <v>-330.75</v>
      </c>
      <c r="S193" s="117">
        <v>109</v>
      </c>
      <c r="U193" s="215">
        <f t="shared" si="121"/>
        <v>-109</v>
      </c>
      <c r="W193" s="117">
        <v>1</v>
      </c>
      <c r="X193" s="215">
        <f t="shared" si="122"/>
        <v>-1</v>
      </c>
    </row>
    <row r="194" spans="1:24" s="117" customFormat="1" ht="20.25" hidden="1" customHeight="1">
      <c r="A194" s="112" t="s">
        <v>1449</v>
      </c>
      <c r="B194" s="118" t="s">
        <v>283</v>
      </c>
      <c r="C194" s="346"/>
      <c r="D194" s="355"/>
      <c r="E194" s="345"/>
      <c r="F194" s="18">
        <f t="shared" si="129"/>
        <v>0</v>
      </c>
      <c r="G194" s="119">
        <f>ESTIMATE!I1452</f>
        <v>0</v>
      </c>
      <c r="H194" s="114" t="s">
        <v>114</v>
      </c>
      <c r="I194" s="138">
        <f>ESTIMATE!K1452</f>
        <v>400</v>
      </c>
      <c r="J194" s="18">
        <f t="shared" si="113"/>
        <v>0</v>
      </c>
      <c r="K194" s="116">
        <f t="shared" si="100"/>
        <v>0</v>
      </c>
      <c r="L194" s="116">
        <f t="shared" si="101"/>
        <v>0</v>
      </c>
      <c r="M194" s="112" t="s">
        <v>15</v>
      </c>
      <c r="N194" s="256">
        <f t="shared" si="102"/>
        <v>-400</v>
      </c>
      <c r="S194" s="117">
        <v>99</v>
      </c>
      <c r="U194" s="215">
        <f t="shared" si="121"/>
        <v>-99</v>
      </c>
      <c r="W194" s="117">
        <v>0.5</v>
      </c>
      <c r="X194" s="215">
        <f t="shared" si="122"/>
        <v>-0.5</v>
      </c>
    </row>
    <row r="195" spans="1:24" s="117" customFormat="1" ht="20.25" hidden="1" customHeight="1">
      <c r="A195" s="112" t="s">
        <v>1450</v>
      </c>
      <c r="B195" s="118" t="s">
        <v>284</v>
      </c>
      <c r="C195" s="346"/>
      <c r="D195" s="355"/>
      <c r="E195" s="345"/>
      <c r="F195" s="18">
        <f t="shared" si="129"/>
        <v>0</v>
      </c>
      <c r="G195" s="119">
        <f>ESTIMATE!I1455</f>
        <v>0</v>
      </c>
      <c r="H195" s="114" t="s">
        <v>114</v>
      </c>
      <c r="I195" s="138">
        <f>ESTIMATE!K1455</f>
        <v>78</v>
      </c>
      <c r="J195" s="18">
        <f t="shared" si="113"/>
        <v>0</v>
      </c>
      <c r="K195" s="116">
        <f t="shared" si="100"/>
        <v>0</v>
      </c>
      <c r="L195" s="116">
        <f t="shared" si="101"/>
        <v>0</v>
      </c>
      <c r="M195" s="112" t="s">
        <v>15</v>
      </c>
      <c r="N195" s="256">
        <f t="shared" si="102"/>
        <v>-78</v>
      </c>
      <c r="S195" s="117">
        <v>22</v>
      </c>
      <c r="U195" s="215">
        <f t="shared" si="121"/>
        <v>-22</v>
      </c>
      <c r="W195" s="117">
        <v>1</v>
      </c>
      <c r="X195" s="215">
        <f t="shared" si="122"/>
        <v>-1</v>
      </c>
    </row>
    <row r="196" spans="1:24" s="117" customFormat="1" ht="20.25" hidden="1" customHeight="1">
      <c r="A196" s="112" t="s">
        <v>931</v>
      </c>
      <c r="B196" s="118" t="s">
        <v>285</v>
      </c>
      <c r="C196" s="346"/>
      <c r="D196" s="355"/>
      <c r="E196" s="345"/>
      <c r="F196" s="18">
        <f t="shared" si="129"/>
        <v>0</v>
      </c>
      <c r="G196" s="119">
        <f>ESTIMATE!I1458</f>
        <v>0</v>
      </c>
      <c r="H196" s="114" t="s">
        <v>114</v>
      </c>
      <c r="I196" s="138">
        <f>ESTIMATE!K1458</f>
        <v>173</v>
      </c>
      <c r="J196" s="18">
        <f t="shared" si="113"/>
        <v>0</v>
      </c>
      <c r="K196" s="116">
        <f t="shared" si="100"/>
        <v>0</v>
      </c>
      <c r="L196" s="116">
        <f t="shared" si="101"/>
        <v>0</v>
      </c>
      <c r="M196" s="112" t="s">
        <v>15</v>
      </c>
      <c r="N196" s="256">
        <f t="shared" si="102"/>
        <v>-173</v>
      </c>
      <c r="S196" s="117">
        <v>145</v>
      </c>
      <c r="U196" s="215">
        <f t="shared" si="121"/>
        <v>-145</v>
      </c>
      <c r="W196" s="117">
        <v>1</v>
      </c>
      <c r="X196" s="215">
        <f t="shared" si="122"/>
        <v>-1</v>
      </c>
    </row>
    <row r="197" spans="1:24" s="117" customFormat="1" ht="20.25" hidden="1" customHeight="1">
      <c r="A197" s="112" t="s">
        <v>932</v>
      </c>
      <c r="B197" s="118" t="s">
        <v>626</v>
      </c>
      <c r="C197" s="346"/>
      <c r="D197" s="355"/>
      <c r="E197" s="345"/>
      <c r="F197" s="18">
        <f t="shared" si="129"/>
        <v>0</v>
      </c>
      <c r="G197" s="119">
        <f>ESTIMATE!I1461</f>
        <v>0</v>
      </c>
      <c r="H197" s="114" t="s">
        <v>274</v>
      </c>
      <c r="I197" s="138">
        <f>ESTIMATE!K1461</f>
        <v>109</v>
      </c>
      <c r="J197" s="18">
        <f t="shared" si="113"/>
        <v>0</v>
      </c>
      <c r="K197" s="116">
        <f t="shared" si="100"/>
        <v>0</v>
      </c>
      <c r="L197" s="116">
        <f t="shared" si="101"/>
        <v>0</v>
      </c>
      <c r="M197" s="112" t="s">
        <v>15</v>
      </c>
      <c r="N197" s="256">
        <f t="shared" si="102"/>
        <v>-109</v>
      </c>
      <c r="S197" s="117">
        <v>6400</v>
      </c>
      <c r="U197" s="215">
        <f t="shared" si="121"/>
        <v>-6400</v>
      </c>
      <c r="W197" s="117">
        <v>80</v>
      </c>
      <c r="X197" s="215">
        <f t="shared" si="122"/>
        <v>-80</v>
      </c>
    </row>
    <row r="198" spans="1:24" s="117" customFormat="1" ht="20.25" hidden="1" customHeight="1">
      <c r="A198" s="112" t="s">
        <v>933</v>
      </c>
      <c r="B198" s="118" t="s">
        <v>627</v>
      </c>
      <c r="C198" s="346"/>
      <c r="D198" s="355"/>
      <c r="E198" s="345"/>
      <c r="F198" s="18">
        <f t="shared" si="129"/>
        <v>0</v>
      </c>
      <c r="G198" s="119">
        <f>ESTIMATE!I1464</f>
        <v>0</v>
      </c>
      <c r="H198" s="114" t="s">
        <v>114</v>
      </c>
      <c r="I198" s="138">
        <f>ESTIMATE!K1464</f>
        <v>5990</v>
      </c>
      <c r="J198" s="18">
        <f t="shared" si="113"/>
        <v>0</v>
      </c>
      <c r="K198" s="116">
        <f t="shared" si="100"/>
        <v>0</v>
      </c>
      <c r="L198" s="116">
        <f t="shared" si="101"/>
        <v>0</v>
      </c>
      <c r="M198" s="112" t="s">
        <v>15</v>
      </c>
      <c r="N198" s="256">
        <f t="shared" si="102"/>
        <v>-5990</v>
      </c>
      <c r="S198" s="117">
        <v>4500</v>
      </c>
      <c r="U198" s="215">
        <f t="shared" si="121"/>
        <v>-4500</v>
      </c>
      <c r="W198" s="117">
        <v>1</v>
      </c>
      <c r="X198" s="215">
        <f t="shared" si="122"/>
        <v>-1</v>
      </c>
    </row>
    <row r="199" spans="1:24" s="117" customFormat="1" ht="20.25" hidden="1" customHeight="1">
      <c r="A199" s="112" t="s">
        <v>934</v>
      </c>
      <c r="B199" s="118" t="s">
        <v>1437</v>
      </c>
      <c r="C199" s="346"/>
      <c r="D199" s="355"/>
      <c r="E199" s="345"/>
      <c r="F199" s="18">
        <f t="shared" si="129"/>
        <v>0</v>
      </c>
      <c r="G199" s="119"/>
      <c r="H199" s="114"/>
      <c r="I199" s="138"/>
      <c r="J199" s="18"/>
      <c r="K199" s="116">
        <f t="shared" si="100"/>
        <v>0</v>
      </c>
      <c r="L199" s="116">
        <f t="shared" si="101"/>
        <v>0</v>
      </c>
      <c r="M199" s="112" t="s">
        <v>15</v>
      </c>
      <c r="N199" s="256">
        <f t="shared" si="102"/>
        <v>0</v>
      </c>
      <c r="U199" s="215"/>
      <c r="X199" s="215"/>
    </row>
    <row r="200" spans="1:24" s="117" customFormat="1" ht="20.25" hidden="1" customHeight="1">
      <c r="A200" s="112" t="s">
        <v>504</v>
      </c>
      <c r="B200" s="113" t="s">
        <v>416</v>
      </c>
      <c r="C200" s="214"/>
      <c r="D200" s="263"/>
      <c r="E200" s="15"/>
      <c r="F200" s="328"/>
      <c r="G200" s="119"/>
      <c r="H200" s="114"/>
      <c r="I200" s="138"/>
      <c r="J200" s="18"/>
      <c r="K200" s="116">
        <f t="shared" si="100"/>
        <v>0</v>
      </c>
      <c r="L200" s="116">
        <f t="shared" si="101"/>
        <v>0</v>
      </c>
      <c r="M200" s="112" t="s">
        <v>15</v>
      </c>
      <c r="N200" s="256">
        <f t="shared" si="102"/>
        <v>0</v>
      </c>
      <c r="U200" s="215">
        <f t="shared" si="121"/>
        <v>0</v>
      </c>
      <c r="X200" s="215">
        <f t="shared" si="122"/>
        <v>0</v>
      </c>
    </row>
    <row r="201" spans="1:24" s="117" customFormat="1" ht="20.25" hidden="1" customHeight="1">
      <c r="A201" s="112" t="s">
        <v>505</v>
      </c>
      <c r="B201" s="118" t="s">
        <v>545</v>
      </c>
      <c r="C201" s="414"/>
      <c r="D201" s="415" t="s">
        <v>274</v>
      </c>
      <c r="E201" s="329">
        <v>65.02</v>
      </c>
      <c r="F201" s="18">
        <f t="shared" ref="F201:F203" si="130">ROUND(C201*E201,0)</f>
        <v>0</v>
      </c>
      <c r="G201" s="119">
        <f>ESTIMATE!I1469</f>
        <v>50</v>
      </c>
      <c r="H201" s="114" t="s">
        <v>274</v>
      </c>
      <c r="I201" s="138">
        <f>ESTIMATE!K1469</f>
        <v>93.96</v>
      </c>
      <c r="J201" s="18">
        <f t="shared" ref="J201" si="131">ROUND(G201*I201,0)</f>
        <v>4698</v>
      </c>
      <c r="K201" s="116">
        <f t="shared" ref="K201:K255" si="132">IF(J201&gt;F201,J201-F201,0)</f>
        <v>4698</v>
      </c>
      <c r="L201" s="116">
        <f t="shared" ref="L201:L255" si="133">IF(J201&lt;F201,F201-J201,0)</f>
        <v>0</v>
      </c>
      <c r="M201" s="112" t="s">
        <v>15</v>
      </c>
      <c r="N201" s="256">
        <f t="shared" ref="N201:N255" si="134">E201-I201</f>
        <v>-28.939999999999998</v>
      </c>
      <c r="S201" s="117">
        <v>8655</v>
      </c>
      <c r="U201" s="215">
        <f t="shared" si="121"/>
        <v>-3957</v>
      </c>
      <c r="W201" s="117">
        <v>150</v>
      </c>
      <c r="X201" s="215">
        <f t="shared" si="122"/>
        <v>-100</v>
      </c>
    </row>
    <row r="202" spans="1:24" s="117" customFormat="1" ht="20.25" hidden="1" customHeight="1">
      <c r="A202" s="112" t="s">
        <v>506</v>
      </c>
      <c r="B202" s="118" t="s">
        <v>545</v>
      </c>
      <c r="C202" s="414"/>
      <c r="D202" s="415" t="s">
        <v>274</v>
      </c>
      <c r="E202" s="329">
        <v>79.22</v>
      </c>
      <c r="F202" s="18">
        <f t="shared" si="130"/>
        <v>0</v>
      </c>
      <c r="G202" s="119">
        <f>ESTIMATE!I1473</f>
        <v>100</v>
      </c>
      <c r="H202" s="114" t="s">
        <v>274</v>
      </c>
      <c r="I202" s="138">
        <f>ESTIMATE!K1473</f>
        <v>113.94</v>
      </c>
      <c r="J202" s="18">
        <f t="shared" si="113"/>
        <v>11394</v>
      </c>
      <c r="K202" s="116">
        <f t="shared" si="132"/>
        <v>11394</v>
      </c>
      <c r="L202" s="116">
        <f t="shared" si="133"/>
        <v>0</v>
      </c>
      <c r="M202" s="112" t="s">
        <v>15</v>
      </c>
      <c r="N202" s="256">
        <f t="shared" si="134"/>
        <v>-34.72</v>
      </c>
      <c r="S202" s="117">
        <v>11552</v>
      </c>
      <c r="U202" s="215">
        <f t="shared" si="121"/>
        <v>-158</v>
      </c>
      <c r="W202" s="117">
        <v>160</v>
      </c>
      <c r="X202" s="215">
        <f t="shared" si="122"/>
        <v>-60</v>
      </c>
    </row>
    <row r="203" spans="1:24" s="117" customFormat="1" ht="20.25" hidden="1" customHeight="1">
      <c r="A203" s="112" t="s">
        <v>935</v>
      </c>
      <c r="B203" s="118" t="s">
        <v>562</v>
      </c>
      <c r="C203" s="251"/>
      <c r="D203" s="360"/>
      <c r="E203" s="12"/>
      <c r="F203" s="18">
        <f t="shared" si="130"/>
        <v>0</v>
      </c>
      <c r="G203" s="119">
        <f>ESTIMATE!I1481</f>
        <v>0</v>
      </c>
      <c r="H203" s="114" t="s">
        <v>274</v>
      </c>
      <c r="I203" s="138">
        <f>ESTIMATE!K1481</f>
        <v>78</v>
      </c>
      <c r="J203" s="18">
        <f t="shared" si="113"/>
        <v>0</v>
      </c>
      <c r="K203" s="116">
        <f t="shared" si="132"/>
        <v>0</v>
      </c>
      <c r="L203" s="116">
        <f t="shared" si="133"/>
        <v>0</v>
      </c>
      <c r="M203" s="112" t="s">
        <v>15</v>
      </c>
      <c r="N203" s="256">
        <f t="shared" si="134"/>
        <v>-78</v>
      </c>
      <c r="S203" s="117">
        <v>0</v>
      </c>
      <c r="U203" s="215">
        <f t="shared" si="121"/>
        <v>0</v>
      </c>
      <c r="W203" s="117">
        <v>0</v>
      </c>
      <c r="X203" s="215">
        <f t="shared" si="122"/>
        <v>0</v>
      </c>
    </row>
    <row r="204" spans="1:24" s="117" customFormat="1" ht="20.25" hidden="1" customHeight="1">
      <c r="A204" s="112" t="s">
        <v>936</v>
      </c>
      <c r="B204" s="118" t="s">
        <v>546</v>
      </c>
      <c r="C204" s="214"/>
      <c r="D204" s="263"/>
      <c r="E204" s="15"/>
      <c r="F204" s="18"/>
      <c r="G204" s="119">
        <f>ESTIMATE!I1485</f>
        <v>5</v>
      </c>
      <c r="H204" s="114" t="s">
        <v>114</v>
      </c>
      <c r="I204" s="138">
        <f>ESTIMATE!K1485</f>
        <v>278.36</v>
      </c>
      <c r="J204" s="18">
        <f t="shared" si="113"/>
        <v>1392</v>
      </c>
      <c r="K204" s="116">
        <f t="shared" si="132"/>
        <v>1392</v>
      </c>
      <c r="L204" s="116">
        <f t="shared" si="133"/>
        <v>0</v>
      </c>
      <c r="M204" s="112" t="s">
        <v>15</v>
      </c>
      <c r="N204" s="256">
        <f t="shared" si="134"/>
        <v>-278.36</v>
      </c>
      <c r="S204" s="117">
        <v>2050</v>
      </c>
      <c r="U204" s="215">
        <f t="shared" si="121"/>
        <v>-658</v>
      </c>
      <c r="W204" s="117">
        <v>10</v>
      </c>
      <c r="X204" s="215">
        <f t="shared" si="122"/>
        <v>-5</v>
      </c>
    </row>
    <row r="205" spans="1:24" s="117" customFormat="1" ht="20.25" customHeight="1">
      <c r="A205" s="112" t="s">
        <v>476</v>
      </c>
      <c r="B205" s="118" t="s">
        <v>628</v>
      </c>
      <c r="C205" s="214">
        <v>4</v>
      </c>
      <c r="D205" s="114" t="s">
        <v>114</v>
      </c>
      <c r="E205" s="15">
        <v>203</v>
      </c>
      <c r="F205" s="18">
        <f t="shared" ref="F205" si="135">ROUND(C205*E205,0)</f>
        <v>812</v>
      </c>
      <c r="G205" s="119">
        <f>ESTIMATE!I1489</f>
        <v>0</v>
      </c>
      <c r="H205" s="114" t="s">
        <v>114</v>
      </c>
      <c r="I205" s="138">
        <f>ESTIMATE!K1489</f>
        <v>230.64</v>
      </c>
      <c r="J205" s="18">
        <f t="shared" ref="J205" si="136">ROUND(G205*I205,0)</f>
        <v>0</v>
      </c>
      <c r="K205" s="116">
        <f t="shared" si="132"/>
        <v>0</v>
      </c>
      <c r="L205" s="116">
        <f t="shared" si="133"/>
        <v>812</v>
      </c>
      <c r="M205" s="112" t="s">
        <v>15</v>
      </c>
      <c r="N205" s="256">
        <f t="shared" si="134"/>
        <v>-27.639999999999986</v>
      </c>
      <c r="S205" s="117">
        <v>510</v>
      </c>
      <c r="U205" s="215">
        <f t="shared" si="121"/>
        <v>-510</v>
      </c>
      <c r="W205" s="117">
        <v>3</v>
      </c>
      <c r="X205" s="215">
        <f t="shared" si="122"/>
        <v>-3</v>
      </c>
    </row>
    <row r="206" spans="1:24" s="117" customFormat="1" ht="20.25" hidden="1" customHeight="1">
      <c r="A206" s="112" t="s">
        <v>1054</v>
      </c>
      <c r="B206" s="118" t="s">
        <v>707</v>
      </c>
      <c r="C206" s="214"/>
      <c r="D206" s="263"/>
      <c r="E206" s="15"/>
      <c r="F206" s="18"/>
      <c r="G206" s="119">
        <f>ESTIMATE!I1493</f>
        <v>0</v>
      </c>
      <c r="H206" s="114" t="s">
        <v>114</v>
      </c>
      <c r="I206" s="138">
        <f>ESTIMATE!K1493</f>
        <v>155</v>
      </c>
      <c r="J206" s="18">
        <f t="shared" ref="J206" si="137">ROUND(G206*I206,0)</f>
        <v>0</v>
      </c>
      <c r="K206" s="116">
        <f t="shared" si="132"/>
        <v>0</v>
      </c>
      <c r="L206" s="116">
        <f t="shared" si="133"/>
        <v>0</v>
      </c>
      <c r="M206" s="112" t="s">
        <v>15</v>
      </c>
      <c r="N206" s="256">
        <f t="shared" si="134"/>
        <v>-155</v>
      </c>
      <c r="S206" s="117">
        <v>0</v>
      </c>
      <c r="U206" s="215">
        <f t="shared" si="121"/>
        <v>0</v>
      </c>
      <c r="W206" s="117">
        <v>0</v>
      </c>
      <c r="X206" s="215">
        <f t="shared" si="122"/>
        <v>0</v>
      </c>
    </row>
    <row r="207" spans="1:24" s="117" customFormat="1" ht="20.25" hidden="1" customHeight="1">
      <c r="A207" s="112" t="s">
        <v>508</v>
      </c>
      <c r="B207" s="118" t="s">
        <v>742</v>
      </c>
      <c r="C207" s="214"/>
      <c r="D207" s="263"/>
      <c r="E207" s="15"/>
      <c r="F207" s="18"/>
      <c r="G207" s="119">
        <f>ESTIMATE!I1508</f>
        <v>0</v>
      </c>
      <c r="H207" s="114" t="s">
        <v>114</v>
      </c>
      <c r="I207" s="138">
        <f>ESTIMATE!K1508</f>
        <v>114</v>
      </c>
      <c r="J207" s="18">
        <f t="shared" ref="J207" si="138">ROUND(G207*I207,0)</f>
        <v>0</v>
      </c>
      <c r="K207" s="116">
        <f t="shared" si="132"/>
        <v>0</v>
      </c>
      <c r="L207" s="116">
        <f t="shared" si="133"/>
        <v>0</v>
      </c>
      <c r="M207" s="112" t="s">
        <v>15</v>
      </c>
      <c r="N207" s="256">
        <f t="shared" si="134"/>
        <v>-114</v>
      </c>
      <c r="S207" s="117">
        <v>0</v>
      </c>
      <c r="U207" s="215">
        <f t="shared" si="121"/>
        <v>0</v>
      </c>
      <c r="W207" s="117">
        <v>0</v>
      </c>
      <c r="X207" s="215">
        <f t="shared" si="122"/>
        <v>0</v>
      </c>
    </row>
    <row r="208" spans="1:24" s="117" customFormat="1" ht="20.25" hidden="1" customHeight="1">
      <c r="A208" s="112" t="s">
        <v>504</v>
      </c>
      <c r="B208" s="118" t="s">
        <v>629</v>
      </c>
      <c r="C208" s="214"/>
      <c r="D208" s="263"/>
      <c r="E208" s="15"/>
      <c r="F208" s="18"/>
      <c r="G208" s="119">
        <f>ESTIMATE!I1504</f>
        <v>0</v>
      </c>
      <c r="H208" s="114" t="s">
        <v>114</v>
      </c>
      <c r="I208" s="138">
        <f>ESTIMATE!K1504</f>
        <v>400</v>
      </c>
      <c r="J208" s="18">
        <f t="shared" ref="J208" si="139">ROUND(G208*I208,0)</f>
        <v>0</v>
      </c>
      <c r="K208" s="116">
        <f t="shared" si="132"/>
        <v>0</v>
      </c>
      <c r="L208" s="116">
        <f t="shared" si="133"/>
        <v>0</v>
      </c>
      <c r="M208" s="112" t="s">
        <v>15</v>
      </c>
      <c r="N208" s="256">
        <f t="shared" si="134"/>
        <v>-400</v>
      </c>
      <c r="S208" s="117">
        <v>0</v>
      </c>
      <c r="U208" s="215">
        <f t="shared" si="121"/>
        <v>0</v>
      </c>
      <c r="W208" s="117">
        <v>0</v>
      </c>
      <c r="X208" s="215">
        <f t="shared" si="122"/>
        <v>0</v>
      </c>
    </row>
    <row r="209" spans="1:24" s="117" customFormat="1" ht="20.25" hidden="1" customHeight="1">
      <c r="A209" s="112" t="s">
        <v>494</v>
      </c>
      <c r="B209" s="118" t="s">
        <v>1282</v>
      </c>
      <c r="C209" s="214"/>
      <c r="D209" s="263"/>
      <c r="E209" s="15"/>
      <c r="F209" s="18"/>
      <c r="G209" s="119">
        <f>ESTIMATE!I1500</f>
        <v>0</v>
      </c>
      <c r="H209" s="114" t="s">
        <v>114</v>
      </c>
      <c r="I209" s="138">
        <f>ESTIMATE!K1500</f>
        <v>359</v>
      </c>
      <c r="J209" s="18">
        <f t="shared" ref="J209" si="140">ROUND(G209*I209,0)</f>
        <v>0</v>
      </c>
      <c r="K209" s="116">
        <f t="shared" si="132"/>
        <v>0</v>
      </c>
      <c r="L209" s="116">
        <f t="shared" si="133"/>
        <v>0</v>
      </c>
      <c r="M209" s="112" t="s">
        <v>15</v>
      </c>
      <c r="N209" s="256">
        <f t="shared" si="134"/>
        <v>-359</v>
      </c>
      <c r="S209" s="117">
        <v>0</v>
      </c>
      <c r="U209" s="215">
        <f t="shared" ref="U209" si="141">J209-S209</f>
        <v>0</v>
      </c>
      <c r="W209" s="117">
        <v>0</v>
      </c>
      <c r="X209" s="215">
        <f t="shared" ref="X209" si="142">G209-W209</f>
        <v>0</v>
      </c>
    </row>
    <row r="210" spans="1:24" s="117" customFormat="1" ht="20.25" hidden="1" customHeight="1">
      <c r="A210" s="112" t="s">
        <v>633</v>
      </c>
      <c r="B210" s="118" t="s">
        <v>547</v>
      </c>
      <c r="C210" s="214"/>
      <c r="D210" s="263"/>
      <c r="E210" s="15"/>
      <c r="F210" s="18"/>
      <c r="G210" s="119">
        <f>ESTIMATE!I1511</f>
        <v>0</v>
      </c>
      <c r="H210" s="114" t="s">
        <v>114</v>
      </c>
      <c r="I210" s="138">
        <f>ESTIMATE!K1511</f>
        <v>68</v>
      </c>
      <c r="J210" s="18">
        <f t="shared" si="113"/>
        <v>0</v>
      </c>
      <c r="K210" s="116">
        <f t="shared" si="132"/>
        <v>0</v>
      </c>
      <c r="L210" s="116">
        <f t="shared" si="133"/>
        <v>0</v>
      </c>
      <c r="M210" s="112" t="s">
        <v>15</v>
      </c>
      <c r="N210" s="256">
        <f t="shared" si="134"/>
        <v>-68</v>
      </c>
      <c r="S210" s="117">
        <v>0</v>
      </c>
      <c r="U210" s="215">
        <f t="shared" si="121"/>
        <v>0</v>
      </c>
      <c r="W210" s="117">
        <v>0</v>
      </c>
      <c r="X210" s="215">
        <f t="shared" si="122"/>
        <v>0</v>
      </c>
    </row>
    <row r="211" spans="1:24" s="117" customFormat="1" ht="20.25" customHeight="1">
      <c r="A211" s="112" t="s">
        <v>477</v>
      </c>
      <c r="B211" s="118" t="s">
        <v>548</v>
      </c>
      <c r="C211" s="251">
        <v>7</v>
      </c>
      <c r="D211" s="360" t="s">
        <v>1907</v>
      </c>
      <c r="E211" s="12">
        <v>482.67</v>
      </c>
      <c r="F211" s="18">
        <f t="shared" ref="F211" si="143">ROUND(C211*E211,0)</f>
        <v>3379</v>
      </c>
      <c r="G211" s="119">
        <f>ESTIMATE!I1516</f>
        <v>14</v>
      </c>
      <c r="H211" s="114" t="s">
        <v>558</v>
      </c>
      <c r="I211" s="138">
        <f>ESTIMATE!K1516</f>
        <v>603.67999999999995</v>
      </c>
      <c r="J211" s="18">
        <f t="shared" si="113"/>
        <v>8452</v>
      </c>
      <c r="K211" s="116">
        <f t="shared" si="132"/>
        <v>5073</v>
      </c>
      <c r="L211" s="116">
        <f t="shared" si="133"/>
        <v>0</v>
      </c>
      <c r="M211" s="112" t="s">
        <v>15</v>
      </c>
      <c r="N211" s="256">
        <f t="shared" si="134"/>
        <v>-121.00999999999993</v>
      </c>
      <c r="S211" s="117">
        <v>29164</v>
      </c>
      <c r="U211" s="215">
        <f t="shared" si="121"/>
        <v>-20712</v>
      </c>
      <c r="W211" s="117">
        <v>65</v>
      </c>
      <c r="X211" s="215">
        <f t="shared" si="122"/>
        <v>-51</v>
      </c>
    </row>
    <row r="212" spans="1:24" s="117" customFormat="1" ht="20.25" customHeight="1">
      <c r="A212" s="112" t="s">
        <v>478</v>
      </c>
      <c r="B212" s="118" t="s">
        <v>548</v>
      </c>
      <c r="C212" s="251">
        <v>4</v>
      </c>
      <c r="D212" s="360" t="s">
        <v>1907</v>
      </c>
      <c r="E212" s="12">
        <v>504.67</v>
      </c>
      <c r="F212" s="18">
        <f t="shared" ref="F212:F218" si="144">ROUND(C212*E212,0)</f>
        <v>2019</v>
      </c>
      <c r="G212" s="119">
        <f>ESTIMATE!I1520</f>
        <v>6</v>
      </c>
      <c r="H212" s="114" t="s">
        <v>558</v>
      </c>
      <c r="I212" s="138">
        <f>ESTIMATE!K1520</f>
        <v>628.66999999999996</v>
      </c>
      <c r="J212" s="18">
        <f t="shared" si="113"/>
        <v>3772</v>
      </c>
      <c r="K212" s="116">
        <f t="shared" si="132"/>
        <v>1753</v>
      </c>
      <c r="L212" s="116">
        <f t="shared" si="133"/>
        <v>0</v>
      </c>
      <c r="M212" s="112" t="s">
        <v>15</v>
      </c>
      <c r="N212" s="256">
        <f t="shared" si="134"/>
        <v>-123.99999999999994</v>
      </c>
      <c r="S212" s="117">
        <v>0</v>
      </c>
      <c r="U212" s="215">
        <f t="shared" si="121"/>
        <v>3772</v>
      </c>
      <c r="W212" s="117">
        <v>0</v>
      </c>
      <c r="X212" s="215">
        <f t="shared" si="122"/>
        <v>6</v>
      </c>
    </row>
    <row r="213" spans="1:24" s="117" customFormat="1" ht="20.25" hidden="1" customHeight="1">
      <c r="A213" s="112" t="s">
        <v>938</v>
      </c>
      <c r="B213" s="118" t="s">
        <v>1426</v>
      </c>
      <c r="C213" s="251"/>
      <c r="D213" s="360"/>
      <c r="E213" s="12"/>
      <c r="F213" s="18">
        <f t="shared" si="144"/>
        <v>0</v>
      </c>
      <c r="G213" s="119">
        <f>ESTIMATE!I1523</f>
        <v>0</v>
      </c>
      <c r="H213" s="114" t="s">
        <v>274</v>
      </c>
      <c r="I213" s="138">
        <f>ESTIMATE!K1523</f>
        <v>0</v>
      </c>
      <c r="J213" s="18">
        <f t="shared" ref="J213" si="145">ROUND(G213*I213,0)</f>
        <v>0</v>
      </c>
      <c r="K213" s="116">
        <f t="shared" si="132"/>
        <v>0</v>
      </c>
      <c r="L213" s="116">
        <f t="shared" si="133"/>
        <v>0</v>
      </c>
      <c r="M213" s="112" t="s">
        <v>15</v>
      </c>
      <c r="N213" s="256">
        <f t="shared" si="134"/>
        <v>0</v>
      </c>
      <c r="S213" s="117">
        <v>18954</v>
      </c>
      <c r="U213" s="215">
        <f t="shared" ref="U213" si="146">J213-S213</f>
        <v>-18954</v>
      </c>
      <c r="W213" s="117">
        <v>291.89999999999998</v>
      </c>
      <c r="X213" s="215">
        <f t="shared" ref="X213" si="147">G213-W213</f>
        <v>-291.89999999999998</v>
      </c>
    </row>
    <row r="214" spans="1:24" s="117" customFormat="1" ht="20.25" customHeight="1">
      <c r="A214" s="112" t="s">
        <v>479</v>
      </c>
      <c r="B214" s="118" t="s">
        <v>549</v>
      </c>
      <c r="C214" s="251">
        <v>40</v>
      </c>
      <c r="D214" s="360" t="s">
        <v>274</v>
      </c>
      <c r="E214" s="12">
        <v>83.37</v>
      </c>
      <c r="F214" s="18">
        <f t="shared" si="144"/>
        <v>3335</v>
      </c>
      <c r="G214" s="119">
        <f>ESTIMATE!I1524</f>
        <v>180</v>
      </c>
      <c r="H214" s="114" t="s">
        <v>274</v>
      </c>
      <c r="I214" s="138">
        <f>ESTIMATE!K1524</f>
        <v>101.1</v>
      </c>
      <c r="J214" s="18">
        <f t="shared" si="113"/>
        <v>18198</v>
      </c>
      <c r="K214" s="116">
        <f t="shared" si="132"/>
        <v>14863</v>
      </c>
      <c r="L214" s="116">
        <f t="shared" si="133"/>
        <v>0</v>
      </c>
      <c r="M214" s="112" t="s">
        <v>15</v>
      </c>
      <c r="N214" s="256">
        <f t="shared" si="134"/>
        <v>-17.72999999999999</v>
      </c>
      <c r="S214" s="117">
        <v>18954</v>
      </c>
      <c r="U214" s="215">
        <f t="shared" si="121"/>
        <v>-756</v>
      </c>
      <c r="W214" s="117">
        <v>291.89999999999998</v>
      </c>
      <c r="X214" s="215">
        <f t="shared" si="122"/>
        <v>-111.89999999999998</v>
      </c>
    </row>
    <row r="215" spans="1:24" s="117" customFormat="1" ht="20.25" customHeight="1">
      <c r="A215" s="112" t="s">
        <v>480</v>
      </c>
      <c r="B215" s="118" t="s">
        <v>550</v>
      </c>
      <c r="C215" s="251">
        <v>20</v>
      </c>
      <c r="D215" s="360" t="s">
        <v>274</v>
      </c>
      <c r="E215" s="12">
        <v>126.7</v>
      </c>
      <c r="F215" s="18">
        <f t="shared" si="144"/>
        <v>2534</v>
      </c>
      <c r="G215" s="119">
        <f>ESTIMATE!I1528</f>
        <v>10</v>
      </c>
      <c r="H215" s="114" t="s">
        <v>274</v>
      </c>
      <c r="I215" s="138">
        <f>ESTIMATE!K1528</f>
        <v>153.57339999999999</v>
      </c>
      <c r="J215" s="18">
        <f t="shared" si="113"/>
        <v>1536</v>
      </c>
      <c r="K215" s="116">
        <f t="shared" si="132"/>
        <v>0</v>
      </c>
      <c r="L215" s="116">
        <f t="shared" si="133"/>
        <v>998</v>
      </c>
      <c r="M215" s="112" t="s">
        <v>15</v>
      </c>
      <c r="N215" s="256">
        <f t="shared" si="134"/>
        <v>-26.87339999999999</v>
      </c>
      <c r="S215" s="117">
        <v>3349</v>
      </c>
      <c r="U215" s="215">
        <f t="shared" si="121"/>
        <v>-1813</v>
      </c>
      <c r="W215" s="117">
        <v>33.950000000000003</v>
      </c>
      <c r="X215" s="215">
        <f t="shared" si="122"/>
        <v>-23.950000000000003</v>
      </c>
    </row>
    <row r="216" spans="1:24" s="117" customFormat="1" ht="20.25" hidden="1" customHeight="1">
      <c r="A216" s="112" t="s">
        <v>939</v>
      </c>
      <c r="B216" s="118" t="s">
        <v>791</v>
      </c>
      <c r="C216" s="251"/>
      <c r="D216" s="360"/>
      <c r="E216" s="12"/>
      <c r="F216" s="18">
        <f t="shared" si="144"/>
        <v>0</v>
      </c>
      <c r="G216" s="119">
        <f>ESTIMATE!I1531</f>
        <v>20</v>
      </c>
      <c r="H216" s="114" t="s">
        <v>274</v>
      </c>
      <c r="I216" s="138">
        <f>ESTIMATE!K1531</f>
        <v>78.5398</v>
      </c>
      <c r="J216" s="18">
        <f t="shared" si="113"/>
        <v>1571</v>
      </c>
      <c r="K216" s="116">
        <f t="shared" si="132"/>
        <v>1571</v>
      </c>
      <c r="L216" s="116">
        <f t="shared" si="133"/>
        <v>0</v>
      </c>
      <c r="M216" s="112" t="s">
        <v>15</v>
      </c>
      <c r="N216" s="256">
        <f t="shared" si="134"/>
        <v>-78.5398</v>
      </c>
      <c r="S216" s="117">
        <v>767</v>
      </c>
      <c r="U216" s="215">
        <f t="shared" si="121"/>
        <v>804</v>
      </c>
      <c r="W216" s="117">
        <v>15</v>
      </c>
      <c r="X216" s="215">
        <f t="shared" si="122"/>
        <v>5</v>
      </c>
    </row>
    <row r="217" spans="1:24" s="117" customFormat="1" ht="20.25" hidden="1" customHeight="1">
      <c r="A217" s="112" t="s">
        <v>1057</v>
      </c>
      <c r="B217" s="118" t="s">
        <v>429</v>
      </c>
      <c r="C217" s="214"/>
      <c r="D217" s="263"/>
      <c r="E217" s="15"/>
      <c r="F217" s="18"/>
      <c r="G217" s="119">
        <f>ESTIMATE!I1535</f>
        <v>5</v>
      </c>
      <c r="H217" s="114" t="s">
        <v>114</v>
      </c>
      <c r="I217" s="138">
        <f>ESTIMATE!K1535</f>
        <v>272.68</v>
      </c>
      <c r="J217" s="18">
        <f t="shared" si="113"/>
        <v>1363</v>
      </c>
      <c r="K217" s="116">
        <f t="shared" si="132"/>
        <v>1363</v>
      </c>
      <c r="L217" s="116">
        <f t="shared" si="133"/>
        <v>0</v>
      </c>
      <c r="M217" s="112" t="s">
        <v>15</v>
      </c>
      <c r="N217" s="256">
        <f t="shared" si="134"/>
        <v>-272.68</v>
      </c>
      <c r="S217" s="117">
        <v>0</v>
      </c>
      <c r="U217" s="215">
        <f t="shared" si="121"/>
        <v>1363</v>
      </c>
      <c r="W217" s="117">
        <v>0</v>
      </c>
      <c r="X217" s="215">
        <f t="shared" si="122"/>
        <v>5</v>
      </c>
    </row>
    <row r="218" spans="1:24" s="117" customFormat="1" ht="20.25" customHeight="1">
      <c r="A218" s="112" t="s">
        <v>481</v>
      </c>
      <c r="B218" s="118" t="s">
        <v>604</v>
      </c>
      <c r="C218" s="214">
        <v>4</v>
      </c>
      <c r="D218" s="263" t="s">
        <v>1908</v>
      </c>
      <c r="E218" s="15">
        <v>171</v>
      </c>
      <c r="F218" s="18">
        <f t="shared" si="144"/>
        <v>684</v>
      </c>
      <c r="G218" s="119">
        <f>ESTIMATE!I1539</f>
        <v>0</v>
      </c>
      <c r="H218" s="114" t="s">
        <v>114</v>
      </c>
      <c r="I218" s="138">
        <f>ESTIMATE!K1539</f>
        <v>223.82</v>
      </c>
      <c r="J218" s="18">
        <f t="shared" ref="J218" si="148">ROUND(G218*I218,0)</f>
        <v>0</v>
      </c>
      <c r="K218" s="116">
        <f t="shared" si="132"/>
        <v>0</v>
      </c>
      <c r="L218" s="116">
        <f t="shared" si="133"/>
        <v>684</v>
      </c>
      <c r="M218" s="112" t="s">
        <v>15</v>
      </c>
      <c r="N218" s="256">
        <f t="shared" si="134"/>
        <v>-52.819999999999993</v>
      </c>
      <c r="S218" s="117">
        <v>0</v>
      </c>
      <c r="U218" s="215">
        <f t="shared" si="121"/>
        <v>0</v>
      </c>
      <c r="W218" s="117">
        <v>0</v>
      </c>
      <c r="X218" s="215">
        <f t="shared" si="122"/>
        <v>0</v>
      </c>
    </row>
    <row r="219" spans="1:24" s="117" customFormat="1" ht="20.25" hidden="1" customHeight="1">
      <c r="A219" s="112" t="s">
        <v>942</v>
      </c>
      <c r="B219" s="118" t="s">
        <v>683</v>
      </c>
      <c r="C219" s="214"/>
      <c r="D219" s="263"/>
      <c r="E219" s="15"/>
      <c r="F219" s="18"/>
      <c r="G219" s="119">
        <f>ESTIMATE!I1543</f>
        <v>0</v>
      </c>
      <c r="H219" s="114" t="s">
        <v>114</v>
      </c>
      <c r="I219" s="138">
        <f>ESTIMATE!K1543</f>
        <v>152</v>
      </c>
      <c r="J219" s="18">
        <f t="shared" ref="J219" si="149">ROUND(G219*I219,0)</f>
        <v>0</v>
      </c>
      <c r="K219" s="116">
        <f t="shared" si="132"/>
        <v>0</v>
      </c>
      <c r="L219" s="116">
        <f t="shared" si="133"/>
        <v>0</v>
      </c>
      <c r="M219" s="112" t="s">
        <v>15</v>
      </c>
      <c r="N219" s="256">
        <f t="shared" si="134"/>
        <v>-152</v>
      </c>
      <c r="S219" s="117">
        <v>0</v>
      </c>
      <c r="U219" s="215">
        <f t="shared" si="121"/>
        <v>0</v>
      </c>
      <c r="W219" s="117">
        <v>0</v>
      </c>
      <c r="X219" s="215">
        <f t="shared" si="122"/>
        <v>0</v>
      </c>
    </row>
    <row r="220" spans="1:24" s="117" customFormat="1" ht="20.25" hidden="1" customHeight="1">
      <c r="A220" s="112" t="s">
        <v>515</v>
      </c>
      <c r="B220" s="118" t="s">
        <v>738</v>
      </c>
      <c r="C220" s="214"/>
      <c r="D220" s="263"/>
      <c r="E220" s="15"/>
      <c r="F220" s="18"/>
      <c r="G220" s="119">
        <f>ESTIMATE!I1551</f>
        <v>0</v>
      </c>
      <c r="H220" s="114" t="s">
        <v>114</v>
      </c>
      <c r="I220" s="138">
        <f>ESTIMATE!K1551</f>
        <v>101</v>
      </c>
      <c r="J220" s="18">
        <f t="shared" ref="J220" si="150">ROUND(G220*I220,0)</f>
        <v>0</v>
      </c>
      <c r="K220" s="116">
        <f t="shared" si="132"/>
        <v>0</v>
      </c>
      <c r="L220" s="116">
        <f t="shared" si="133"/>
        <v>0</v>
      </c>
      <c r="M220" s="112" t="s">
        <v>15</v>
      </c>
      <c r="N220" s="256">
        <f t="shared" si="134"/>
        <v>-101</v>
      </c>
      <c r="S220" s="117">
        <v>0</v>
      </c>
      <c r="U220" s="215">
        <f t="shared" si="121"/>
        <v>0</v>
      </c>
      <c r="W220" s="117">
        <v>0</v>
      </c>
      <c r="X220" s="215">
        <f t="shared" si="122"/>
        <v>0</v>
      </c>
    </row>
    <row r="221" spans="1:24" s="117" customFormat="1" ht="20.25" hidden="1" customHeight="1">
      <c r="A221" s="112" t="s">
        <v>513</v>
      </c>
      <c r="B221" s="118" t="s">
        <v>606</v>
      </c>
      <c r="C221" s="214"/>
      <c r="D221" s="263"/>
      <c r="E221" s="15"/>
      <c r="F221" s="18"/>
      <c r="G221" s="119">
        <f>ESTIMATE!I1547</f>
        <v>0</v>
      </c>
      <c r="H221" s="114" t="s">
        <v>114</v>
      </c>
      <c r="I221" s="138">
        <f>ESTIMATE!K1547</f>
        <v>392</v>
      </c>
      <c r="J221" s="18">
        <f t="shared" ref="J221" si="151">ROUND(G221*I221,0)</f>
        <v>0</v>
      </c>
      <c r="K221" s="116">
        <f t="shared" si="132"/>
        <v>0</v>
      </c>
      <c r="L221" s="116">
        <f t="shared" si="133"/>
        <v>0</v>
      </c>
      <c r="M221" s="112" t="s">
        <v>15</v>
      </c>
      <c r="N221" s="256">
        <f t="shared" si="134"/>
        <v>-392</v>
      </c>
      <c r="S221" s="117">
        <v>0</v>
      </c>
      <c r="U221" s="215">
        <f t="shared" si="121"/>
        <v>0</v>
      </c>
      <c r="W221" s="117">
        <v>0</v>
      </c>
      <c r="X221" s="215">
        <f t="shared" si="122"/>
        <v>0</v>
      </c>
    </row>
    <row r="222" spans="1:24" s="117" customFormat="1" ht="20.25" hidden="1" customHeight="1">
      <c r="A222" s="112" t="s">
        <v>635</v>
      </c>
      <c r="B222" s="118" t="s">
        <v>431</v>
      </c>
      <c r="C222" s="214"/>
      <c r="D222" s="263"/>
      <c r="E222" s="15"/>
      <c r="F222" s="18"/>
      <c r="G222" s="119">
        <f>ESTIMATE!I1555</f>
        <v>0</v>
      </c>
      <c r="H222" s="114" t="s">
        <v>114</v>
      </c>
      <c r="I222" s="138">
        <f>ESTIMATE!K1555</f>
        <v>76</v>
      </c>
      <c r="J222" s="18">
        <f t="shared" si="113"/>
        <v>0</v>
      </c>
      <c r="K222" s="116">
        <f t="shared" si="132"/>
        <v>0</v>
      </c>
      <c r="L222" s="116">
        <f t="shared" si="133"/>
        <v>0</v>
      </c>
      <c r="M222" s="112" t="s">
        <v>15</v>
      </c>
      <c r="N222" s="256">
        <f t="shared" si="134"/>
        <v>-76</v>
      </c>
      <c r="S222" s="117">
        <v>0</v>
      </c>
      <c r="U222" s="215">
        <f t="shared" si="121"/>
        <v>0</v>
      </c>
      <c r="W222" s="117">
        <v>0</v>
      </c>
      <c r="X222" s="215">
        <f t="shared" si="122"/>
        <v>0</v>
      </c>
    </row>
    <row r="223" spans="1:24" s="117" customFormat="1" ht="20.25" customHeight="1">
      <c r="A223" s="112" t="s">
        <v>482</v>
      </c>
      <c r="B223" s="118" t="s">
        <v>551</v>
      </c>
      <c r="C223" s="251">
        <v>4</v>
      </c>
      <c r="D223" s="360" t="s">
        <v>114</v>
      </c>
      <c r="E223" s="12">
        <v>127.08</v>
      </c>
      <c r="F223" s="18">
        <f t="shared" ref="F223:F226" si="152">ROUND(C223*E223,0)</f>
        <v>508</v>
      </c>
      <c r="G223" s="119">
        <f>ESTIMATE!I1563</f>
        <v>10</v>
      </c>
      <c r="H223" s="114" t="s">
        <v>114</v>
      </c>
      <c r="I223" s="138">
        <f>ESTIMATE!K1563</f>
        <v>159.99</v>
      </c>
      <c r="J223" s="18">
        <f t="shared" si="113"/>
        <v>1600</v>
      </c>
      <c r="K223" s="116">
        <f t="shared" si="132"/>
        <v>1092</v>
      </c>
      <c r="L223" s="116">
        <f t="shared" si="133"/>
        <v>0</v>
      </c>
      <c r="M223" s="112" t="s">
        <v>15</v>
      </c>
      <c r="N223" s="256">
        <f t="shared" si="134"/>
        <v>-32.910000000000011</v>
      </c>
      <c r="S223" s="117">
        <v>7263</v>
      </c>
      <c r="U223" s="215">
        <f t="shared" si="121"/>
        <v>-5663</v>
      </c>
      <c r="W223" s="117">
        <v>26</v>
      </c>
      <c r="X223" s="215">
        <f t="shared" si="122"/>
        <v>-16</v>
      </c>
    </row>
    <row r="224" spans="1:24" s="117" customFormat="1" ht="20.25" customHeight="1">
      <c r="A224" s="112" t="s">
        <v>1283</v>
      </c>
      <c r="B224" s="118" t="s">
        <v>1051</v>
      </c>
      <c r="C224" s="251">
        <v>1</v>
      </c>
      <c r="D224" s="263" t="s">
        <v>114</v>
      </c>
      <c r="E224" s="12">
        <v>424.5</v>
      </c>
      <c r="F224" s="18">
        <f t="shared" si="152"/>
        <v>425</v>
      </c>
      <c r="G224" s="119">
        <f>ESTIMATE!I1559</f>
        <v>0</v>
      </c>
      <c r="H224" s="114" t="s">
        <v>114</v>
      </c>
      <c r="I224" s="138">
        <f>ESTIMATE!K1559</f>
        <v>442</v>
      </c>
      <c r="J224" s="18">
        <f t="shared" ref="J224" si="153">ROUND(G224*I224,0)</f>
        <v>0</v>
      </c>
      <c r="K224" s="116">
        <f t="shared" si="132"/>
        <v>0</v>
      </c>
      <c r="L224" s="116">
        <f t="shared" si="133"/>
        <v>425</v>
      </c>
      <c r="M224" s="112" t="s">
        <v>15</v>
      </c>
      <c r="N224" s="256">
        <f t="shared" si="134"/>
        <v>-17.5</v>
      </c>
      <c r="S224" s="117">
        <v>7263</v>
      </c>
      <c r="U224" s="215">
        <f t="shared" ref="U224" si="154">J224-S224</f>
        <v>-7263</v>
      </c>
      <c r="W224" s="117">
        <v>26</v>
      </c>
      <c r="X224" s="215">
        <f t="shared" ref="X224" si="155">G224-W224</f>
        <v>-26</v>
      </c>
    </row>
    <row r="225" spans="1:24" s="117" customFormat="1" ht="20.25" hidden="1" customHeight="1">
      <c r="A225" s="112" t="s">
        <v>634</v>
      </c>
      <c r="B225" s="118" t="s">
        <v>630</v>
      </c>
      <c r="C225" s="214"/>
      <c r="D225" s="263"/>
      <c r="E225" s="15"/>
      <c r="F225" s="18"/>
      <c r="G225" s="119">
        <f>ESTIMATE!I1566</f>
        <v>0</v>
      </c>
      <c r="H225" s="114" t="s">
        <v>114</v>
      </c>
      <c r="I225" s="138">
        <f>ESTIMATE!K1566</f>
        <v>134.82</v>
      </c>
      <c r="J225" s="18">
        <f t="shared" ref="J225:J226" si="156">ROUND(G225*I225,0)</f>
        <v>0</v>
      </c>
      <c r="K225" s="116">
        <f t="shared" si="132"/>
        <v>0</v>
      </c>
      <c r="L225" s="116">
        <f t="shared" si="133"/>
        <v>0</v>
      </c>
      <c r="M225" s="112" t="s">
        <v>15</v>
      </c>
      <c r="N225" s="256">
        <f t="shared" si="134"/>
        <v>-134.82</v>
      </c>
      <c r="S225" s="117">
        <v>0</v>
      </c>
      <c r="U225" s="215">
        <f t="shared" si="121"/>
        <v>0</v>
      </c>
      <c r="W225" s="117">
        <v>0</v>
      </c>
      <c r="X225" s="215">
        <f t="shared" si="122"/>
        <v>0</v>
      </c>
    </row>
    <row r="226" spans="1:24" s="117" customFormat="1" ht="20.25" customHeight="1">
      <c r="A226" s="112" t="s">
        <v>483</v>
      </c>
      <c r="B226" s="118" t="s">
        <v>613</v>
      </c>
      <c r="C226" s="251">
        <v>4</v>
      </c>
      <c r="D226" s="263" t="s">
        <v>114</v>
      </c>
      <c r="E226" s="15">
        <v>21</v>
      </c>
      <c r="F226" s="18">
        <f t="shared" si="152"/>
        <v>84</v>
      </c>
      <c r="G226" s="119">
        <f>ESTIMATE!I1570</f>
        <v>5</v>
      </c>
      <c r="H226" s="114" t="s">
        <v>114</v>
      </c>
      <c r="I226" s="138">
        <f>ESTIMATE!K1570</f>
        <v>23.86</v>
      </c>
      <c r="J226" s="18">
        <f t="shared" si="156"/>
        <v>119</v>
      </c>
      <c r="K226" s="116">
        <f t="shared" si="132"/>
        <v>35</v>
      </c>
      <c r="L226" s="116">
        <f t="shared" si="133"/>
        <v>0</v>
      </c>
      <c r="M226" s="112" t="s">
        <v>15</v>
      </c>
      <c r="N226" s="256">
        <f t="shared" si="134"/>
        <v>-2.8599999999999994</v>
      </c>
      <c r="S226" s="117">
        <v>2090</v>
      </c>
      <c r="U226" s="215">
        <f t="shared" si="121"/>
        <v>-1971</v>
      </c>
      <c r="W226" s="117">
        <v>15</v>
      </c>
      <c r="X226" s="215">
        <f t="shared" si="122"/>
        <v>-10</v>
      </c>
    </row>
    <row r="227" spans="1:24" s="117" customFormat="1" ht="20.25" customHeight="1">
      <c r="A227" s="112" t="s">
        <v>484</v>
      </c>
      <c r="B227" s="118" t="s">
        <v>552</v>
      </c>
      <c r="C227" s="251">
        <v>2</v>
      </c>
      <c r="D227" s="263" t="s">
        <v>114</v>
      </c>
      <c r="E227" s="12">
        <v>128.25</v>
      </c>
      <c r="F227" s="18">
        <f t="shared" ref="F227:F228" si="157">ROUND(C227*E227,0)</f>
        <v>257</v>
      </c>
      <c r="G227" s="119">
        <f>ESTIMATE!I1574</f>
        <v>6</v>
      </c>
      <c r="H227" s="114" t="s">
        <v>114</v>
      </c>
      <c r="I227" s="138">
        <f>ESTIMATE!K1574</f>
        <v>157.36000000000001</v>
      </c>
      <c r="J227" s="18">
        <f t="shared" si="113"/>
        <v>944</v>
      </c>
      <c r="K227" s="116">
        <f t="shared" si="132"/>
        <v>687</v>
      </c>
      <c r="L227" s="116">
        <f t="shared" si="133"/>
        <v>0</v>
      </c>
      <c r="M227" s="112" t="s">
        <v>15</v>
      </c>
      <c r="N227" s="256">
        <f t="shared" si="134"/>
        <v>-29.110000000000014</v>
      </c>
      <c r="S227" s="117">
        <v>1674</v>
      </c>
      <c r="U227" s="215">
        <f t="shared" si="121"/>
        <v>-730</v>
      </c>
      <c r="W227" s="117">
        <v>24</v>
      </c>
      <c r="X227" s="215">
        <f t="shared" si="122"/>
        <v>-18</v>
      </c>
    </row>
    <row r="228" spans="1:24" s="117" customFormat="1" ht="20.25" customHeight="1">
      <c r="A228" s="112" t="s">
        <v>485</v>
      </c>
      <c r="B228" s="118" t="s">
        <v>553</v>
      </c>
      <c r="C228" s="251">
        <v>4</v>
      </c>
      <c r="D228" s="263" t="s">
        <v>114</v>
      </c>
      <c r="E228" s="12">
        <v>3314.69</v>
      </c>
      <c r="F228" s="18">
        <f t="shared" si="157"/>
        <v>13259</v>
      </c>
      <c r="G228" s="119">
        <f>ESTIMATE!I1578</f>
        <v>6</v>
      </c>
      <c r="H228" s="114" t="s">
        <v>114</v>
      </c>
      <c r="I228" s="138">
        <f>ESTIMATE!K1578</f>
        <v>3786.42</v>
      </c>
      <c r="J228" s="18">
        <f t="shared" ref="J228" si="158">ROUND(G228*I228,0)</f>
        <v>22719</v>
      </c>
      <c r="K228" s="116">
        <f t="shared" si="132"/>
        <v>9460</v>
      </c>
      <c r="L228" s="116">
        <f t="shared" si="133"/>
        <v>0</v>
      </c>
      <c r="M228" s="112" t="s">
        <v>15</v>
      </c>
      <c r="N228" s="256">
        <f t="shared" si="134"/>
        <v>-471.73</v>
      </c>
      <c r="S228" s="117">
        <v>37536</v>
      </c>
      <c r="U228" s="215">
        <f t="shared" ref="U228" si="159">J228-S228</f>
        <v>-14817</v>
      </c>
      <c r="W228" s="117">
        <v>16</v>
      </c>
      <c r="X228" s="215">
        <f t="shared" ref="X228" si="160">G228-W228</f>
        <v>-10</v>
      </c>
    </row>
    <row r="229" spans="1:24" s="117" customFormat="1" ht="20.25" hidden="1" customHeight="1">
      <c r="A229" s="112" t="s">
        <v>1451</v>
      </c>
      <c r="B229" s="118" t="s">
        <v>553</v>
      </c>
      <c r="C229" s="251"/>
      <c r="D229" s="360"/>
      <c r="E229" s="12"/>
      <c r="F229" s="18">
        <f t="shared" ref="F229:F232" si="161">ROUND(C229*E229,0)</f>
        <v>0</v>
      </c>
      <c r="G229" s="119">
        <f>ESTIMATE!I1595</f>
        <v>0</v>
      </c>
      <c r="H229" s="114" t="s">
        <v>114</v>
      </c>
      <c r="I229" s="138">
        <f>ESTIMATE!K1595</f>
        <v>2933.04</v>
      </c>
      <c r="J229" s="18">
        <f t="shared" si="113"/>
        <v>0</v>
      </c>
      <c r="K229" s="116">
        <f t="shared" si="132"/>
        <v>0</v>
      </c>
      <c r="L229" s="116">
        <f t="shared" si="133"/>
        <v>0</v>
      </c>
      <c r="M229" s="112" t="s">
        <v>15</v>
      </c>
      <c r="N229" s="256">
        <f t="shared" si="134"/>
        <v>-2933.04</v>
      </c>
      <c r="S229" s="117">
        <v>37536</v>
      </c>
      <c r="U229" s="215">
        <f t="shared" si="121"/>
        <v>-37536</v>
      </c>
      <c r="W229" s="117">
        <v>16</v>
      </c>
      <c r="X229" s="215">
        <f t="shared" si="122"/>
        <v>-16</v>
      </c>
    </row>
    <row r="230" spans="1:24" s="117" customFormat="1" ht="20.25" hidden="1" customHeight="1">
      <c r="A230" s="112" t="s">
        <v>1452</v>
      </c>
      <c r="B230" s="118" t="s">
        <v>789</v>
      </c>
      <c r="C230" s="251"/>
      <c r="D230" s="360"/>
      <c r="E230" s="12"/>
      <c r="F230" s="18">
        <f t="shared" si="161"/>
        <v>0</v>
      </c>
      <c r="G230" s="119">
        <f>ESTIMATE!I1608</f>
        <v>0</v>
      </c>
      <c r="H230" s="114" t="s">
        <v>114</v>
      </c>
      <c r="I230" s="138">
        <f>ESTIMATE!K1608</f>
        <v>289.5</v>
      </c>
      <c r="J230" s="18">
        <f t="shared" si="113"/>
        <v>0</v>
      </c>
      <c r="K230" s="116">
        <f t="shared" si="132"/>
        <v>0</v>
      </c>
      <c r="L230" s="116">
        <f t="shared" si="133"/>
        <v>0</v>
      </c>
      <c r="M230" s="112" t="s">
        <v>15</v>
      </c>
      <c r="N230" s="256">
        <f t="shared" si="134"/>
        <v>-289.5</v>
      </c>
      <c r="S230" s="117">
        <v>7200</v>
      </c>
      <c r="U230" s="215">
        <f t="shared" si="121"/>
        <v>-7200</v>
      </c>
      <c r="W230" s="117">
        <v>16</v>
      </c>
      <c r="X230" s="215">
        <f t="shared" si="122"/>
        <v>-16</v>
      </c>
    </row>
    <row r="231" spans="1:24" s="117" customFormat="1" ht="20.25" hidden="1" customHeight="1">
      <c r="A231" s="112" t="s">
        <v>1053</v>
      </c>
      <c r="B231" s="118" t="s">
        <v>918</v>
      </c>
      <c r="C231" s="251"/>
      <c r="D231" s="360"/>
      <c r="E231" s="12"/>
      <c r="F231" s="18">
        <f t="shared" si="161"/>
        <v>0</v>
      </c>
      <c r="G231" s="119">
        <f>ESTIMATE!I1621</f>
        <v>0</v>
      </c>
      <c r="H231" s="114" t="s">
        <v>114</v>
      </c>
      <c r="I231" s="138">
        <f>ESTIMATE!K1621</f>
        <v>191.64</v>
      </c>
      <c r="J231" s="18">
        <f t="shared" si="113"/>
        <v>0</v>
      </c>
      <c r="K231" s="116">
        <f t="shared" si="132"/>
        <v>0</v>
      </c>
      <c r="L231" s="116">
        <f t="shared" si="133"/>
        <v>0</v>
      </c>
      <c r="M231" s="112" t="s">
        <v>15</v>
      </c>
      <c r="N231" s="256">
        <f t="shared" si="134"/>
        <v>-191.64</v>
      </c>
      <c r="S231" s="117">
        <v>2222</v>
      </c>
      <c r="U231" s="215">
        <f t="shared" si="121"/>
        <v>-2222</v>
      </c>
      <c r="W231" s="117">
        <v>16</v>
      </c>
      <c r="X231" s="215">
        <f t="shared" si="122"/>
        <v>-16</v>
      </c>
    </row>
    <row r="232" spans="1:24" s="117" customFormat="1" ht="20.25" customHeight="1">
      <c r="A232" s="112" t="s">
        <v>486</v>
      </c>
      <c r="B232" s="118" t="s">
        <v>1328</v>
      </c>
      <c r="C232" s="251">
        <v>4</v>
      </c>
      <c r="D232" s="263" t="s">
        <v>114</v>
      </c>
      <c r="E232" s="12">
        <v>230.73</v>
      </c>
      <c r="F232" s="18">
        <f t="shared" si="161"/>
        <v>923</v>
      </c>
      <c r="G232" s="119">
        <f>ESTIMATE!I1582</f>
        <v>6</v>
      </c>
      <c r="H232" s="114" t="s">
        <v>114</v>
      </c>
      <c r="I232" s="138">
        <f>ESTIMATE!K1582</f>
        <v>302.33000000000004</v>
      </c>
      <c r="J232" s="18">
        <f t="shared" ref="J232" si="162">ROUND(G232*I232,0)</f>
        <v>1814</v>
      </c>
      <c r="K232" s="116">
        <f t="shared" si="132"/>
        <v>891</v>
      </c>
      <c r="L232" s="116">
        <f t="shared" si="133"/>
        <v>0</v>
      </c>
      <c r="M232" s="112" t="s">
        <v>15</v>
      </c>
      <c r="N232" s="256">
        <f t="shared" si="134"/>
        <v>-71.600000000000051</v>
      </c>
      <c r="S232" s="117">
        <v>2096</v>
      </c>
      <c r="U232" s="215">
        <f t="shared" ref="U232" si="163">J232-S232</f>
        <v>-282</v>
      </c>
      <c r="W232" s="117">
        <v>16</v>
      </c>
      <c r="X232" s="215">
        <f t="shared" ref="X232" si="164">G232-W232</f>
        <v>-10</v>
      </c>
    </row>
    <row r="233" spans="1:24" s="117" customFormat="1" ht="20.25" hidden="1" customHeight="1">
      <c r="A233" s="112" t="s">
        <v>1284</v>
      </c>
      <c r="B233" s="118" t="s">
        <v>790</v>
      </c>
      <c r="C233" s="251"/>
      <c r="D233" s="360"/>
      <c r="E233" s="12"/>
      <c r="F233" s="18">
        <f t="shared" ref="F233:F234" si="165">ROUND(C233*E233,0)</f>
        <v>0</v>
      </c>
      <c r="G233" s="119">
        <f>ESTIMATE!I1627</f>
        <v>0</v>
      </c>
      <c r="H233" s="114" t="s">
        <v>114</v>
      </c>
      <c r="I233" s="138">
        <f>ESTIMATE!K1627</f>
        <v>180.5</v>
      </c>
      <c r="J233" s="18">
        <f t="shared" si="113"/>
        <v>0</v>
      </c>
      <c r="K233" s="116">
        <f t="shared" si="132"/>
        <v>0</v>
      </c>
      <c r="L233" s="116">
        <f t="shared" si="133"/>
        <v>0</v>
      </c>
      <c r="M233" s="112" t="s">
        <v>15</v>
      </c>
      <c r="N233" s="256">
        <f t="shared" si="134"/>
        <v>-180.5</v>
      </c>
      <c r="S233" s="117">
        <v>2096</v>
      </c>
      <c r="U233" s="215">
        <f t="shared" si="121"/>
        <v>-2096</v>
      </c>
      <c r="W233" s="117">
        <v>16</v>
      </c>
      <c r="X233" s="215">
        <f t="shared" si="122"/>
        <v>-16</v>
      </c>
    </row>
    <row r="234" spans="1:24" s="117" customFormat="1" ht="20.25" customHeight="1">
      <c r="A234" s="112" t="s">
        <v>1284</v>
      </c>
      <c r="B234" s="118" t="s">
        <v>554</v>
      </c>
      <c r="C234" s="251">
        <v>6</v>
      </c>
      <c r="D234" s="360" t="s">
        <v>114</v>
      </c>
      <c r="E234" s="12">
        <v>405.94</v>
      </c>
      <c r="F234" s="18">
        <f t="shared" si="165"/>
        <v>2436</v>
      </c>
      <c r="G234" s="119">
        <f>ESTIMATE!I1631</f>
        <v>8</v>
      </c>
      <c r="H234" s="114" t="s">
        <v>114</v>
      </c>
      <c r="I234" s="138">
        <f>ESTIMATE!K1631</f>
        <v>464.55</v>
      </c>
      <c r="J234" s="18">
        <f t="shared" si="113"/>
        <v>3716</v>
      </c>
      <c r="K234" s="116">
        <f t="shared" si="132"/>
        <v>1280</v>
      </c>
      <c r="L234" s="116">
        <f t="shared" si="133"/>
        <v>0</v>
      </c>
      <c r="M234" s="112" t="s">
        <v>15</v>
      </c>
      <c r="N234" s="256">
        <f t="shared" si="134"/>
        <v>-58.610000000000014</v>
      </c>
      <c r="S234" s="117">
        <v>12090</v>
      </c>
      <c r="U234" s="215">
        <f t="shared" si="121"/>
        <v>-8374</v>
      </c>
      <c r="W234" s="117">
        <v>30</v>
      </c>
      <c r="X234" s="215">
        <f t="shared" si="122"/>
        <v>-22</v>
      </c>
    </row>
    <row r="235" spans="1:24" s="117" customFormat="1" ht="20.25" hidden="1" customHeight="1">
      <c r="A235" s="112" t="s">
        <v>940</v>
      </c>
      <c r="B235" s="118" t="s">
        <v>919</v>
      </c>
      <c r="C235" s="251"/>
      <c r="D235" s="263"/>
      <c r="E235" s="12"/>
      <c r="F235" s="18"/>
      <c r="G235" s="119">
        <f>ESTIMATE!I1634</f>
        <v>1</v>
      </c>
      <c r="H235" s="114" t="s">
        <v>114</v>
      </c>
      <c r="I235" s="138">
        <f>ESTIMATE!K1634</f>
        <v>4645.72</v>
      </c>
      <c r="J235" s="18">
        <f t="shared" si="113"/>
        <v>4646</v>
      </c>
      <c r="K235" s="116">
        <f t="shared" si="132"/>
        <v>4646</v>
      </c>
      <c r="L235" s="116">
        <f t="shared" si="133"/>
        <v>0</v>
      </c>
      <c r="M235" s="112" t="s">
        <v>15</v>
      </c>
      <c r="N235" s="256">
        <f t="shared" si="134"/>
        <v>-4645.72</v>
      </c>
      <c r="S235" s="117">
        <v>11800</v>
      </c>
      <c r="U235" s="215">
        <f t="shared" si="121"/>
        <v>-7154</v>
      </c>
      <c r="W235" s="117">
        <v>2</v>
      </c>
      <c r="X235" s="215">
        <f t="shared" si="122"/>
        <v>-1</v>
      </c>
    </row>
    <row r="236" spans="1:24" s="117" customFormat="1" ht="20.25" hidden="1" customHeight="1">
      <c r="A236" s="112" t="s">
        <v>1055</v>
      </c>
      <c r="B236" s="118" t="s">
        <v>708</v>
      </c>
      <c r="C236" s="214"/>
      <c r="D236" s="263"/>
      <c r="E236" s="15"/>
      <c r="F236" s="18"/>
      <c r="G236" s="119">
        <f>ESTIMATE!I1642</f>
        <v>1</v>
      </c>
      <c r="H236" s="114" t="s">
        <v>114</v>
      </c>
      <c r="I236" s="138">
        <f>ESTIMATE!K1642</f>
        <v>4321.91</v>
      </c>
      <c r="J236" s="18">
        <f t="shared" ref="J236:J240" si="166">ROUND(G236*I236,0)</f>
        <v>4322</v>
      </c>
      <c r="K236" s="116">
        <f t="shared" si="132"/>
        <v>4322</v>
      </c>
      <c r="L236" s="116">
        <f t="shared" si="133"/>
        <v>0</v>
      </c>
      <c r="M236" s="112" t="s">
        <v>15</v>
      </c>
      <c r="N236" s="256">
        <f t="shared" si="134"/>
        <v>-4321.91</v>
      </c>
      <c r="S236" s="117">
        <v>5945</v>
      </c>
      <c r="U236" s="215">
        <f t="shared" si="121"/>
        <v>-1623</v>
      </c>
      <c r="W236" s="117">
        <v>2</v>
      </c>
      <c r="X236" s="215">
        <f t="shared" si="122"/>
        <v>-1</v>
      </c>
    </row>
    <row r="237" spans="1:24" s="117" customFormat="1" ht="20.25" hidden="1" customHeight="1">
      <c r="A237" s="112" t="s">
        <v>1056</v>
      </c>
      <c r="B237" s="118" t="s">
        <v>743</v>
      </c>
      <c r="C237" s="251"/>
      <c r="D237" s="360"/>
      <c r="E237" s="12"/>
      <c r="F237" s="18">
        <f t="shared" ref="F237:F239" si="167">ROUND(C237*E237,0)</f>
        <v>0</v>
      </c>
      <c r="G237" s="119">
        <f>ESTIMATE!I1638</f>
        <v>0</v>
      </c>
      <c r="H237" s="114" t="s">
        <v>114</v>
      </c>
      <c r="I237" s="138">
        <f>ESTIMATE!K1638</f>
        <v>1552</v>
      </c>
      <c r="J237" s="18">
        <f t="shared" si="166"/>
        <v>0</v>
      </c>
      <c r="K237" s="116">
        <f t="shared" si="132"/>
        <v>0</v>
      </c>
      <c r="L237" s="116">
        <f t="shared" si="133"/>
        <v>0</v>
      </c>
      <c r="M237" s="112" t="s">
        <v>15</v>
      </c>
      <c r="N237" s="256">
        <f t="shared" si="134"/>
        <v>-1552</v>
      </c>
      <c r="S237" s="117">
        <v>0</v>
      </c>
      <c r="U237" s="215">
        <f t="shared" si="121"/>
        <v>0</v>
      </c>
      <c r="W237" s="117">
        <v>0</v>
      </c>
      <c r="X237" s="215">
        <f t="shared" si="122"/>
        <v>0</v>
      </c>
    </row>
    <row r="238" spans="1:24" s="117" customFormat="1" ht="20.25" hidden="1" customHeight="1">
      <c r="A238" s="112" t="s">
        <v>941</v>
      </c>
      <c r="B238" s="118" t="s">
        <v>1428</v>
      </c>
      <c r="C238" s="251"/>
      <c r="D238" s="360"/>
      <c r="E238" s="12"/>
      <c r="F238" s="18">
        <f t="shared" si="167"/>
        <v>0</v>
      </c>
      <c r="G238" s="119"/>
      <c r="H238" s="114"/>
      <c r="I238" s="138"/>
      <c r="J238" s="18"/>
      <c r="K238" s="116">
        <f t="shared" si="132"/>
        <v>0</v>
      </c>
      <c r="L238" s="116">
        <f t="shared" si="133"/>
        <v>0</v>
      </c>
      <c r="M238" s="112" t="s">
        <v>15</v>
      </c>
      <c r="N238" s="256">
        <f t="shared" si="134"/>
        <v>0</v>
      </c>
      <c r="U238" s="215"/>
      <c r="X238" s="215"/>
    </row>
    <row r="239" spans="1:24" s="117" customFormat="1" ht="20.25" hidden="1" customHeight="1">
      <c r="A239" s="112" t="s">
        <v>1057</v>
      </c>
      <c r="B239" s="118" t="s">
        <v>1429</v>
      </c>
      <c r="C239" s="251"/>
      <c r="D239" s="360"/>
      <c r="E239" s="12"/>
      <c r="F239" s="18">
        <f t="shared" si="167"/>
        <v>0</v>
      </c>
      <c r="G239" s="119"/>
      <c r="H239" s="114"/>
      <c r="I239" s="138"/>
      <c r="J239" s="18"/>
      <c r="K239" s="116">
        <f t="shared" si="132"/>
        <v>0</v>
      </c>
      <c r="L239" s="116">
        <f t="shared" si="133"/>
        <v>0</v>
      </c>
      <c r="M239" s="112" t="s">
        <v>15</v>
      </c>
      <c r="N239" s="256">
        <f t="shared" si="134"/>
        <v>0</v>
      </c>
      <c r="U239" s="215"/>
      <c r="X239" s="215"/>
    </row>
    <row r="240" spans="1:24" s="117" customFormat="1" ht="30.75" hidden="1" customHeight="1">
      <c r="A240" s="112" t="s">
        <v>1058</v>
      </c>
      <c r="B240" s="118" t="s">
        <v>920</v>
      </c>
      <c r="C240" s="251"/>
      <c r="D240" s="360"/>
      <c r="E240" s="12"/>
      <c r="F240" s="18"/>
      <c r="G240" s="119">
        <f>ESTIMATE!I1646</f>
        <v>1</v>
      </c>
      <c r="H240" s="114" t="s">
        <v>114</v>
      </c>
      <c r="I240" s="138">
        <f>ESTIMATE!K1646</f>
        <v>1203.9099999999999</v>
      </c>
      <c r="J240" s="18">
        <f t="shared" si="166"/>
        <v>1204</v>
      </c>
      <c r="K240" s="116">
        <f t="shared" si="132"/>
        <v>1204</v>
      </c>
      <c r="L240" s="116">
        <f t="shared" si="133"/>
        <v>0</v>
      </c>
      <c r="M240" s="112" t="s">
        <v>15</v>
      </c>
      <c r="N240" s="256">
        <f t="shared" si="134"/>
        <v>-1203.9099999999999</v>
      </c>
      <c r="S240" s="117">
        <v>897</v>
      </c>
      <c r="U240" s="215">
        <f t="shared" ref="U240:U255" si="168">J240-S240</f>
        <v>307</v>
      </c>
      <c r="W240" s="117">
        <v>1</v>
      </c>
      <c r="X240" s="215">
        <f t="shared" ref="X240:X254" si="169">G240-W240</f>
        <v>0</v>
      </c>
    </row>
    <row r="241" spans="1:24" s="117" customFormat="1" ht="20.25" hidden="1" customHeight="1">
      <c r="A241" s="112" t="s">
        <v>942</v>
      </c>
      <c r="B241" s="118" t="s">
        <v>555</v>
      </c>
      <c r="C241" s="251"/>
      <c r="D241" s="360"/>
      <c r="E241" s="12"/>
      <c r="F241" s="18">
        <f t="shared" ref="F241:F244" si="170">ROUND(C241*E241,0)</f>
        <v>0</v>
      </c>
      <c r="G241" s="119">
        <f>ESTIMATE!I1649</f>
        <v>0</v>
      </c>
      <c r="H241" s="114" t="s">
        <v>114</v>
      </c>
      <c r="I241" s="138">
        <f>ESTIMATE!K1649</f>
        <v>4697.58</v>
      </c>
      <c r="J241" s="18">
        <f t="shared" si="113"/>
        <v>0</v>
      </c>
      <c r="K241" s="116">
        <f t="shared" si="132"/>
        <v>0</v>
      </c>
      <c r="L241" s="116">
        <f t="shared" si="133"/>
        <v>0</v>
      </c>
      <c r="M241" s="112" t="s">
        <v>15</v>
      </c>
      <c r="N241" s="256">
        <f t="shared" si="134"/>
        <v>-4697.58</v>
      </c>
      <c r="S241" s="117">
        <v>3420</v>
      </c>
      <c r="U241" s="215">
        <f t="shared" si="168"/>
        <v>-3420</v>
      </c>
      <c r="W241" s="117">
        <v>1</v>
      </c>
      <c r="X241" s="215">
        <f t="shared" si="169"/>
        <v>-1</v>
      </c>
    </row>
    <row r="242" spans="1:24" s="117" customFormat="1" ht="20.25" hidden="1" customHeight="1">
      <c r="A242" s="112" t="s">
        <v>1059</v>
      </c>
      <c r="B242" s="118" t="s">
        <v>1427</v>
      </c>
      <c r="C242" s="251"/>
      <c r="D242" s="360"/>
      <c r="E242" s="12"/>
      <c r="F242" s="18">
        <f t="shared" si="170"/>
        <v>0</v>
      </c>
      <c r="G242" s="119"/>
      <c r="H242" s="114"/>
      <c r="I242" s="138"/>
      <c r="J242" s="18"/>
      <c r="K242" s="116">
        <f t="shared" si="132"/>
        <v>0</v>
      </c>
      <c r="L242" s="116">
        <f t="shared" si="133"/>
        <v>0</v>
      </c>
      <c r="M242" s="112" t="s">
        <v>15</v>
      </c>
      <c r="N242" s="256">
        <f t="shared" si="134"/>
        <v>0</v>
      </c>
      <c r="U242" s="215"/>
      <c r="X242" s="215"/>
    </row>
    <row r="243" spans="1:24" s="117" customFormat="1" ht="20.25" hidden="1" customHeight="1">
      <c r="A243" s="112" t="s">
        <v>943</v>
      </c>
      <c r="B243" s="118" t="s">
        <v>1430</v>
      </c>
      <c r="C243" s="251"/>
      <c r="D243" s="360"/>
      <c r="E243" s="12"/>
      <c r="F243" s="18">
        <f t="shared" si="170"/>
        <v>0</v>
      </c>
      <c r="G243" s="119"/>
      <c r="H243" s="114"/>
      <c r="I243" s="138"/>
      <c r="J243" s="18"/>
      <c r="K243" s="116">
        <f t="shared" si="132"/>
        <v>0</v>
      </c>
      <c r="L243" s="116">
        <f t="shared" si="133"/>
        <v>0</v>
      </c>
      <c r="M243" s="112" t="s">
        <v>15</v>
      </c>
      <c r="N243" s="256">
        <f t="shared" si="134"/>
        <v>0</v>
      </c>
      <c r="U243" s="215"/>
      <c r="X243" s="215"/>
    </row>
    <row r="244" spans="1:24" s="117" customFormat="1" ht="20.25" hidden="1" customHeight="1">
      <c r="A244" s="112" t="s">
        <v>944</v>
      </c>
      <c r="B244" s="118" t="s">
        <v>1431</v>
      </c>
      <c r="C244" s="251"/>
      <c r="D244" s="360"/>
      <c r="E244" s="12"/>
      <c r="F244" s="18">
        <f t="shared" si="170"/>
        <v>0</v>
      </c>
      <c r="G244" s="119"/>
      <c r="H244" s="114"/>
      <c r="I244" s="138"/>
      <c r="J244" s="18"/>
      <c r="K244" s="116">
        <f t="shared" si="132"/>
        <v>0</v>
      </c>
      <c r="L244" s="116">
        <f t="shared" si="133"/>
        <v>0</v>
      </c>
      <c r="M244" s="112" t="s">
        <v>15</v>
      </c>
      <c r="N244" s="256">
        <f t="shared" si="134"/>
        <v>0</v>
      </c>
      <c r="U244" s="215"/>
      <c r="X244" s="215"/>
    </row>
    <row r="245" spans="1:24" s="117" customFormat="1" ht="20.25" hidden="1" customHeight="1">
      <c r="A245" s="112" t="s">
        <v>521</v>
      </c>
      <c r="B245" s="118" t="s">
        <v>523</v>
      </c>
      <c r="C245" s="214"/>
      <c r="D245" s="263"/>
      <c r="E245" s="15"/>
      <c r="F245" s="18"/>
      <c r="G245" s="119"/>
      <c r="H245" s="114"/>
      <c r="I245" s="138"/>
      <c r="J245" s="18"/>
      <c r="K245" s="116">
        <f t="shared" si="132"/>
        <v>0</v>
      </c>
      <c r="L245" s="116">
        <f t="shared" si="133"/>
        <v>0</v>
      </c>
      <c r="M245" s="112" t="s">
        <v>15</v>
      </c>
      <c r="N245" s="256">
        <f t="shared" si="134"/>
        <v>0</v>
      </c>
      <c r="U245" s="215">
        <f t="shared" si="168"/>
        <v>0</v>
      </c>
      <c r="X245" s="215">
        <f t="shared" si="169"/>
        <v>0</v>
      </c>
    </row>
    <row r="246" spans="1:24" s="117" customFormat="1" ht="20.25" hidden="1" customHeight="1">
      <c r="A246" s="112" t="s">
        <v>522</v>
      </c>
      <c r="B246" s="118" t="s">
        <v>524</v>
      </c>
      <c r="C246" s="214"/>
      <c r="D246" s="263"/>
      <c r="E246" s="15"/>
      <c r="F246" s="18"/>
      <c r="G246" s="119"/>
      <c r="H246" s="114"/>
      <c r="I246" s="138"/>
      <c r="J246" s="18"/>
      <c r="K246" s="116">
        <f t="shared" si="132"/>
        <v>0</v>
      </c>
      <c r="L246" s="116">
        <f t="shared" si="133"/>
        <v>0</v>
      </c>
      <c r="M246" s="112" t="s">
        <v>15</v>
      </c>
      <c r="N246" s="256">
        <f t="shared" si="134"/>
        <v>0</v>
      </c>
      <c r="U246" s="215">
        <f t="shared" si="168"/>
        <v>0</v>
      </c>
      <c r="X246" s="215">
        <f t="shared" si="169"/>
        <v>0</v>
      </c>
    </row>
    <row r="247" spans="1:24" s="117" customFormat="1" ht="20.25" hidden="1" customHeight="1">
      <c r="A247" s="112" t="s">
        <v>502</v>
      </c>
      <c r="B247" s="118" t="s">
        <v>995</v>
      </c>
      <c r="C247" s="252"/>
      <c r="D247" s="257"/>
      <c r="E247" s="122"/>
      <c r="F247" s="413"/>
      <c r="G247" s="119"/>
      <c r="H247" s="257"/>
      <c r="I247" s="123"/>
      <c r="J247" s="256"/>
      <c r="K247" s="116">
        <f t="shared" si="132"/>
        <v>0</v>
      </c>
      <c r="L247" s="116">
        <f t="shared" si="133"/>
        <v>0</v>
      </c>
      <c r="M247" s="112" t="s">
        <v>15</v>
      </c>
      <c r="N247" s="256">
        <f t="shared" si="134"/>
        <v>0</v>
      </c>
      <c r="S247" s="117">
        <v>20301</v>
      </c>
      <c r="U247" s="215">
        <f t="shared" ref="U247" si="171">J247-S247</f>
        <v>-20301</v>
      </c>
      <c r="X247" s="215">
        <f t="shared" ref="X247" si="172">G247-W247</f>
        <v>0</v>
      </c>
    </row>
    <row r="248" spans="1:24" s="117" customFormat="1" ht="20.25" hidden="1" customHeight="1">
      <c r="A248" s="112" t="s">
        <v>1453</v>
      </c>
      <c r="B248" s="118" t="s">
        <v>1438</v>
      </c>
      <c r="C248" s="252"/>
      <c r="D248" s="257"/>
      <c r="E248" s="122"/>
      <c r="F248" s="361"/>
      <c r="G248" s="119"/>
      <c r="H248" s="257"/>
      <c r="I248" s="123"/>
      <c r="J248" s="256"/>
      <c r="K248" s="116">
        <f t="shared" si="132"/>
        <v>0</v>
      </c>
      <c r="L248" s="116">
        <f t="shared" si="133"/>
        <v>0</v>
      </c>
      <c r="M248" s="112" t="s">
        <v>15</v>
      </c>
      <c r="N248" s="256">
        <f t="shared" si="134"/>
        <v>0</v>
      </c>
      <c r="U248" s="215"/>
      <c r="X248" s="215"/>
    </row>
    <row r="249" spans="1:24" s="117" customFormat="1" ht="20.25" customHeight="1">
      <c r="A249" s="112" t="s">
        <v>1285</v>
      </c>
      <c r="B249" s="118" t="s">
        <v>556</v>
      </c>
      <c r="C249" s="252"/>
      <c r="D249" s="257"/>
      <c r="E249" s="122"/>
      <c r="F249" s="361">
        <v>2045</v>
      </c>
      <c r="G249" s="119"/>
      <c r="H249" s="257"/>
      <c r="I249" s="123"/>
      <c r="J249" s="256">
        <f>ESTIMATE!M1656</f>
        <v>8352</v>
      </c>
      <c r="K249" s="116">
        <f t="shared" si="132"/>
        <v>6307</v>
      </c>
      <c r="L249" s="116">
        <f t="shared" si="133"/>
        <v>0</v>
      </c>
      <c r="M249" s="112" t="s">
        <v>15</v>
      </c>
      <c r="N249" s="256">
        <f t="shared" si="134"/>
        <v>0</v>
      </c>
      <c r="S249" s="117">
        <v>20301</v>
      </c>
      <c r="U249" s="215">
        <f t="shared" si="168"/>
        <v>-11949</v>
      </c>
      <c r="X249" s="215">
        <f t="shared" si="169"/>
        <v>0</v>
      </c>
    </row>
    <row r="250" spans="1:24" s="117" customFormat="1" ht="20.25" customHeight="1">
      <c r="A250" s="112" t="s">
        <v>1286</v>
      </c>
      <c r="B250" s="118" t="s">
        <v>1893</v>
      </c>
      <c r="C250" s="252"/>
      <c r="D250" s="257"/>
      <c r="E250" s="122"/>
      <c r="F250" s="361">
        <v>73605</v>
      </c>
      <c r="G250" s="119"/>
      <c r="H250" s="257"/>
      <c r="I250" s="123"/>
      <c r="J250" s="256">
        <f>ESTIMATE!M1657</f>
        <v>302021</v>
      </c>
      <c r="K250" s="116">
        <f t="shared" si="132"/>
        <v>228416</v>
      </c>
      <c r="L250" s="116">
        <f t="shared" si="133"/>
        <v>0</v>
      </c>
      <c r="M250" s="112" t="s">
        <v>15</v>
      </c>
      <c r="N250" s="256">
        <f t="shared" si="134"/>
        <v>0</v>
      </c>
      <c r="U250" s="215"/>
      <c r="X250" s="215"/>
    </row>
    <row r="251" spans="1:24" s="117" customFormat="1" ht="20.25" customHeight="1">
      <c r="A251" s="112" t="s">
        <v>1287</v>
      </c>
      <c r="B251" s="118" t="s">
        <v>1841</v>
      </c>
      <c r="C251" s="252"/>
      <c r="D251" s="257"/>
      <c r="E251" s="122"/>
      <c r="F251" s="361">
        <v>15000</v>
      </c>
      <c r="G251" s="119"/>
      <c r="H251" s="257"/>
      <c r="I251" s="123"/>
      <c r="J251" s="256" t="e">
        <f>ESTIMATE!#REF!</f>
        <v>#REF!</v>
      </c>
      <c r="K251" s="116" t="e">
        <f t="shared" si="132"/>
        <v>#REF!</v>
      </c>
      <c r="L251" s="116" t="e">
        <f t="shared" si="133"/>
        <v>#REF!</v>
      </c>
      <c r="M251" s="112" t="s">
        <v>15</v>
      </c>
      <c r="N251" s="256">
        <f t="shared" si="134"/>
        <v>0</v>
      </c>
      <c r="U251" s="215"/>
      <c r="X251" s="215"/>
    </row>
    <row r="252" spans="1:24" s="117" customFormat="1" ht="20.25" customHeight="1">
      <c r="A252" s="112" t="s">
        <v>1288</v>
      </c>
      <c r="B252" s="118" t="s">
        <v>435</v>
      </c>
      <c r="C252" s="252"/>
      <c r="D252" s="257"/>
      <c r="E252" s="122"/>
      <c r="F252" s="361">
        <v>306</v>
      </c>
      <c r="G252" s="119"/>
      <c r="H252" s="257"/>
      <c r="I252" s="123"/>
      <c r="J252" s="256">
        <f>ESTIMATE!M1654</f>
        <v>17391</v>
      </c>
      <c r="K252" s="116">
        <f t="shared" si="132"/>
        <v>17085</v>
      </c>
      <c r="L252" s="116">
        <f t="shared" si="133"/>
        <v>0</v>
      </c>
      <c r="M252" s="112" t="s">
        <v>15</v>
      </c>
      <c r="N252" s="256">
        <f t="shared" si="134"/>
        <v>0</v>
      </c>
      <c r="S252" s="117">
        <v>26478</v>
      </c>
      <c r="U252" s="215">
        <f t="shared" si="168"/>
        <v>-9087</v>
      </c>
      <c r="X252" s="215">
        <f t="shared" si="169"/>
        <v>0</v>
      </c>
    </row>
    <row r="253" spans="1:24" s="117" customFormat="1" ht="20.25" hidden="1" customHeight="1">
      <c r="A253" s="112" t="s">
        <v>512</v>
      </c>
      <c r="B253" s="118" t="s">
        <v>436</v>
      </c>
      <c r="C253" s="253"/>
      <c r="D253" s="257"/>
      <c r="E253" s="123"/>
      <c r="F253" s="361">
        <v>0</v>
      </c>
      <c r="G253" s="119"/>
      <c r="H253" s="257"/>
      <c r="I253" s="123"/>
      <c r="J253" s="256"/>
      <c r="K253" s="116">
        <f t="shared" si="132"/>
        <v>0</v>
      </c>
      <c r="L253" s="116">
        <f t="shared" si="133"/>
        <v>0</v>
      </c>
      <c r="M253" s="112" t="s">
        <v>15</v>
      </c>
      <c r="N253" s="256">
        <f t="shared" si="134"/>
        <v>0</v>
      </c>
      <c r="S253" s="117">
        <v>2500</v>
      </c>
      <c r="U253" s="215">
        <f t="shared" si="168"/>
        <v>-2500</v>
      </c>
      <c r="X253" s="215">
        <f t="shared" si="169"/>
        <v>0</v>
      </c>
    </row>
    <row r="254" spans="1:24" s="117" customFormat="1" ht="20.25" hidden="1" customHeight="1">
      <c r="A254" s="112" t="s">
        <v>513</v>
      </c>
      <c r="B254" s="118" t="s">
        <v>557</v>
      </c>
      <c r="C254" s="253"/>
      <c r="D254" s="257"/>
      <c r="E254" s="123"/>
      <c r="F254" s="413">
        <v>0</v>
      </c>
      <c r="G254" s="119"/>
      <c r="H254" s="257"/>
      <c r="I254" s="123"/>
      <c r="J254" s="256"/>
      <c r="K254" s="116">
        <f t="shared" si="132"/>
        <v>0</v>
      </c>
      <c r="L254" s="116">
        <f t="shared" si="133"/>
        <v>0</v>
      </c>
      <c r="M254" s="112" t="s">
        <v>15</v>
      </c>
      <c r="N254" s="256">
        <f t="shared" si="134"/>
        <v>0</v>
      </c>
      <c r="S254" s="117">
        <v>100</v>
      </c>
      <c r="U254" s="215">
        <f t="shared" si="168"/>
        <v>-100</v>
      </c>
      <c r="X254" s="215">
        <f t="shared" si="169"/>
        <v>0</v>
      </c>
    </row>
    <row r="255" spans="1:24" s="117" customFormat="1" ht="20.25" customHeight="1">
      <c r="A255" s="112" t="s">
        <v>488</v>
      </c>
      <c r="B255" s="118" t="s">
        <v>290</v>
      </c>
      <c r="C255" s="253"/>
      <c r="D255" s="257"/>
      <c r="E255" s="123"/>
      <c r="F255" s="361">
        <v>126</v>
      </c>
      <c r="G255" s="119"/>
      <c r="H255" s="257"/>
      <c r="I255" s="123"/>
      <c r="J255" s="256">
        <f>ESTIMATE!M1658</f>
        <v>1840</v>
      </c>
      <c r="K255" s="116">
        <f t="shared" si="132"/>
        <v>1714</v>
      </c>
      <c r="L255" s="116">
        <f t="shared" si="133"/>
        <v>0</v>
      </c>
      <c r="M255" s="112" t="s">
        <v>15</v>
      </c>
      <c r="N255" s="256">
        <f t="shared" si="134"/>
        <v>0</v>
      </c>
      <c r="S255" s="117">
        <v>-122011</v>
      </c>
      <c r="U255" s="215">
        <f t="shared" si="168"/>
        <v>123851</v>
      </c>
    </row>
    <row r="256" spans="1:24" s="117" customFormat="1" ht="20.25" customHeight="1">
      <c r="A256" s="112"/>
      <c r="B256" s="124"/>
      <c r="C256" s="1015" t="s">
        <v>1909</v>
      </c>
      <c r="D256" s="1015"/>
      <c r="E256" s="1016"/>
      <c r="F256" s="125">
        <f>SUM(F7:F255)</f>
        <v>500000</v>
      </c>
      <c r="G256" s="119"/>
      <c r="H256" s="258"/>
      <c r="I256" s="112"/>
      <c r="J256" s="125" t="e">
        <f>SUM(J7:J255)</f>
        <v>#REF!</v>
      </c>
      <c r="K256" s="125" t="e">
        <f>SUM(K7:K255)</f>
        <v>#REF!</v>
      </c>
      <c r="L256" s="125" t="e">
        <f>SUM(L7:L255)</f>
        <v>#REF!</v>
      </c>
      <c r="M256" s="112"/>
    </row>
    <row r="257" spans="1:14" ht="20.25" customHeight="1">
      <c r="A257" s="112"/>
      <c r="B257" s="126"/>
      <c r="C257" s="1015" t="s">
        <v>559</v>
      </c>
      <c r="D257" s="1015"/>
      <c r="E257" s="1016"/>
      <c r="F257" s="127" t="e">
        <f>J256</f>
        <v>#REF!</v>
      </c>
      <c r="G257" s="128"/>
      <c r="H257" s="259"/>
      <c r="I257" s="260"/>
      <c r="J257" s="261"/>
      <c r="K257" s="127"/>
      <c r="L257" s="261" t="e">
        <f>K256</f>
        <v>#REF!</v>
      </c>
      <c r="M257" s="260"/>
    </row>
    <row r="258" spans="1:14" ht="20.25" customHeight="1">
      <c r="A258" s="112"/>
      <c r="B258" s="411" t="s">
        <v>525</v>
      </c>
      <c r="C258" s="1015" t="s">
        <v>526</v>
      </c>
      <c r="D258" s="1015"/>
      <c r="E258" s="1016"/>
      <c r="F258" s="127" t="e">
        <f>F256-F257</f>
        <v>#REF!</v>
      </c>
      <c r="G258" s="128"/>
      <c r="H258" s="129"/>
      <c r="I258" s="130"/>
      <c r="J258" s="127"/>
      <c r="K258" s="261"/>
      <c r="L258" s="127" t="e">
        <f>L256-L257</f>
        <v>#REF!</v>
      </c>
      <c r="M258" s="130"/>
    </row>
    <row r="259" spans="1:14" ht="24.75" customHeight="1">
      <c r="A259" s="117"/>
      <c r="B259" s="131"/>
    </row>
    <row r="260" spans="1:14" ht="17.25" customHeight="1">
      <c r="A260" s="117"/>
      <c r="B260" s="131"/>
    </row>
    <row r="261" spans="1:14">
      <c r="A261" s="117"/>
      <c r="B261" s="131"/>
      <c r="H261" s="135" t="str">
        <f>'lead 25-26'!H32</f>
        <v>Deputy Executive Engineer</v>
      </c>
      <c r="K261" s="135" t="str">
        <f>'lead 25-26'!K32</f>
        <v>Assistant  Engineer</v>
      </c>
      <c r="L261" s="136"/>
    </row>
    <row r="262" spans="1:14">
      <c r="A262" s="117"/>
      <c r="B262" s="131"/>
      <c r="H262" s="135" t="str">
        <f>'lead 25-26'!H33</f>
        <v>PRI Sub Division</v>
      </c>
      <c r="K262" s="135" t="str">
        <f>'lead 25-26'!K33</f>
        <v>Mandal Praja parishad</v>
      </c>
    </row>
    <row r="263" spans="1:14">
      <c r="A263" s="117"/>
      <c r="B263" s="131"/>
      <c r="H263" s="135" t="str">
        <f>'lead 25-26'!H34</f>
        <v>Kanigiri</v>
      </c>
      <c r="K263" s="135" t="str">
        <f>'lead 25-26'!K34</f>
        <v>Kanigiri</v>
      </c>
    </row>
    <row r="264" spans="1:14">
      <c r="A264" s="117"/>
      <c r="B264" s="131"/>
    </row>
    <row r="265" spans="1:14" s="132" customFormat="1">
      <c r="A265" s="117"/>
      <c r="B265" s="131"/>
      <c r="C265" s="254"/>
      <c r="D265" s="133"/>
      <c r="E265" s="137"/>
      <c r="F265" s="137"/>
      <c r="H265" s="133"/>
      <c r="I265" s="137"/>
      <c r="J265" s="137"/>
      <c r="K265" s="134"/>
      <c r="L265" s="134"/>
      <c r="M265" s="137"/>
      <c r="N265" s="137"/>
    </row>
    <row r="266" spans="1:14" s="132" customFormat="1">
      <c r="A266" s="117"/>
      <c r="B266" s="131"/>
      <c r="C266" s="254"/>
      <c r="D266" s="133"/>
      <c r="E266" s="137"/>
      <c r="F266" s="137"/>
      <c r="H266" s="133"/>
      <c r="I266" s="137"/>
      <c r="J266" s="137"/>
      <c r="K266" s="134"/>
      <c r="L266" s="134"/>
      <c r="M266" s="137"/>
      <c r="N266" s="137"/>
    </row>
    <row r="267" spans="1:14" s="132" customFormat="1">
      <c r="A267" s="117"/>
      <c r="B267" s="131"/>
      <c r="C267" s="254"/>
      <c r="D267" s="133"/>
      <c r="E267" s="137"/>
      <c r="F267" s="137"/>
      <c r="H267" s="133"/>
      <c r="I267" s="137"/>
      <c r="J267" s="137"/>
      <c r="K267" s="134"/>
      <c r="L267" s="134"/>
      <c r="M267" s="137"/>
      <c r="N267" s="137"/>
    </row>
    <row r="268" spans="1:14" s="132" customFormat="1">
      <c r="A268" s="117"/>
      <c r="B268" s="131"/>
      <c r="C268" s="254"/>
      <c r="D268" s="133"/>
      <c r="E268" s="137"/>
      <c r="F268" s="137"/>
      <c r="H268" s="133"/>
      <c r="I268" s="137"/>
      <c r="J268" s="137"/>
      <c r="K268" s="134"/>
      <c r="L268" s="134"/>
      <c r="M268" s="137"/>
      <c r="N268" s="137"/>
    </row>
    <row r="269" spans="1:14" s="132" customFormat="1">
      <c r="A269" s="117"/>
      <c r="B269" s="137"/>
      <c r="C269" s="254"/>
      <c r="D269" s="133"/>
      <c r="E269" s="137"/>
      <c r="F269" s="137"/>
      <c r="H269" s="133"/>
      <c r="I269" s="137"/>
      <c r="J269" s="137"/>
      <c r="K269" s="134"/>
      <c r="L269" s="134"/>
      <c r="M269" s="137"/>
      <c r="N269" s="137"/>
    </row>
    <row r="270" spans="1:14" s="132" customFormat="1">
      <c r="A270" s="117"/>
      <c r="B270" s="137"/>
      <c r="C270" s="254"/>
      <c r="D270" s="133"/>
      <c r="E270" s="137"/>
      <c r="F270" s="137"/>
      <c r="H270" s="133"/>
      <c r="I270" s="137"/>
      <c r="J270" s="137"/>
      <c r="K270" s="134"/>
      <c r="L270" s="134"/>
      <c r="M270" s="137"/>
      <c r="N270" s="137"/>
    </row>
    <row r="271" spans="1:14" s="132" customFormat="1">
      <c r="A271" s="117"/>
      <c r="B271" s="137"/>
      <c r="C271" s="254"/>
      <c r="D271" s="133"/>
      <c r="E271" s="137"/>
      <c r="F271" s="137"/>
      <c r="H271" s="133"/>
      <c r="I271" s="137"/>
      <c r="J271" s="137"/>
      <c r="K271" s="134"/>
      <c r="L271" s="134"/>
      <c r="M271" s="137"/>
      <c r="N271" s="137"/>
    </row>
    <row r="272" spans="1:14" s="132" customFormat="1">
      <c r="A272" s="117"/>
      <c r="B272" s="137"/>
      <c r="C272" s="254"/>
      <c r="D272" s="133"/>
      <c r="E272" s="137"/>
      <c r="F272" s="137"/>
      <c r="H272" s="133"/>
      <c r="I272" s="137"/>
      <c r="J272" s="137"/>
      <c r="K272" s="134"/>
      <c r="L272" s="134"/>
      <c r="M272" s="137"/>
      <c r="N272" s="137"/>
    </row>
    <row r="273" spans="1:14" s="132" customFormat="1">
      <c r="A273" s="117"/>
      <c r="B273" s="137"/>
      <c r="C273" s="254"/>
      <c r="D273" s="133"/>
      <c r="E273" s="137"/>
      <c r="F273" s="137"/>
      <c r="H273" s="133"/>
      <c r="I273" s="137"/>
      <c r="J273" s="137"/>
      <c r="K273" s="134"/>
      <c r="L273" s="134"/>
      <c r="M273" s="137"/>
      <c r="N273" s="137"/>
    </row>
    <row r="274" spans="1:14" s="132" customFormat="1">
      <c r="A274" s="117"/>
      <c r="B274" s="137"/>
      <c r="C274" s="254"/>
      <c r="D274" s="133"/>
      <c r="E274" s="137"/>
      <c r="F274" s="137"/>
      <c r="H274" s="133"/>
      <c r="I274" s="137"/>
      <c r="J274" s="137"/>
      <c r="K274" s="134"/>
      <c r="L274" s="134"/>
      <c r="M274" s="137"/>
      <c r="N274" s="137"/>
    </row>
    <row r="275" spans="1:14" s="132" customFormat="1">
      <c r="A275" s="117"/>
      <c r="B275" s="137"/>
      <c r="C275" s="254"/>
      <c r="D275" s="133"/>
      <c r="E275" s="137"/>
      <c r="F275" s="137"/>
      <c r="H275" s="133"/>
      <c r="I275" s="137"/>
      <c r="J275" s="137"/>
      <c r="K275" s="134"/>
      <c r="L275" s="134"/>
      <c r="M275" s="137"/>
      <c r="N275" s="137"/>
    </row>
    <row r="276" spans="1:14" s="132" customFormat="1">
      <c r="A276" s="117"/>
      <c r="B276" s="137"/>
      <c r="C276" s="254"/>
      <c r="D276" s="133"/>
      <c r="E276" s="137"/>
      <c r="F276" s="137"/>
      <c r="H276" s="133"/>
      <c r="I276" s="137"/>
      <c r="J276" s="137"/>
      <c r="K276" s="134"/>
      <c r="L276" s="134"/>
      <c r="M276" s="137"/>
      <c r="N276" s="137"/>
    </row>
    <row r="277" spans="1:14" s="132" customFormat="1">
      <c r="A277" s="117"/>
      <c r="B277" s="137"/>
      <c r="C277" s="254"/>
      <c r="D277" s="133"/>
      <c r="E277" s="137"/>
      <c r="F277" s="137"/>
      <c r="H277" s="133"/>
      <c r="I277" s="137"/>
      <c r="J277" s="137"/>
      <c r="K277" s="134"/>
      <c r="L277" s="134"/>
      <c r="M277" s="137"/>
      <c r="N277" s="137"/>
    </row>
    <row r="278" spans="1:14" s="132" customFormat="1">
      <c r="A278" s="117"/>
      <c r="B278" s="137"/>
      <c r="C278" s="254"/>
      <c r="D278" s="133"/>
      <c r="E278" s="137"/>
      <c r="F278" s="137"/>
      <c r="H278" s="133"/>
      <c r="I278" s="137"/>
      <c r="J278" s="137"/>
      <c r="K278" s="134"/>
      <c r="L278" s="134"/>
      <c r="M278" s="137"/>
      <c r="N278" s="137"/>
    </row>
    <row r="279" spans="1:14" s="132" customFormat="1">
      <c r="A279" s="117"/>
      <c r="B279" s="137"/>
      <c r="C279" s="254"/>
      <c r="D279" s="133"/>
      <c r="E279" s="137"/>
      <c r="F279" s="137"/>
      <c r="H279" s="133"/>
      <c r="I279" s="137"/>
      <c r="J279" s="137"/>
      <c r="K279" s="134"/>
      <c r="L279" s="134"/>
      <c r="M279" s="137"/>
      <c r="N279" s="137"/>
    </row>
    <row r="280" spans="1:14" s="132" customFormat="1">
      <c r="A280" s="117"/>
      <c r="B280" s="137"/>
      <c r="C280" s="254"/>
      <c r="D280" s="133"/>
      <c r="E280" s="137"/>
      <c r="F280" s="137"/>
      <c r="H280" s="133"/>
      <c r="I280" s="137"/>
      <c r="J280" s="137"/>
      <c r="K280" s="134"/>
      <c r="L280" s="134"/>
      <c r="M280" s="137"/>
      <c r="N280" s="137"/>
    </row>
    <row r="281" spans="1:14">
      <c r="A281" s="117"/>
    </row>
    <row r="282" spans="1:14">
      <c r="A282" s="117"/>
    </row>
    <row r="283" spans="1:14">
      <c r="A283" s="117"/>
    </row>
    <row r="284" spans="1:14">
      <c r="A284" s="117"/>
    </row>
    <row r="285" spans="1:14">
      <c r="A285" s="117"/>
    </row>
    <row r="286" spans="1:14">
      <c r="A286" s="117"/>
    </row>
    <row r="287" spans="1:14">
      <c r="A287" s="117"/>
    </row>
    <row r="288" spans="1:14">
      <c r="A288" s="117"/>
    </row>
    <row r="289" spans="1:12">
      <c r="A289" s="117"/>
      <c r="C289" s="255"/>
      <c r="G289" s="137"/>
      <c r="H289" s="137"/>
      <c r="K289" s="137"/>
      <c r="L289" s="137"/>
    </row>
    <row r="290" spans="1:12">
      <c r="A290" s="117"/>
      <c r="C290" s="255"/>
      <c r="G290" s="137"/>
      <c r="H290" s="137"/>
      <c r="K290" s="137"/>
      <c r="L290" s="137"/>
    </row>
    <row r="291" spans="1:12">
      <c r="A291" s="117"/>
      <c r="C291" s="255"/>
      <c r="G291" s="137"/>
      <c r="H291" s="137"/>
      <c r="K291" s="137"/>
      <c r="L291" s="137"/>
    </row>
    <row r="292" spans="1:12">
      <c r="A292" s="117"/>
      <c r="C292" s="255"/>
      <c r="G292" s="137"/>
      <c r="H292" s="137"/>
      <c r="K292" s="137"/>
      <c r="L292" s="137"/>
    </row>
    <row r="293" spans="1:12">
      <c r="A293" s="117"/>
      <c r="C293" s="255"/>
      <c r="G293" s="137"/>
      <c r="H293" s="137"/>
      <c r="K293" s="137"/>
      <c r="L293" s="137"/>
    </row>
    <row r="294" spans="1:12">
      <c r="A294" s="117"/>
      <c r="C294" s="255"/>
      <c r="G294" s="137"/>
      <c r="H294" s="137"/>
      <c r="K294" s="137"/>
      <c r="L294" s="137"/>
    </row>
    <row r="295" spans="1:12">
      <c r="A295" s="117"/>
      <c r="C295" s="255"/>
      <c r="G295" s="137"/>
      <c r="H295" s="137"/>
      <c r="K295" s="137"/>
      <c r="L295" s="137"/>
    </row>
    <row r="296" spans="1:12">
      <c r="A296" s="117"/>
      <c r="C296" s="255"/>
      <c r="G296" s="137"/>
      <c r="H296" s="137"/>
      <c r="K296" s="137"/>
      <c r="L296" s="137"/>
    </row>
    <row r="297" spans="1:12">
      <c r="A297" s="117"/>
      <c r="C297" s="255"/>
      <c r="G297" s="137"/>
      <c r="H297" s="137"/>
      <c r="K297" s="137"/>
      <c r="L297" s="137"/>
    </row>
    <row r="298" spans="1:12">
      <c r="A298" s="117"/>
      <c r="C298" s="255"/>
      <c r="G298" s="137"/>
      <c r="H298" s="137"/>
      <c r="K298" s="137"/>
      <c r="L298" s="137"/>
    </row>
    <row r="299" spans="1:12">
      <c r="A299" s="117"/>
      <c r="C299" s="255"/>
      <c r="G299" s="137"/>
      <c r="H299" s="137"/>
      <c r="K299" s="137"/>
      <c r="L299" s="137"/>
    </row>
    <row r="300" spans="1:12">
      <c r="A300" s="117"/>
      <c r="C300" s="255"/>
      <c r="G300" s="137"/>
      <c r="H300" s="137"/>
      <c r="K300" s="137"/>
      <c r="L300" s="137"/>
    </row>
    <row r="301" spans="1:12">
      <c r="A301" s="117"/>
      <c r="C301" s="255"/>
      <c r="G301" s="137"/>
      <c r="H301" s="137"/>
      <c r="K301" s="137"/>
      <c r="L301" s="137"/>
    </row>
    <row r="302" spans="1:12">
      <c r="A302" s="117"/>
      <c r="C302" s="255"/>
      <c r="G302" s="137"/>
      <c r="H302" s="137"/>
      <c r="K302" s="137"/>
      <c r="L302" s="137"/>
    </row>
    <row r="303" spans="1:12">
      <c r="A303" s="117"/>
      <c r="C303" s="255"/>
      <c r="G303" s="137"/>
      <c r="H303" s="137"/>
      <c r="K303" s="137"/>
      <c r="L303" s="137"/>
    </row>
    <row r="304" spans="1:12">
      <c r="A304" s="117"/>
      <c r="C304" s="255"/>
      <c r="G304" s="137"/>
      <c r="H304" s="137"/>
      <c r="K304" s="137"/>
      <c r="L304" s="137"/>
    </row>
    <row r="305" spans="1:12">
      <c r="A305" s="117"/>
      <c r="C305" s="255"/>
      <c r="G305" s="137"/>
      <c r="H305" s="137"/>
      <c r="K305" s="137"/>
      <c r="L305" s="137"/>
    </row>
    <row r="306" spans="1:12">
      <c r="A306" s="117"/>
      <c r="C306" s="255"/>
      <c r="G306" s="137"/>
      <c r="H306" s="137"/>
      <c r="K306" s="137"/>
      <c r="L306" s="137"/>
    </row>
    <row r="307" spans="1:12">
      <c r="A307" s="117"/>
      <c r="C307" s="255"/>
      <c r="G307" s="137"/>
      <c r="H307" s="137"/>
      <c r="K307" s="137"/>
      <c r="L307" s="137"/>
    </row>
    <row r="308" spans="1:12">
      <c r="A308" s="117"/>
      <c r="C308" s="255"/>
      <c r="G308" s="137"/>
      <c r="H308" s="137"/>
      <c r="K308" s="137"/>
      <c r="L308" s="137"/>
    </row>
    <row r="309" spans="1:12">
      <c r="A309" s="117"/>
      <c r="C309" s="255"/>
      <c r="G309" s="137"/>
      <c r="H309" s="137"/>
      <c r="K309" s="137"/>
      <c r="L309" s="137"/>
    </row>
    <row r="310" spans="1:12">
      <c r="A310" s="117"/>
      <c r="C310" s="255"/>
      <c r="G310" s="137"/>
      <c r="H310" s="137"/>
      <c r="K310" s="137"/>
      <c r="L310" s="137"/>
    </row>
    <row r="311" spans="1:12">
      <c r="A311" s="117"/>
      <c r="C311" s="255"/>
      <c r="G311" s="137"/>
      <c r="H311" s="137"/>
      <c r="K311" s="137"/>
      <c r="L311" s="137"/>
    </row>
    <row r="312" spans="1:12">
      <c r="A312" s="117"/>
      <c r="C312" s="255"/>
      <c r="G312" s="137"/>
      <c r="H312" s="137"/>
      <c r="K312" s="137"/>
      <c r="L312" s="137"/>
    </row>
    <row r="313" spans="1:12">
      <c r="A313" s="117"/>
      <c r="C313" s="255"/>
      <c r="G313" s="137"/>
      <c r="H313" s="137"/>
      <c r="K313" s="137"/>
      <c r="L313" s="137"/>
    </row>
    <row r="314" spans="1:12">
      <c r="A314" s="117"/>
      <c r="C314" s="255"/>
      <c r="G314" s="137"/>
      <c r="H314" s="137"/>
      <c r="K314" s="137"/>
      <c r="L314" s="137"/>
    </row>
    <row r="315" spans="1:12">
      <c r="A315" s="117"/>
      <c r="C315" s="255"/>
      <c r="G315" s="137"/>
      <c r="H315" s="137"/>
      <c r="K315" s="137"/>
      <c r="L315" s="137"/>
    </row>
    <row r="316" spans="1:12">
      <c r="A316" s="117"/>
      <c r="C316" s="255"/>
      <c r="G316" s="137"/>
      <c r="H316" s="137"/>
      <c r="K316" s="137"/>
      <c r="L316" s="137"/>
    </row>
    <row r="317" spans="1:12">
      <c r="A317" s="117"/>
      <c r="C317" s="255"/>
      <c r="G317" s="137"/>
      <c r="H317" s="137"/>
      <c r="K317" s="137"/>
      <c r="L317" s="137"/>
    </row>
    <row r="318" spans="1:12">
      <c r="A318" s="117"/>
      <c r="C318" s="255"/>
      <c r="G318" s="137"/>
      <c r="H318" s="137"/>
      <c r="K318" s="137"/>
      <c r="L318" s="137"/>
    </row>
    <row r="319" spans="1:12">
      <c r="A319" s="117"/>
      <c r="C319" s="255"/>
      <c r="G319" s="137"/>
      <c r="H319" s="137"/>
      <c r="K319" s="137"/>
      <c r="L319" s="137"/>
    </row>
    <row r="320" spans="1:12">
      <c r="A320" s="117"/>
      <c r="C320" s="255"/>
      <c r="G320" s="137"/>
      <c r="H320" s="137"/>
      <c r="K320" s="137"/>
      <c r="L320" s="137"/>
    </row>
    <row r="321" spans="1:12">
      <c r="A321" s="117"/>
      <c r="C321" s="255"/>
      <c r="G321" s="137"/>
      <c r="H321" s="137"/>
      <c r="K321" s="137"/>
      <c r="L321" s="137"/>
    </row>
    <row r="322" spans="1:12">
      <c r="A322" s="117"/>
      <c r="C322" s="255"/>
      <c r="G322" s="137"/>
      <c r="H322" s="137"/>
      <c r="K322" s="137"/>
      <c r="L322" s="137"/>
    </row>
    <row r="323" spans="1:12">
      <c r="A323" s="117"/>
      <c r="C323" s="255"/>
      <c r="G323" s="137"/>
      <c r="H323" s="137"/>
      <c r="K323" s="137"/>
      <c r="L323" s="137"/>
    </row>
    <row r="324" spans="1:12">
      <c r="A324" s="117"/>
      <c r="C324" s="255"/>
      <c r="G324" s="137"/>
      <c r="H324" s="137"/>
      <c r="K324" s="137"/>
      <c r="L324" s="137"/>
    </row>
    <row r="325" spans="1:12">
      <c r="A325" s="117"/>
      <c r="C325" s="255"/>
      <c r="G325" s="137"/>
      <c r="H325" s="137"/>
      <c r="K325" s="137"/>
      <c r="L325" s="137"/>
    </row>
    <row r="326" spans="1:12">
      <c r="A326" s="117"/>
      <c r="C326" s="255"/>
      <c r="G326" s="137"/>
      <c r="H326" s="137"/>
      <c r="K326" s="137"/>
      <c r="L326" s="137"/>
    </row>
    <row r="327" spans="1:12">
      <c r="A327" s="117"/>
      <c r="C327" s="255"/>
      <c r="G327" s="137"/>
      <c r="H327" s="137"/>
      <c r="K327" s="137"/>
      <c r="L327" s="137"/>
    </row>
    <row r="328" spans="1:12">
      <c r="A328" s="117"/>
      <c r="C328" s="255"/>
      <c r="G328" s="137"/>
      <c r="H328" s="137"/>
      <c r="K328" s="137"/>
      <c r="L328" s="137"/>
    </row>
    <row r="329" spans="1:12">
      <c r="A329" s="117"/>
      <c r="C329" s="255"/>
      <c r="G329" s="137"/>
      <c r="H329" s="137"/>
      <c r="K329" s="137"/>
      <c r="L329" s="137"/>
    </row>
    <row r="330" spans="1:12">
      <c r="A330" s="117"/>
      <c r="C330" s="255"/>
      <c r="G330" s="137"/>
      <c r="H330" s="137"/>
      <c r="K330" s="137"/>
      <c r="L330" s="137"/>
    </row>
    <row r="331" spans="1:12">
      <c r="A331" s="117"/>
      <c r="C331" s="255"/>
      <c r="G331" s="137"/>
      <c r="H331" s="137"/>
      <c r="K331" s="137"/>
      <c r="L331" s="137"/>
    </row>
    <row r="332" spans="1:12">
      <c r="A332" s="117"/>
      <c r="C332" s="255"/>
      <c r="G332" s="137"/>
      <c r="H332" s="137"/>
      <c r="K332" s="137"/>
      <c r="L332" s="137"/>
    </row>
    <row r="333" spans="1:12">
      <c r="A333" s="117"/>
      <c r="C333" s="255"/>
      <c r="G333" s="137"/>
      <c r="H333" s="137"/>
      <c r="K333" s="137"/>
      <c r="L333" s="137"/>
    </row>
    <row r="334" spans="1:12">
      <c r="A334" s="117"/>
      <c r="C334" s="255"/>
      <c r="G334" s="137"/>
      <c r="H334" s="137"/>
      <c r="K334" s="137"/>
      <c r="L334" s="137"/>
    </row>
    <row r="335" spans="1:12">
      <c r="A335" s="117"/>
      <c r="C335" s="255"/>
      <c r="G335" s="137"/>
      <c r="H335" s="137"/>
      <c r="K335" s="137"/>
      <c r="L335" s="137"/>
    </row>
    <row r="336" spans="1:12">
      <c r="A336" s="117"/>
      <c r="C336" s="255"/>
      <c r="G336" s="137"/>
      <c r="H336" s="137"/>
      <c r="K336" s="137"/>
      <c r="L336" s="137"/>
    </row>
    <row r="337" spans="1:12">
      <c r="A337" s="117"/>
      <c r="C337" s="255"/>
      <c r="G337" s="137"/>
      <c r="H337" s="137"/>
      <c r="K337" s="137"/>
      <c r="L337" s="137"/>
    </row>
    <row r="338" spans="1:12">
      <c r="A338" s="117"/>
      <c r="C338" s="255"/>
      <c r="G338" s="137"/>
      <c r="H338" s="137"/>
      <c r="K338" s="137"/>
      <c r="L338" s="137"/>
    </row>
    <row r="339" spans="1:12">
      <c r="A339" s="117"/>
      <c r="C339" s="255"/>
      <c r="G339" s="137"/>
      <c r="H339" s="137"/>
      <c r="K339" s="137"/>
      <c r="L339" s="137"/>
    </row>
    <row r="340" spans="1:12">
      <c r="A340" s="117"/>
      <c r="C340" s="255"/>
      <c r="G340" s="137"/>
      <c r="H340" s="137"/>
      <c r="K340" s="137"/>
      <c r="L340" s="137"/>
    </row>
    <row r="341" spans="1:12">
      <c r="A341" s="117"/>
      <c r="C341" s="255"/>
      <c r="G341" s="137"/>
      <c r="H341" s="137"/>
      <c r="K341" s="137"/>
      <c r="L341" s="137"/>
    </row>
    <row r="342" spans="1:12">
      <c r="A342" s="117"/>
      <c r="C342" s="255"/>
      <c r="G342" s="137"/>
      <c r="H342" s="137"/>
      <c r="K342" s="137"/>
      <c r="L342" s="137"/>
    </row>
    <row r="343" spans="1:12">
      <c r="A343" s="117"/>
      <c r="C343" s="255"/>
      <c r="G343" s="137"/>
      <c r="H343" s="137"/>
      <c r="K343" s="137"/>
      <c r="L343" s="137"/>
    </row>
    <row r="344" spans="1:12">
      <c r="A344" s="117"/>
      <c r="C344" s="255"/>
      <c r="G344" s="137"/>
      <c r="H344" s="137"/>
      <c r="K344" s="137"/>
      <c r="L344" s="137"/>
    </row>
    <row r="345" spans="1:12">
      <c r="A345" s="117"/>
      <c r="C345" s="255"/>
      <c r="G345" s="137"/>
      <c r="H345" s="137"/>
      <c r="K345" s="137"/>
      <c r="L345" s="137"/>
    </row>
    <row r="346" spans="1:12">
      <c r="A346" s="117"/>
      <c r="C346" s="255"/>
      <c r="G346" s="137"/>
      <c r="H346" s="137"/>
      <c r="K346" s="137"/>
      <c r="L346" s="137"/>
    </row>
    <row r="347" spans="1:12">
      <c r="A347" s="117"/>
      <c r="C347" s="255"/>
      <c r="G347" s="137"/>
      <c r="H347" s="137"/>
      <c r="K347" s="137"/>
      <c r="L347" s="137"/>
    </row>
    <row r="348" spans="1:12">
      <c r="A348" s="117"/>
      <c r="C348" s="255"/>
      <c r="G348" s="137"/>
      <c r="H348" s="137"/>
      <c r="K348" s="137"/>
      <c r="L348" s="137"/>
    </row>
    <row r="349" spans="1:12">
      <c r="A349" s="117"/>
      <c r="C349" s="255"/>
      <c r="G349" s="137"/>
      <c r="H349" s="137"/>
      <c r="K349" s="137"/>
      <c r="L349" s="137"/>
    </row>
    <row r="350" spans="1:12">
      <c r="A350" s="117"/>
      <c r="C350" s="255"/>
      <c r="G350" s="137"/>
      <c r="H350" s="137"/>
      <c r="K350" s="137"/>
      <c r="L350" s="137"/>
    </row>
    <row r="351" spans="1:12">
      <c r="A351" s="117"/>
      <c r="C351" s="255"/>
      <c r="G351" s="137"/>
      <c r="H351" s="137"/>
      <c r="K351" s="137"/>
      <c r="L351" s="137"/>
    </row>
    <row r="352" spans="1:12">
      <c r="A352" s="117"/>
      <c r="C352" s="255"/>
      <c r="G352" s="137"/>
      <c r="H352" s="137"/>
      <c r="K352" s="137"/>
      <c r="L352" s="137"/>
    </row>
    <row r="353" spans="1:12">
      <c r="A353" s="117"/>
      <c r="C353" s="255"/>
      <c r="G353" s="137"/>
      <c r="H353" s="137"/>
      <c r="K353" s="137"/>
      <c r="L353" s="137"/>
    </row>
    <row r="354" spans="1:12">
      <c r="A354" s="117"/>
      <c r="C354" s="255"/>
      <c r="G354" s="137"/>
      <c r="H354" s="137"/>
      <c r="K354" s="137"/>
      <c r="L354" s="137"/>
    </row>
    <row r="355" spans="1:12">
      <c r="A355" s="117"/>
      <c r="C355" s="255"/>
      <c r="G355" s="137"/>
      <c r="H355" s="137"/>
      <c r="K355" s="137"/>
      <c r="L355" s="137"/>
    </row>
    <row r="356" spans="1:12">
      <c r="A356" s="117"/>
      <c r="C356" s="255"/>
      <c r="G356" s="137"/>
      <c r="H356" s="137"/>
      <c r="K356" s="137"/>
      <c r="L356" s="137"/>
    </row>
    <row r="357" spans="1:12">
      <c r="A357" s="117"/>
      <c r="C357" s="255"/>
      <c r="G357" s="137"/>
      <c r="H357" s="137"/>
      <c r="K357" s="137"/>
      <c r="L357" s="137"/>
    </row>
    <row r="358" spans="1:12">
      <c r="A358" s="117"/>
      <c r="C358" s="255"/>
      <c r="G358" s="137"/>
      <c r="H358" s="137"/>
      <c r="K358" s="137"/>
      <c r="L358" s="137"/>
    </row>
    <row r="359" spans="1:12">
      <c r="A359" s="117"/>
      <c r="C359" s="255"/>
      <c r="G359" s="137"/>
      <c r="H359" s="137"/>
      <c r="K359" s="137"/>
      <c r="L359" s="137"/>
    </row>
    <row r="360" spans="1:12">
      <c r="A360" s="117"/>
      <c r="C360" s="255"/>
      <c r="G360" s="137"/>
      <c r="H360" s="137"/>
      <c r="K360" s="137"/>
      <c r="L360" s="137"/>
    </row>
    <row r="361" spans="1:12">
      <c r="A361" s="117"/>
      <c r="C361" s="255"/>
      <c r="G361" s="137"/>
      <c r="H361" s="137"/>
      <c r="K361" s="137"/>
      <c r="L361" s="137"/>
    </row>
    <row r="362" spans="1:12">
      <c r="A362" s="117"/>
      <c r="C362" s="255"/>
      <c r="G362" s="137"/>
      <c r="H362" s="137"/>
      <c r="K362" s="137"/>
      <c r="L362" s="137"/>
    </row>
    <row r="363" spans="1:12">
      <c r="A363" s="117"/>
      <c r="C363" s="255"/>
      <c r="G363" s="137"/>
      <c r="H363" s="137"/>
      <c r="K363" s="137"/>
      <c r="L363" s="137"/>
    </row>
    <row r="364" spans="1:12">
      <c r="A364" s="117"/>
      <c r="C364" s="255"/>
      <c r="G364" s="137"/>
      <c r="H364" s="137"/>
      <c r="K364" s="137"/>
      <c r="L364" s="137"/>
    </row>
    <row r="365" spans="1:12">
      <c r="A365" s="117"/>
      <c r="C365" s="255"/>
      <c r="G365" s="137"/>
      <c r="H365" s="137"/>
      <c r="K365" s="137"/>
      <c r="L365" s="137"/>
    </row>
    <row r="366" spans="1:12">
      <c r="A366" s="117"/>
      <c r="C366" s="255"/>
      <c r="G366" s="137"/>
      <c r="H366" s="137"/>
      <c r="K366" s="137"/>
      <c r="L366" s="137"/>
    </row>
    <row r="367" spans="1:12">
      <c r="A367" s="117"/>
      <c r="C367" s="255"/>
      <c r="G367" s="137"/>
      <c r="H367" s="137"/>
      <c r="K367" s="137"/>
      <c r="L367" s="137"/>
    </row>
    <row r="368" spans="1:12">
      <c r="A368" s="117"/>
      <c r="C368" s="255"/>
      <c r="G368" s="137"/>
      <c r="H368" s="137"/>
      <c r="K368" s="137"/>
      <c r="L368" s="137"/>
    </row>
    <row r="369" spans="1:12">
      <c r="A369" s="117"/>
      <c r="C369" s="255"/>
      <c r="G369" s="137"/>
      <c r="H369" s="137"/>
      <c r="K369" s="137"/>
      <c r="L369" s="137"/>
    </row>
    <row r="370" spans="1:12">
      <c r="A370" s="117"/>
      <c r="C370" s="255"/>
      <c r="G370" s="137"/>
      <c r="H370" s="137"/>
      <c r="K370" s="137"/>
      <c r="L370" s="137"/>
    </row>
    <row r="371" spans="1:12">
      <c r="A371" s="117"/>
      <c r="C371" s="255"/>
      <c r="G371" s="137"/>
      <c r="H371" s="137"/>
      <c r="K371" s="137"/>
      <c r="L371" s="137"/>
    </row>
  </sheetData>
  <mergeCells count="16">
    <mergeCell ref="C258:E258"/>
    <mergeCell ref="A1:M1"/>
    <mergeCell ref="A2:M2"/>
    <mergeCell ref="K3:M3"/>
    <mergeCell ref="A4:A5"/>
    <mergeCell ref="B4:B5"/>
    <mergeCell ref="C4:F4"/>
    <mergeCell ref="G4:J4"/>
    <mergeCell ref="K4:L4"/>
    <mergeCell ref="M4:M5"/>
    <mergeCell ref="C5:D5"/>
    <mergeCell ref="G5:H5"/>
    <mergeCell ref="C6:D6"/>
    <mergeCell ref="G6:H6"/>
    <mergeCell ref="C256:E256"/>
    <mergeCell ref="C257:E257"/>
  </mergeCells>
  <printOptions horizontalCentered="1"/>
  <pageMargins left="0.23622047244094499" right="0.15748031496063" top="0.25" bottom="0.34" header="0.22" footer="0.23622047244094499"/>
  <pageSetup paperSize="9" orientation="landscape" errors="blank" r:id="rId1"/>
  <headerFooter alignWithMargins="0"/>
  <rowBreaks count="1" manualBreakCount="1">
    <brk id="253" max="12" man="1"/>
  </rowBreaks>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sheetPr>
    <tabColor rgb="FF00B0F0"/>
  </sheetPr>
  <dimension ref="A1:X164"/>
  <sheetViews>
    <sheetView showZeros="0" view="pageBreakPreview" topLeftCell="A38" zoomScale="115" zoomScaleSheetLayoutView="115" workbookViewId="0">
      <selection activeCell="F49" sqref="F49"/>
    </sheetView>
  </sheetViews>
  <sheetFormatPr defaultRowHeight="12.75"/>
  <cols>
    <col min="1" max="1" width="5.140625" style="137" customWidth="1"/>
    <col min="2" max="2" width="42.42578125" style="137" customWidth="1"/>
    <col min="3" max="3" width="8.28515625" style="254" customWidth="1"/>
    <col min="4" max="4" width="5.140625" style="133" customWidth="1"/>
    <col min="5" max="5" width="9" style="137" customWidth="1"/>
    <col min="6" max="6" width="12.28515625" style="137" customWidth="1"/>
    <col min="7" max="7" width="8.140625" style="132" customWidth="1"/>
    <col min="8" max="8" width="4.7109375" style="133" customWidth="1"/>
    <col min="9" max="9" width="9.42578125" style="137" bestFit="1" customWidth="1"/>
    <col min="10" max="10" width="10.42578125" style="137" customWidth="1"/>
    <col min="11" max="12" width="11" style="134" customWidth="1"/>
    <col min="13" max="13" width="7.85546875" style="137" customWidth="1"/>
    <col min="14" max="14" width="9.28515625" style="137" bestFit="1" customWidth="1"/>
    <col min="15" max="16" width="10.42578125" style="137" bestFit="1" customWidth="1"/>
    <col min="17" max="16384" width="9.140625" style="137"/>
  </cols>
  <sheetData>
    <row r="1" spans="1:24" ht="19.5" customHeight="1">
      <c r="A1" s="1017" t="s">
        <v>1910</v>
      </c>
      <c r="B1" s="1018"/>
      <c r="C1" s="1018"/>
      <c r="D1" s="1018"/>
      <c r="E1" s="1018"/>
      <c r="F1" s="1018"/>
      <c r="G1" s="1018"/>
      <c r="H1" s="1018"/>
      <c r="I1" s="1018"/>
      <c r="J1" s="1018"/>
      <c r="K1" s="1018"/>
      <c r="L1" s="1019"/>
      <c r="M1" s="1019"/>
    </row>
    <row r="2" spans="1:24" ht="36.75" customHeight="1">
      <c r="A2" s="1020" t="str">
        <f>'lead 25-26'!B2&amp;'lead 25-26'!C2</f>
        <v>Name of the Work: Construction of Community Hall at Chakirala village and  GP of Kanigiri  Mandal.</v>
      </c>
      <c r="B2" s="1020"/>
      <c r="C2" s="1020"/>
      <c r="D2" s="1020"/>
      <c r="E2" s="1020"/>
      <c r="F2" s="1020"/>
      <c r="G2" s="1020"/>
      <c r="H2" s="1020"/>
      <c r="I2" s="1020"/>
      <c r="J2" s="1020"/>
      <c r="K2" s="1020"/>
      <c r="L2" s="1020"/>
      <c r="M2" s="1020"/>
    </row>
    <row r="3" spans="1:24">
      <c r="A3" s="347"/>
      <c r="B3" s="348"/>
      <c r="C3" s="349"/>
      <c r="D3" s="350"/>
      <c r="E3" s="351"/>
      <c r="F3" s="348"/>
      <c r="G3" s="352"/>
      <c r="H3" s="350"/>
      <c r="I3" s="351"/>
      <c r="J3" s="348" t="s">
        <v>443</v>
      </c>
      <c r="K3" s="1021" t="str">
        <f>'lead 25-26'!K4</f>
        <v>20.00 Lakhs</v>
      </c>
      <c r="L3" s="1022"/>
      <c r="M3" s="1022"/>
    </row>
    <row r="4" spans="1:24" ht="19.5" customHeight="1">
      <c r="A4" s="1023" t="s">
        <v>266</v>
      </c>
      <c r="B4" s="1023" t="s">
        <v>7</v>
      </c>
      <c r="C4" s="1023" t="s">
        <v>559</v>
      </c>
      <c r="D4" s="1023"/>
      <c r="E4" s="1024"/>
      <c r="F4" s="1024"/>
      <c r="G4" s="1023" t="s">
        <v>1911</v>
      </c>
      <c r="H4" s="1023"/>
      <c r="I4" s="1024"/>
      <c r="J4" s="1024"/>
      <c r="K4" s="1023" t="s">
        <v>444</v>
      </c>
      <c r="L4" s="1024"/>
      <c r="M4" s="1023" t="s">
        <v>445</v>
      </c>
    </row>
    <row r="5" spans="1:24" ht="15.75" customHeight="1">
      <c r="A5" s="1023"/>
      <c r="B5" s="1023"/>
      <c r="C5" s="1023" t="s">
        <v>446</v>
      </c>
      <c r="D5" s="1023"/>
      <c r="E5" s="411" t="s">
        <v>447</v>
      </c>
      <c r="F5" s="411" t="s">
        <v>10</v>
      </c>
      <c r="G5" s="1023" t="s">
        <v>446</v>
      </c>
      <c r="H5" s="1023"/>
      <c r="I5" s="411" t="s">
        <v>447</v>
      </c>
      <c r="J5" s="411" t="s">
        <v>10</v>
      </c>
      <c r="K5" s="411" t="s">
        <v>448</v>
      </c>
      <c r="L5" s="411" t="s">
        <v>449</v>
      </c>
      <c r="M5" s="1023"/>
    </row>
    <row r="6" spans="1:24" ht="16.5" customHeight="1">
      <c r="A6" s="411" t="s">
        <v>450</v>
      </c>
      <c r="B6" s="411" t="s">
        <v>451</v>
      </c>
      <c r="C6" s="1023" t="s">
        <v>452</v>
      </c>
      <c r="D6" s="1023"/>
      <c r="E6" s="411" t="s">
        <v>453</v>
      </c>
      <c r="F6" s="411" t="s">
        <v>454</v>
      </c>
      <c r="G6" s="1023" t="s">
        <v>455</v>
      </c>
      <c r="H6" s="1023"/>
      <c r="I6" s="411" t="s">
        <v>456</v>
      </c>
      <c r="J6" s="411" t="s">
        <v>457</v>
      </c>
      <c r="K6" s="411" t="s">
        <v>458</v>
      </c>
      <c r="L6" s="411" t="s">
        <v>320</v>
      </c>
      <c r="M6" s="411" t="s">
        <v>459</v>
      </c>
    </row>
    <row r="7" spans="1:24" s="117" customFormat="1" ht="20.25" customHeight="1">
      <c r="A7" s="112"/>
      <c r="B7" s="113" t="s">
        <v>487</v>
      </c>
      <c r="C7" s="214"/>
      <c r="D7" s="257"/>
      <c r="E7" s="15"/>
      <c r="F7" s="18"/>
      <c r="G7" s="119"/>
      <c r="H7" s="257"/>
      <c r="I7" s="138"/>
      <c r="J7" s="18">
        <f t="shared" ref="J7" si="0">ROUND(G7*I7,0)</f>
        <v>0</v>
      </c>
      <c r="K7" s="116">
        <f t="shared" ref="K7" si="1">IF(J7&gt;F7,J7-F7,0)</f>
        <v>0</v>
      </c>
      <c r="L7" s="116">
        <f t="shared" ref="L7" si="2">IF(J7&lt;F7,F7-J7,0)</f>
        <v>0</v>
      </c>
      <c r="M7" s="112" t="s">
        <v>15</v>
      </c>
      <c r="N7" s="256">
        <f t="shared" ref="N7" si="3">E7-I7</f>
        <v>0</v>
      </c>
      <c r="S7" s="117">
        <v>0</v>
      </c>
      <c r="U7" s="215">
        <f t="shared" ref="U7:U9" si="4">J7-S7</f>
        <v>0</v>
      </c>
      <c r="X7" s="215">
        <f t="shared" ref="X7:X9" si="5">G7-W7</f>
        <v>0</v>
      </c>
    </row>
    <row r="8" spans="1:24" s="117" customFormat="1" ht="20.25" customHeight="1">
      <c r="A8" s="112" t="s">
        <v>450</v>
      </c>
      <c r="B8" s="118" t="s">
        <v>1250</v>
      </c>
      <c r="C8" s="414">
        <f>G8</f>
        <v>0</v>
      </c>
      <c r="D8" s="415" t="s">
        <v>102</v>
      </c>
      <c r="E8" s="329">
        <f>I8</f>
        <v>421.37</v>
      </c>
      <c r="F8" s="18">
        <f t="shared" ref="F8" si="6">ROUND(C8*E8,0)</f>
        <v>0</v>
      </c>
      <c r="G8" s="119">
        <f>ESTIMATE!I526</f>
        <v>0</v>
      </c>
      <c r="H8" s="121" t="s">
        <v>102</v>
      </c>
      <c r="I8" s="138">
        <f>ESTIMATE!K526</f>
        <v>421.37</v>
      </c>
      <c r="J8" s="18">
        <f>ROUND(G8*I8,2)</f>
        <v>0</v>
      </c>
      <c r="K8" s="116">
        <f t="shared" ref="K8:K17" si="7">IF(J8&gt;F8,J8-F8,0)</f>
        <v>0</v>
      </c>
      <c r="L8" s="116">
        <f t="shared" ref="L8:L17" si="8">IF(J8&lt;F8,F8-J8,0)</f>
        <v>0</v>
      </c>
      <c r="M8" s="112" t="s">
        <v>15</v>
      </c>
      <c r="N8" s="256">
        <f t="shared" ref="N8:N17" si="9">E8-I8</f>
        <v>0</v>
      </c>
      <c r="S8" s="117">
        <v>43353</v>
      </c>
      <c r="U8" s="215">
        <f t="shared" si="4"/>
        <v>-43353</v>
      </c>
      <c r="W8" s="117">
        <v>117.23</v>
      </c>
      <c r="X8" s="215">
        <f t="shared" si="5"/>
        <v>-117.23</v>
      </c>
    </row>
    <row r="9" spans="1:24" s="117" customFormat="1" ht="20.25" customHeight="1">
      <c r="A9" s="112" t="s">
        <v>451</v>
      </c>
      <c r="B9" s="118" t="s">
        <v>787</v>
      </c>
      <c r="C9" s="414">
        <f t="shared" ref="C9:C17" si="10">G9</f>
        <v>0</v>
      </c>
      <c r="D9" s="415" t="s">
        <v>102</v>
      </c>
      <c r="E9" s="329">
        <f t="shared" ref="E9:E17" si="11">I9</f>
        <v>540.96</v>
      </c>
      <c r="F9" s="18">
        <f t="shared" ref="F9" si="12">ROUND(C9*E9,0)</f>
        <v>0</v>
      </c>
      <c r="G9" s="119">
        <f>ESTIMATE!I664</f>
        <v>0</v>
      </c>
      <c r="H9" s="114" t="s">
        <v>102</v>
      </c>
      <c r="I9" s="138">
        <f>ESTIMATE!K664</f>
        <v>540.96</v>
      </c>
      <c r="J9" s="18">
        <f t="shared" ref="J9:J17" si="13">ROUND(G9*I9,2)</f>
        <v>0</v>
      </c>
      <c r="K9" s="116">
        <f t="shared" si="7"/>
        <v>0</v>
      </c>
      <c r="L9" s="116">
        <f t="shared" si="8"/>
        <v>0</v>
      </c>
      <c r="M9" s="112" t="s">
        <v>15</v>
      </c>
      <c r="N9" s="256">
        <f t="shared" si="9"/>
        <v>0</v>
      </c>
      <c r="S9" s="117">
        <v>73418</v>
      </c>
      <c r="U9" s="215">
        <f t="shared" si="4"/>
        <v>-73418</v>
      </c>
      <c r="W9" s="117" t="s">
        <v>950</v>
      </c>
      <c r="X9" s="215">
        <f t="shared" si="5"/>
        <v>-281.20999999999998</v>
      </c>
    </row>
    <row r="10" spans="1:24" s="117" customFormat="1" ht="20.25" customHeight="1">
      <c r="A10" s="112" t="s">
        <v>452</v>
      </c>
      <c r="B10" s="118" t="s">
        <v>495</v>
      </c>
      <c r="C10" s="414">
        <f t="shared" si="10"/>
        <v>0</v>
      </c>
      <c r="D10" s="415" t="s">
        <v>102</v>
      </c>
      <c r="E10" s="329">
        <f t="shared" si="11"/>
        <v>1305.71</v>
      </c>
      <c r="F10" s="18">
        <f t="shared" ref="F10:F11" si="14">ROUND(C10*E10,0)</f>
        <v>0</v>
      </c>
      <c r="G10" s="119">
        <f>ESTIMATE!I686</f>
        <v>0</v>
      </c>
      <c r="H10" s="114" t="s">
        <v>102</v>
      </c>
      <c r="I10" s="138">
        <f>ESTIMATE!K686</f>
        <v>1305.71</v>
      </c>
      <c r="J10" s="18">
        <f t="shared" si="13"/>
        <v>0</v>
      </c>
      <c r="K10" s="116">
        <f t="shared" si="7"/>
        <v>0</v>
      </c>
      <c r="L10" s="116">
        <f t="shared" si="8"/>
        <v>0</v>
      </c>
      <c r="M10" s="112" t="s">
        <v>15</v>
      </c>
      <c r="N10" s="256">
        <f t="shared" si="9"/>
        <v>0</v>
      </c>
      <c r="S10" s="117">
        <v>105936</v>
      </c>
      <c r="U10" s="215">
        <f t="shared" ref="U10:U24" si="15">J10-S10</f>
        <v>-105936</v>
      </c>
      <c r="W10" s="117">
        <v>105.51</v>
      </c>
      <c r="X10" s="215">
        <f t="shared" ref="X10:X24" si="16">G10-W10</f>
        <v>-105.51</v>
      </c>
    </row>
    <row r="11" spans="1:24" s="117" customFormat="1" ht="20.25" customHeight="1">
      <c r="A11" s="112" t="s">
        <v>453</v>
      </c>
      <c r="B11" s="118" t="s">
        <v>497</v>
      </c>
      <c r="C11" s="414">
        <f t="shared" si="10"/>
        <v>0</v>
      </c>
      <c r="D11" s="415" t="s">
        <v>102</v>
      </c>
      <c r="E11" s="329">
        <f t="shared" si="11"/>
        <v>1301.5999999999999</v>
      </c>
      <c r="F11" s="18">
        <f t="shared" si="14"/>
        <v>0</v>
      </c>
      <c r="G11" s="119">
        <f>ESTIMATE!I701</f>
        <v>0</v>
      </c>
      <c r="H11" s="114" t="s">
        <v>102</v>
      </c>
      <c r="I11" s="138">
        <f>ESTIMATE!K701</f>
        <v>1301.5999999999999</v>
      </c>
      <c r="J11" s="18">
        <f t="shared" si="13"/>
        <v>0</v>
      </c>
      <c r="K11" s="116">
        <f t="shared" si="7"/>
        <v>0</v>
      </c>
      <c r="L11" s="116">
        <f t="shared" si="8"/>
        <v>0</v>
      </c>
      <c r="M11" s="112" t="s">
        <v>15</v>
      </c>
      <c r="N11" s="256">
        <f t="shared" si="9"/>
        <v>0</v>
      </c>
      <c r="S11" s="117">
        <v>9527</v>
      </c>
      <c r="U11" s="215">
        <f>J11-S11</f>
        <v>-9527</v>
      </c>
      <c r="W11" s="117">
        <v>9.4400000000000013</v>
      </c>
      <c r="X11" s="215">
        <f>G11-W11</f>
        <v>-9.4400000000000013</v>
      </c>
    </row>
    <row r="12" spans="1:24" s="117" customFormat="1" ht="20.25" customHeight="1">
      <c r="A12" s="112" t="s">
        <v>454</v>
      </c>
      <c r="B12" s="118" t="s">
        <v>499</v>
      </c>
      <c r="C12" s="414">
        <f t="shared" si="10"/>
        <v>0</v>
      </c>
      <c r="D12" s="415" t="s">
        <v>102</v>
      </c>
      <c r="E12" s="329">
        <f t="shared" si="11"/>
        <v>1033.07</v>
      </c>
      <c r="F12" s="18">
        <f t="shared" ref="F12:F13" si="17">ROUND(C12*E12,0)</f>
        <v>0</v>
      </c>
      <c r="G12" s="119">
        <f>ESTIMATE!I744</f>
        <v>0</v>
      </c>
      <c r="H12" s="114" t="s">
        <v>102</v>
      </c>
      <c r="I12" s="138">
        <f>ESTIMATE!K744</f>
        <v>1033.07</v>
      </c>
      <c r="J12" s="18">
        <f t="shared" si="13"/>
        <v>0</v>
      </c>
      <c r="K12" s="116">
        <f t="shared" si="7"/>
        <v>0</v>
      </c>
      <c r="L12" s="116">
        <f t="shared" si="8"/>
        <v>0</v>
      </c>
      <c r="M12" s="112" t="s">
        <v>15</v>
      </c>
      <c r="N12" s="256">
        <f t="shared" si="9"/>
        <v>0</v>
      </c>
      <c r="S12" s="117">
        <v>6476</v>
      </c>
      <c r="U12" s="215">
        <f t="shared" si="15"/>
        <v>-6476</v>
      </c>
      <c r="W12" s="117">
        <v>9.24</v>
      </c>
      <c r="X12" s="215">
        <f t="shared" si="16"/>
        <v>-9.24</v>
      </c>
    </row>
    <row r="13" spans="1:24" s="117" customFormat="1" ht="20.25" customHeight="1">
      <c r="A13" s="112" t="s">
        <v>455</v>
      </c>
      <c r="B13" s="118" t="s">
        <v>560</v>
      </c>
      <c r="C13" s="414">
        <f t="shared" si="10"/>
        <v>0</v>
      </c>
      <c r="D13" s="415" t="s">
        <v>102</v>
      </c>
      <c r="E13" s="329">
        <f t="shared" si="11"/>
        <v>519.35</v>
      </c>
      <c r="F13" s="18">
        <f t="shared" si="17"/>
        <v>0</v>
      </c>
      <c r="G13" s="119">
        <f>ESTIMATE!I750</f>
        <v>0</v>
      </c>
      <c r="H13" s="114" t="s">
        <v>102</v>
      </c>
      <c r="I13" s="138">
        <f>ESTIMATE!K750</f>
        <v>519.35</v>
      </c>
      <c r="J13" s="18">
        <f t="shared" si="13"/>
        <v>0</v>
      </c>
      <c r="K13" s="116">
        <f t="shared" si="7"/>
        <v>0</v>
      </c>
      <c r="L13" s="116">
        <f t="shared" si="8"/>
        <v>0</v>
      </c>
      <c r="M13" s="112" t="s">
        <v>15</v>
      </c>
      <c r="N13" s="256">
        <f t="shared" si="9"/>
        <v>0</v>
      </c>
      <c r="S13" s="117">
        <v>20815</v>
      </c>
      <c r="U13" s="215">
        <f t="shared" si="15"/>
        <v>-20815</v>
      </c>
      <c r="W13" s="117">
        <v>42.84</v>
      </c>
      <c r="X13" s="215">
        <f t="shared" si="16"/>
        <v>-42.84</v>
      </c>
    </row>
    <row r="14" spans="1:24" s="117" customFormat="1" ht="20.25" customHeight="1">
      <c r="A14" s="112" t="s">
        <v>456</v>
      </c>
      <c r="B14" s="118" t="s">
        <v>842</v>
      </c>
      <c r="C14" s="414">
        <f t="shared" si="10"/>
        <v>0</v>
      </c>
      <c r="D14" s="263" t="s">
        <v>102</v>
      </c>
      <c r="E14" s="329">
        <f t="shared" si="11"/>
        <v>182.77</v>
      </c>
      <c r="F14" s="18">
        <f t="shared" ref="F14:F17" si="18">ROUND(C14*E14,0)</f>
        <v>0</v>
      </c>
      <c r="G14" s="119">
        <f>ESTIMATE!I815</f>
        <v>0</v>
      </c>
      <c r="H14" s="114" t="s">
        <v>102</v>
      </c>
      <c r="I14" s="138">
        <f>ESTIMATE!K815</f>
        <v>182.77</v>
      </c>
      <c r="J14" s="18">
        <f t="shared" si="13"/>
        <v>0</v>
      </c>
      <c r="K14" s="116">
        <f t="shared" si="7"/>
        <v>0</v>
      </c>
      <c r="L14" s="116">
        <f t="shared" si="8"/>
        <v>0</v>
      </c>
      <c r="M14" s="112" t="s">
        <v>15</v>
      </c>
      <c r="N14" s="256">
        <f t="shared" si="9"/>
        <v>0</v>
      </c>
      <c r="S14" s="117">
        <v>68284</v>
      </c>
      <c r="U14" s="215">
        <f t="shared" si="15"/>
        <v>-68284</v>
      </c>
      <c r="W14" s="117">
        <v>436.56999999999994</v>
      </c>
      <c r="X14" s="215">
        <f t="shared" si="16"/>
        <v>-436.56999999999994</v>
      </c>
    </row>
    <row r="15" spans="1:24" s="117" customFormat="1" ht="20.25" customHeight="1">
      <c r="A15" s="112" t="s">
        <v>457</v>
      </c>
      <c r="B15" s="118" t="s">
        <v>561</v>
      </c>
      <c r="C15" s="414">
        <f t="shared" si="10"/>
        <v>0</v>
      </c>
      <c r="D15" s="415" t="s">
        <v>102</v>
      </c>
      <c r="E15" s="329">
        <f t="shared" si="11"/>
        <v>194.33</v>
      </c>
      <c r="F15" s="18">
        <f t="shared" si="18"/>
        <v>0</v>
      </c>
      <c r="G15" s="119">
        <f>ESTIMATE!I846</f>
        <v>0</v>
      </c>
      <c r="H15" s="114" t="s">
        <v>102</v>
      </c>
      <c r="I15" s="138">
        <f>ESTIMATE!K846</f>
        <v>194.33</v>
      </c>
      <c r="J15" s="18">
        <f t="shared" si="13"/>
        <v>0</v>
      </c>
      <c r="K15" s="116">
        <f t="shared" si="7"/>
        <v>0</v>
      </c>
      <c r="L15" s="116">
        <f t="shared" si="8"/>
        <v>0</v>
      </c>
      <c r="M15" s="112" t="s">
        <v>15</v>
      </c>
      <c r="N15" s="256">
        <f t="shared" si="9"/>
        <v>0</v>
      </c>
      <c r="S15" s="117">
        <v>0</v>
      </c>
      <c r="U15" s="215">
        <f t="shared" si="15"/>
        <v>0</v>
      </c>
      <c r="W15" s="117">
        <v>0</v>
      </c>
      <c r="X15" s="215">
        <f t="shared" si="16"/>
        <v>0</v>
      </c>
    </row>
    <row r="16" spans="1:24" s="117" customFormat="1" ht="20.25" customHeight="1">
      <c r="A16" s="112" t="s">
        <v>458</v>
      </c>
      <c r="B16" s="118" t="s">
        <v>1013</v>
      </c>
      <c r="C16" s="414">
        <f t="shared" si="10"/>
        <v>0</v>
      </c>
      <c r="D16" s="415" t="s">
        <v>102</v>
      </c>
      <c r="E16" s="329">
        <f t="shared" si="11"/>
        <v>267.35000000000002</v>
      </c>
      <c r="F16" s="18">
        <f t="shared" si="18"/>
        <v>0</v>
      </c>
      <c r="G16" s="119">
        <f>ESTIMATE!I854</f>
        <v>0</v>
      </c>
      <c r="H16" s="114" t="s">
        <v>102</v>
      </c>
      <c r="I16" s="138">
        <f>ESTIMATE!K854</f>
        <v>267.35000000000002</v>
      </c>
      <c r="J16" s="18">
        <f t="shared" si="13"/>
        <v>0</v>
      </c>
      <c r="K16" s="116">
        <f t="shared" si="7"/>
        <v>0</v>
      </c>
      <c r="L16" s="116">
        <f t="shared" si="8"/>
        <v>0</v>
      </c>
      <c r="M16" s="112" t="s">
        <v>15</v>
      </c>
      <c r="N16" s="256">
        <f t="shared" si="9"/>
        <v>0</v>
      </c>
      <c r="S16" s="117">
        <v>29548</v>
      </c>
      <c r="U16" s="215">
        <f t="shared" si="15"/>
        <v>-29548</v>
      </c>
      <c r="W16" s="117">
        <v>157.73000000000002</v>
      </c>
      <c r="X16" s="215">
        <f t="shared" si="16"/>
        <v>-157.73000000000002</v>
      </c>
    </row>
    <row r="17" spans="1:24" s="117" customFormat="1" ht="27.75" customHeight="1">
      <c r="A17" s="112" t="s">
        <v>320</v>
      </c>
      <c r="B17" s="118" t="s">
        <v>1905</v>
      </c>
      <c r="C17" s="414">
        <f t="shared" si="10"/>
        <v>0</v>
      </c>
      <c r="D17" s="415" t="s">
        <v>102</v>
      </c>
      <c r="E17" s="329">
        <f t="shared" si="11"/>
        <v>1760.4100000000003</v>
      </c>
      <c r="F17" s="18">
        <f t="shared" si="18"/>
        <v>0</v>
      </c>
      <c r="G17" s="119">
        <f>ESTIMATE!I860</f>
        <v>0</v>
      </c>
      <c r="H17" s="114" t="s">
        <v>102</v>
      </c>
      <c r="I17" s="138">
        <f>ESTIMATE!K860</f>
        <v>1760.4100000000003</v>
      </c>
      <c r="J17" s="18">
        <f t="shared" si="13"/>
        <v>0</v>
      </c>
      <c r="K17" s="116">
        <f t="shared" si="7"/>
        <v>0</v>
      </c>
      <c r="L17" s="116">
        <f t="shared" si="8"/>
        <v>0</v>
      </c>
      <c r="M17" s="112" t="s">
        <v>15</v>
      </c>
      <c r="N17" s="256">
        <f t="shared" si="9"/>
        <v>0</v>
      </c>
      <c r="U17" s="215"/>
      <c r="X17" s="215"/>
    </row>
    <row r="18" spans="1:24" s="117" customFormat="1" ht="32.25" customHeight="1">
      <c r="A18" s="112" t="s">
        <v>459</v>
      </c>
      <c r="B18" s="118" t="s">
        <v>703</v>
      </c>
      <c r="C18" s="414">
        <f t="shared" ref="C18:C31" si="19">G18</f>
        <v>0</v>
      </c>
      <c r="D18" s="415" t="s">
        <v>102</v>
      </c>
      <c r="E18" s="329">
        <f t="shared" ref="E18:E31" si="20">I18</f>
        <v>7732.59</v>
      </c>
      <c r="F18" s="18">
        <f>ROUND(C18*E18/1,0)</f>
        <v>0</v>
      </c>
      <c r="G18" s="119">
        <f>ESTIMATE!I1298</f>
        <v>0</v>
      </c>
      <c r="H18" s="114" t="s">
        <v>102</v>
      </c>
      <c r="I18" s="138">
        <f>ESTIMATE!K1298</f>
        <v>7732.59</v>
      </c>
      <c r="J18" s="18">
        <f t="shared" ref="J18:J31" si="21">ROUND(G18*I18,2)</f>
        <v>0</v>
      </c>
      <c r="K18" s="116">
        <f t="shared" ref="K18:K30" si="22">IF(J18&gt;F18,J18-F18,0)</f>
        <v>0</v>
      </c>
      <c r="L18" s="116">
        <f t="shared" ref="L18:L30" si="23">IF(J18&lt;F18,F18-J18,0)</f>
        <v>0</v>
      </c>
      <c r="M18" s="112" t="s">
        <v>15</v>
      </c>
      <c r="N18" s="256">
        <f t="shared" ref="N18:N30" si="24">E18-I18</f>
        <v>0</v>
      </c>
      <c r="S18" s="117">
        <v>189353</v>
      </c>
      <c r="U18" s="215">
        <f t="shared" si="15"/>
        <v>-189353</v>
      </c>
      <c r="W18" s="117">
        <v>31.5</v>
      </c>
      <c r="X18" s="215">
        <f t="shared" si="16"/>
        <v>-31.5</v>
      </c>
    </row>
    <row r="19" spans="1:24" s="117" customFormat="1" ht="24.75" customHeight="1">
      <c r="A19" s="112" t="s">
        <v>462</v>
      </c>
      <c r="B19" s="118" t="s">
        <v>1906</v>
      </c>
      <c r="C19" s="414">
        <f t="shared" si="19"/>
        <v>0</v>
      </c>
      <c r="D19" s="263" t="s">
        <v>102</v>
      </c>
      <c r="E19" s="329">
        <f t="shared" si="20"/>
        <v>6698</v>
      </c>
      <c r="F19" s="18">
        <f>ROUND(C19*E19/1,0)</f>
        <v>0</v>
      </c>
      <c r="G19" s="119">
        <f>ESTIMATE!I1315</f>
        <v>0</v>
      </c>
      <c r="H19" s="114" t="s">
        <v>102</v>
      </c>
      <c r="I19" s="138">
        <f>ESTIMATE!K1315</f>
        <v>6698</v>
      </c>
      <c r="J19" s="18">
        <f t="shared" si="21"/>
        <v>0</v>
      </c>
      <c r="K19" s="116">
        <f t="shared" si="22"/>
        <v>0</v>
      </c>
      <c r="L19" s="116">
        <f t="shared" si="23"/>
        <v>0</v>
      </c>
      <c r="M19" s="112" t="s">
        <v>15</v>
      </c>
      <c r="N19" s="256">
        <f t="shared" si="24"/>
        <v>0</v>
      </c>
      <c r="U19" s="215"/>
      <c r="X19" s="215"/>
    </row>
    <row r="20" spans="1:24" s="117" customFormat="1" ht="20.25" customHeight="1">
      <c r="A20" s="112" t="s">
        <v>463</v>
      </c>
      <c r="B20" s="118" t="s">
        <v>704</v>
      </c>
      <c r="C20" s="414">
        <f t="shared" si="19"/>
        <v>0</v>
      </c>
      <c r="D20" s="263" t="s">
        <v>114</v>
      </c>
      <c r="E20" s="329">
        <f t="shared" si="20"/>
        <v>605.57000000000005</v>
      </c>
      <c r="F20" s="18">
        <f>ROUND(C20*E20/1,0)</f>
        <v>0</v>
      </c>
      <c r="G20" s="119">
        <f>ESTIMATE!I1324</f>
        <v>0</v>
      </c>
      <c r="H20" s="114" t="s">
        <v>114</v>
      </c>
      <c r="I20" s="138">
        <f>ESTIMATE!K1324</f>
        <v>605.57000000000005</v>
      </c>
      <c r="J20" s="18">
        <f t="shared" si="21"/>
        <v>0</v>
      </c>
      <c r="K20" s="116">
        <f t="shared" si="22"/>
        <v>0</v>
      </c>
      <c r="L20" s="116">
        <f t="shared" si="23"/>
        <v>0</v>
      </c>
      <c r="M20" s="112" t="s">
        <v>15</v>
      </c>
      <c r="N20" s="256">
        <f t="shared" si="24"/>
        <v>0</v>
      </c>
      <c r="S20" s="117">
        <v>0</v>
      </c>
      <c r="U20" s="215">
        <f t="shared" si="15"/>
        <v>0</v>
      </c>
      <c r="X20" s="215">
        <f t="shared" si="16"/>
        <v>0</v>
      </c>
    </row>
    <row r="21" spans="1:24" s="117" customFormat="1" ht="20.25" customHeight="1">
      <c r="A21" s="112" t="s">
        <v>464</v>
      </c>
      <c r="B21" s="118" t="s">
        <v>532</v>
      </c>
      <c r="C21" s="414">
        <f t="shared" si="19"/>
        <v>280</v>
      </c>
      <c r="D21" s="353" t="s">
        <v>4</v>
      </c>
      <c r="E21" s="329">
        <f t="shared" si="20"/>
        <v>121.03</v>
      </c>
      <c r="F21" s="18">
        <f>ROUND(C21*E21/1,0)</f>
        <v>33888</v>
      </c>
      <c r="G21" s="119">
        <f>ESTIMATE!I1333</f>
        <v>280</v>
      </c>
      <c r="H21" s="114" t="s">
        <v>826</v>
      </c>
      <c r="I21" s="138">
        <f>ESTIMATE!K1333</f>
        <v>121.03</v>
      </c>
      <c r="J21" s="18">
        <f t="shared" si="21"/>
        <v>33888.400000000001</v>
      </c>
      <c r="K21" s="116">
        <f t="shared" si="22"/>
        <v>0.40000000000145519</v>
      </c>
      <c r="L21" s="116">
        <f t="shared" si="23"/>
        <v>0</v>
      </c>
      <c r="M21" s="112" t="s">
        <v>15</v>
      </c>
      <c r="N21" s="256">
        <f t="shared" si="24"/>
        <v>0</v>
      </c>
      <c r="S21" s="117">
        <v>39023</v>
      </c>
      <c r="U21" s="215">
        <f t="shared" ref="U21" si="25">J21-S21</f>
        <v>-5134.5999999999985</v>
      </c>
      <c r="W21" s="117">
        <v>32.42</v>
      </c>
      <c r="X21" s="215">
        <f t="shared" ref="X21" si="26">G21-W21</f>
        <v>247.57999999999998</v>
      </c>
    </row>
    <row r="22" spans="1:24" s="117" customFormat="1" ht="20.25" customHeight="1">
      <c r="A22" s="112" t="s">
        <v>465</v>
      </c>
      <c r="B22" s="118" t="s">
        <v>534</v>
      </c>
      <c r="C22" s="414">
        <f t="shared" si="19"/>
        <v>0</v>
      </c>
      <c r="D22" s="355" t="s">
        <v>274</v>
      </c>
      <c r="E22" s="329">
        <f t="shared" si="20"/>
        <v>224</v>
      </c>
      <c r="F22" s="18">
        <f t="shared" ref="F22" si="27">ROUND(C22*E22,0)</f>
        <v>0</v>
      </c>
      <c r="G22" s="119">
        <f>ESTIMATE!I1372</f>
        <v>0</v>
      </c>
      <c r="H22" s="114" t="s">
        <v>274</v>
      </c>
      <c r="I22" s="138">
        <f>ESTIMATE!K1372</f>
        <v>224</v>
      </c>
      <c r="J22" s="18">
        <f t="shared" si="21"/>
        <v>0</v>
      </c>
      <c r="K22" s="116">
        <f t="shared" si="22"/>
        <v>0</v>
      </c>
      <c r="L22" s="116">
        <f t="shared" si="23"/>
        <v>0</v>
      </c>
      <c r="M22" s="112" t="s">
        <v>15</v>
      </c>
      <c r="N22" s="256">
        <f t="shared" si="24"/>
        <v>0</v>
      </c>
      <c r="S22" s="117">
        <v>4920</v>
      </c>
      <c r="U22" s="215">
        <f t="shared" si="15"/>
        <v>-4920</v>
      </c>
      <c r="W22" s="117">
        <v>40</v>
      </c>
      <c r="X22" s="215">
        <f t="shared" si="16"/>
        <v>-40</v>
      </c>
    </row>
    <row r="23" spans="1:24" s="117" customFormat="1" ht="20.25" customHeight="1">
      <c r="A23" s="112" t="s">
        <v>466</v>
      </c>
      <c r="B23" s="118" t="s">
        <v>535</v>
      </c>
      <c r="C23" s="414">
        <f t="shared" si="19"/>
        <v>0</v>
      </c>
      <c r="D23" s="355" t="s">
        <v>274</v>
      </c>
      <c r="E23" s="329">
        <f t="shared" si="20"/>
        <v>37</v>
      </c>
      <c r="F23" s="18">
        <f t="shared" ref="F23:F28" si="28">ROUND(C23*E23,0)</f>
        <v>0</v>
      </c>
      <c r="G23" s="119">
        <f>ESTIMATE!I1386</f>
        <v>0</v>
      </c>
      <c r="H23" s="114" t="s">
        <v>274</v>
      </c>
      <c r="I23" s="138">
        <f>ESTIMATE!K1386</f>
        <v>37</v>
      </c>
      <c r="J23" s="18">
        <f t="shared" si="21"/>
        <v>0</v>
      </c>
      <c r="K23" s="116">
        <f t="shared" si="22"/>
        <v>0</v>
      </c>
      <c r="L23" s="116">
        <f t="shared" si="23"/>
        <v>0</v>
      </c>
      <c r="M23" s="112" t="s">
        <v>15</v>
      </c>
      <c r="N23" s="256">
        <f t="shared" si="24"/>
        <v>0</v>
      </c>
      <c r="S23" s="117">
        <v>2480</v>
      </c>
      <c r="U23" s="215">
        <f t="shared" si="15"/>
        <v>-2480</v>
      </c>
      <c r="W23" s="117">
        <v>80</v>
      </c>
      <c r="X23" s="215">
        <f t="shared" si="16"/>
        <v>-80</v>
      </c>
    </row>
    <row r="24" spans="1:24" s="117" customFormat="1" ht="20.25" customHeight="1">
      <c r="A24" s="112" t="s">
        <v>468</v>
      </c>
      <c r="B24" s="118" t="s">
        <v>536</v>
      </c>
      <c r="C24" s="414">
        <f t="shared" si="19"/>
        <v>0</v>
      </c>
      <c r="D24" s="355" t="s">
        <v>114</v>
      </c>
      <c r="E24" s="329">
        <f t="shared" si="20"/>
        <v>391</v>
      </c>
      <c r="F24" s="18">
        <f t="shared" si="28"/>
        <v>0</v>
      </c>
      <c r="G24" s="119">
        <f>ESTIMATE!I1390</f>
        <v>0</v>
      </c>
      <c r="H24" s="114" t="s">
        <v>114</v>
      </c>
      <c r="I24" s="138">
        <f>ESTIMATE!K1390</f>
        <v>391</v>
      </c>
      <c r="J24" s="18">
        <f t="shared" si="21"/>
        <v>0</v>
      </c>
      <c r="K24" s="116">
        <f t="shared" si="22"/>
        <v>0</v>
      </c>
      <c r="L24" s="116">
        <f t="shared" si="23"/>
        <v>0</v>
      </c>
      <c r="M24" s="112" t="s">
        <v>15</v>
      </c>
      <c r="N24" s="256">
        <f t="shared" si="24"/>
        <v>0</v>
      </c>
      <c r="S24" s="117">
        <v>698</v>
      </c>
      <c r="U24" s="215">
        <f t="shared" si="15"/>
        <v>-698</v>
      </c>
      <c r="W24" s="117">
        <v>2</v>
      </c>
      <c r="X24" s="215">
        <f t="shared" si="16"/>
        <v>-2</v>
      </c>
    </row>
    <row r="25" spans="1:24" s="117" customFormat="1" ht="20.25" customHeight="1">
      <c r="A25" s="112" t="s">
        <v>469</v>
      </c>
      <c r="B25" s="118" t="s">
        <v>537</v>
      </c>
      <c r="C25" s="414">
        <f t="shared" si="19"/>
        <v>0</v>
      </c>
      <c r="D25" s="355" t="s">
        <v>274</v>
      </c>
      <c r="E25" s="329">
        <f t="shared" si="20"/>
        <v>150.33333333333334</v>
      </c>
      <c r="F25" s="18">
        <f t="shared" si="28"/>
        <v>0</v>
      </c>
      <c r="G25" s="119">
        <f>ESTIMATE!I1399</f>
        <v>0</v>
      </c>
      <c r="H25" s="114" t="s">
        <v>274</v>
      </c>
      <c r="I25" s="138">
        <f>ESTIMATE!K1399</f>
        <v>150.33333333333334</v>
      </c>
      <c r="J25" s="18">
        <f t="shared" si="21"/>
        <v>0</v>
      </c>
      <c r="K25" s="116">
        <f t="shared" si="22"/>
        <v>0</v>
      </c>
      <c r="L25" s="116">
        <f t="shared" si="23"/>
        <v>0</v>
      </c>
      <c r="M25" s="112" t="s">
        <v>15</v>
      </c>
      <c r="N25" s="256">
        <f t="shared" si="24"/>
        <v>0</v>
      </c>
      <c r="S25" s="117">
        <v>820</v>
      </c>
      <c r="U25" s="215">
        <f t="shared" ref="U25:U43" si="29">J25-S25</f>
        <v>-820</v>
      </c>
      <c r="W25" s="117">
        <v>6</v>
      </c>
      <c r="X25" s="215">
        <f t="shared" ref="X25:X43" si="30">G25-W25</f>
        <v>-6</v>
      </c>
    </row>
    <row r="26" spans="1:24" s="117" customFormat="1" ht="20.25" customHeight="1">
      <c r="A26" s="112" t="s">
        <v>470</v>
      </c>
      <c r="B26" s="118" t="s">
        <v>539</v>
      </c>
      <c r="C26" s="414">
        <f t="shared" si="19"/>
        <v>0</v>
      </c>
      <c r="D26" s="355" t="s">
        <v>274</v>
      </c>
      <c r="E26" s="329">
        <f t="shared" si="20"/>
        <v>90</v>
      </c>
      <c r="F26" s="18">
        <f t="shared" si="28"/>
        <v>0</v>
      </c>
      <c r="G26" s="119">
        <f>ESTIMATE!I1407</f>
        <v>0</v>
      </c>
      <c r="H26" s="114" t="s">
        <v>274</v>
      </c>
      <c r="I26" s="138">
        <f>ESTIMATE!K1407</f>
        <v>90</v>
      </c>
      <c r="J26" s="18">
        <f t="shared" si="21"/>
        <v>0</v>
      </c>
      <c r="K26" s="116">
        <f t="shared" si="22"/>
        <v>0</v>
      </c>
      <c r="L26" s="116">
        <f t="shared" si="23"/>
        <v>0</v>
      </c>
      <c r="M26" s="112" t="s">
        <v>15</v>
      </c>
      <c r="N26" s="256">
        <f t="shared" si="24"/>
        <v>0</v>
      </c>
      <c r="S26" s="117">
        <v>488</v>
      </c>
      <c r="U26" s="215">
        <f t="shared" si="29"/>
        <v>-488</v>
      </c>
      <c r="W26" s="117">
        <v>6</v>
      </c>
      <c r="X26" s="215">
        <f t="shared" si="30"/>
        <v>-6</v>
      </c>
    </row>
    <row r="27" spans="1:24" s="117" customFormat="1" ht="20.25" customHeight="1">
      <c r="A27" s="112" t="s">
        <v>471</v>
      </c>
      <c r="B27" s="118" t="s">
        <v>540</v>
      </c>
      <c r="C27" s="414">
        <f t="shared" si="19"/>
        <v>0</v>
      </c>
      <c r="D27" s="355" t="s">
        <v>274</v>
      </c>
      <c r="E27" s="329">
        <f t="shared" si="20"/>
        <v>85</v>
      </c>
      <c r="F27" s="18">
        <f t="shared" si="28"/>
        <v>0</v>
      </c>
      <c r="G27" s="119">
        <f>ESTIMATE!I1412</f>
        <v>0</v>
      </c>
      <c r="H27" s="114" t="s">
        <v>274</v>
      </c>
      <c r="I27" s="138">
        <f>ESTIMATE!K1412</f>
        <v>85</v>
      </c>
      <c r="J27" s="18">
        <f t="shared" si="21"/>
        <v>0</v>
      </c>
      <c r="K27" s="116">
        <f t="shared" si="22"/>
        <v>0</v>
      </c>
      <c r="L27" s="116">
        <f t="shared" si="23"/>
        <v>0</v>
      </c>
      <c r="M27" s="112" t="s">
        <v>15</v>
      </c>
      <c r="N27" s="256">
        <f t="shared" si="24"/>
        <v>0</v>
      </c>
      <c r="S27" s="117">
        <v>840</v>
      </c>
      <c r="U27" s="215">
        <f t="shared" si="29"/>
        <v>-840</v>
      </c>
      <c r="W27" s="117">
        <v>12</v>
      </c>
      <c r="X27" s="215">
        <f t="shared" si="30"/>
        <v>-12</v>
      </c>
    </row>
    <row r="28" spans="1:24" s="117" customFormat="1" ht="20.25" customHeight="1">
      <c r="A28" s="112" t="s">
        <v>473</v>
      </c>
      <c r="B28" s="118" t="s">
        <v>541</v>
      </c>
      <c r="C28" s="414">
        <f t="shared" si="19"/>
        <v>0</v>
      </c>
      <c r="D28" s="355" t="s">
        <v>114</v>
      </c>
      <c r="E28" s="329">
        <f t="shared" si="20"/>
        <v>5340</v>
      </c>
      <c r="F28" s="18">
        <f t="shared" si="28"/>
        <v>0</v>
      </c>
      <c r="G28" s="119">
        <f>ESTIMATE!I1415</f>
        <v>0</v>
      </c>
      <c r="H28" s="114" t="s">
        <v>114</v>
      </c>
      <c r="I28" s="138">
        <f>ESTIMATE!K1415</f>
        <v>5340</v>
      </c>
      <c r="J28" s="18">
        <f t="shared" si="21"/>
        <v>0</v>
      </c>
      <c r="K28" s="116">
        <f t="shared" si="22"/>
        <v>0</v>
      </c>
      <c r="L28" s="116">
        <f t="shared" si="23"/>
        <v>0</v>
      </c>
      <c r="M28" s="112" t="s">
        <v>15</v>
      </c>
      <c r="N28" s="256">
        <f t="shared" si="24"/>
        <v>0</v>
      </c>
      <c r="S28" s="117">
        <v>9552</v>
      </c>
      <c r="U28" s="215">
        <f t="shared" si="29"/>
        <v>-9552</v>
      </c>
      <c r="W28" s="117">
        <v>2</v>
      </c>
      <c r="X28" s="215">
        <f t="shared" si="30"/>
        <v>-2</v>
      </c>
    </row>
    <row r="29" spans="1:24" s="117" customFormat="1" ht="20.25" customHeight="1">
      <c r="A29" s="112" t="s">
        <v>474</v>
      </c>
      <c r="B29" s="118" t="s">
        <v>623</v>
      </c>
      <c r="C29" s="414">
        <f t="shared" si="19"/>
        <v>0</v>
      </c>
      <c r="D29" s="355" t="s">
        <v>114</v>
      </c>
      <c r="E29" s="329">
        <f t="shared" si="20"/>
        <v>2044</v>
      </c>
      <c r="F29" s="18">
        <f t="shared" ref="F29" si="31">ROUND(C29*E29,0)</f>
        <v>0</v>
      </c>
      <c r="G29" s="119">
        <f>ESTIMATE!I1426</f>
        <v>0</v>
      </c>
      <c r="H29" s="114" t="s">
        <v>114</v>
      </c>
      <c r="I29" s="138">
        <f>ESTIMATE!K1426</f>
        <v>2044</v>
      </c>
      <c r="J29" s="18">
        <f t="shared" si="21"/>
        <v>0</v>
      </c>
      <c r="K29" s="116">
        <f t="shared" si="22"/>
        <v>0</v>
      </c>
      <c r="L29" s="116">
        <f t="shared" si="23"/>
        <v>0</v>
      </c>
      <c r="M29" s="112" t="s">
        <v>15</v>
      </c>
      <c r="N29" s="256">
        <f t="shared" si="24"/>
        <v>0</v>
      </c>
      <c r="S29" s="117">
        <v>3654</v>
      </c>
      <c r="U29" s="215">
        <f t="shared" si="29"/>
        <v>-3654</v>
      </c>
      <c r="W29" s="117">
        <v>2</v>
      </c>
      <c r="X29" s="215">
        <f t="shared" si="30"/>
        <v>-2</v>
      </c>
    </row>
    <row r="30" spans="1:24" s="117" customFormat="1" ht="20.25" customHeight="1">
      <c r="A30" s="112" t="s">
        <v>475</v>
      </c>
      <c r="B30" s="118" t="s">
        <v>713</v>
      </c>
      <c r="C30" s="414">
        <f t="shared" si="19"/>
        <v>0</v>
      </c>
      <c r="D30" s="355" t="s">
        <v>114</v>
      </c>
      <c r="E30" s="329">
        <f t="shared" si="20"/>
        <v>115</v>
      </c>
      <c r="F30" s="18">
        <f t="shared" ref="F30" si="32">ROUND(C30*E30,0)</f>
        <v>0</v>
      </c>
      <c r="G30" s="119">
        <f>ESTIMATE!I1429</f>
        <v>0</v>
      </c>
      <c r="H30" s="114" t="s">
        <v>114</v>
      </c>
      <c r="I30" s="138">
        <f>ESTIMATE!K1429</f>
        <v>115</v>
      </c>
      <c r="J30" s="18">
        <f t="shared" si="21"/>
        <v>0</v>
      </c>
      <c r="K30" s="116">
        <f t="shared" si="22"/>
        <v>0</v>
      </c>
      <c r="L30" s="116">
        <f t="shared" si="23"/>
        <v>0</v>
      </c>
      <c r="M30" s="112" t="s">
        <v>15</v>
      </c>
      <c r="N30" s="256">
        <f t="shared" si="24"/>
        <v>0</v>
      </c>
      <c r="S30" s="117">
        <v>230</v>
      </c>
      <c r="U30" s="215">
        <f t="shared" si="29"/>
        <v>-230</v>
      </c>
      <c r="W30" s="117">
        <v>2</v>
      </c>
      <c r="X30" s="215">
        <f t="shared" si="30"/>
        <v>-2</v>
      </c>
    </row>
    <row r="31" spans="1:24" s="117" customFormat="1" ht="20.25" customHeight="1">
      <c r="A31" s="112" t="s">
        <v>476</v>
      </c>
      <c r="B31" s="118" t="s">
        <v>628</v>
      </c>
      <c r="C31" s="414">
        <f t="shared" si="19"/>
        <v>0</v>
      </c>
      <c r="D31" s="114" t="s">
        <v>114</v>
      </c>
      <c r="E31" s="329">
        <f t="shared" si="20"/>
        <v>230.64</v>
      </c>
      <c r="F31" s="18">
        <f t="shared" ref="F31" si="33">ROUND(C31*E31,0)</f>
        <v>0</v>
      </c>
      <c r="G31" s="119">
        <f>ESTIMATE!I1489</f>
        <v>0</v>
      </c>
      <c r="H31" s="114" t="s">
        <v>114</v>
      </c>
      <c r="I31" s="138">
        <f>ESTIMATE!K1489</f>
        <v>230.64</v>
      </c>
      <c r="J31" s="18">
        <f t="shared" si="21"/>
        <v>0</v>
      </c>
      <c r="K31" s="116">
        <f t="shared" ref="K31:K48" si="34">IF(J31&gt;F31,J31-F31,0)</f>
        <v>0</v>
      </c>
      <c r="L31" s="116">
        <f t="shared" ref="L31:L48" si="35">IF(J31&lt;F31,F31-J31,0)</f>
        <v>0</v>
      </c>
      <c r="M31" s="112" t="s">
        <v>15</v>
      </c>
      <c r="N31" s="256">
        <f t="shared" ref="N31:N48" si="36">E31-I31</f>
        <v>0</v>
      </c>
      <c r="S31" s="117">
        <v>510</v>
      </c>
      <c r="U31" s="215">
        <f t="shared" si="29"/>
        <v>-510</v>
      </c>
      <c r="W31" s="117">
        <v>3</v>
      </c>
      <c r="X31" s="215">
        <f t="shared" si="30"/>
        <v>-3</v>
      </c>
    </row>
    <row r="32" spans="1:24" s="117" customFormat="1" ht="20.25" customHeight="1">
      <c r="A32" s="112" t="s">
        <v>477</v>
      </c>
      <c r="B32" s="118" t="s">
        <v>548</v>
      </c>
      <c r="C32" s="414">
        <f t="shared" ref="C32:C43" si="37">G32</f>
        <v>14</v>
      </c>
      <c r="D32" s="360" t="s">
        <v>1907</v>
      </c>
      <c r="E32" s="329">
        <f t="shared" ref="E32:E43" si="38">I32</f>
        <v>603.67999999999995</v>
      </c>
      <c r="F32" s="18">
        <f t="shared" ref="F32:F36" si="39">ROUND(C32*E32,0)</f>
        <v>8452</v>
      </c>
      <c r="G32" s="119">
        <f>ESTIMATE!I1516</f>
        <v>14</v>
      </c>
      <c r="H32" s="114" t="s">
        <v>558</v>
      </c>
      <c r="I32" s="138">
        <f>ESTIMATE!K1516</f>
        <v>603.67999999999995</v>
      </c>
      <c r="J32" s="18">
        <f t="shared" ref="J32:J43" si="40">ROUND(G32*I32,2)</f>
        <v>8451.52</v>
      </c>
      <c r="K32" s="116">
        <f t="shared" si="34"/>
        <v>0</v>
      </c>
      <c r="L32" s="116">
        <f t="shared" si="35"/>
        <v>0.47999999999956344</v>
      </c>
      <c r="M32" s="112" t="s">
        <v>15</v>
      </c>
      <c r="N32" s="256">
        <f t="shared" si="36"/>
        <v>0</v>
      </c>
      <c r="S32" s="117">
        <v>29164</v>
      </c>
      <c r="U32" s="215">
        <f t="shared" si="29"/>
        <v>-20712.48</v>
      </c>
      <c r="W32" s="117">
        <v>65</v>
      </c>
      <c r="X32" s="215">
        <f t="shared" si="30"/>
        <v>-51</v>
      </c>
    </row>
    <row r="33" spans="1:24" s="117" customFormat="1" ht="20.25" customHeight="1">
      <c r="A33" s="112" t="s">
        <v>478</v>
      </c>
      <c r="B33" s="118" t="s">
        <v>548</v>
      </c>
      <c r="C33" s="414">
        <f t="shared" si="37"/>
        <v>6</v>
      </c>
      <c r="D33" s="360" t="s">
        <v>1907</v>
      </c>
      <c r="E33" s="329">
        <f t="shared" si="38"/>
        <v>628.66999999999996</v>
      </c>
      <c r="F33" s="18">
        <f t="shared" si="39"/>
        <v>3772</v>
      </c>
      <c r="G33" s="119">
        <f>ESTIMATE!I1520</f>
        <v>6</v>
      </c>
      <c r="H33" s="114" t="s">
        <v>558</v>
      </c>
      <c r="I33" s="138">
        <f>ESTIMATE!K1520</f>
        <v>628.66999999999996</v>
      </c>
      <c r="J33" s="18">
        <f t="shared" si="40"/>
        <v>3772.02</v>
      </c>
      <c r="K33" s="116">
        <f t="shared" si="34"/>
        <v>1.999999999998181E-2</v>
      </c>
      <c r="L33" s="116">
        <f t="shared" si="35"/>
        <v>0</v>
      </c>
      <c r="M33" s="112" t="s">
        <v>15</v>
      </c>
      <c r="N33" s="256">
        <f t="shared" si="36"/>
        <v>0</v>
      </c>
      <c r="S33" s="117">
        <v>0</v>
      </c>
      <c r="U33" s="215">
        <f t="shared" si="29"/>
        <v>3772.02</v>
      </c>
      <c r="W33" s="117">
        <v>0</v>
      </c>
      <c r="X33" s="215">
        <f t="shared" si="30"/>
        <v>6</v>
      </c>
    </row>
    <row r="34" spans="1:24" s="117" customFormat="1" ht="20.25" customHeight="1">
      <c r="A34" s="112" t="s">
        <v>479</v>
      </c>
      <c r="B34" s="118" t="s">
        <v>549</v>
      </c>
      <c r="C34" s="414">
        <f t="shared" si="37"/>
        <v>180</v>
      </c>
      <c r="D34" s="360" t="s">
        <v>274</v>
      </c>
      <c r="E34" s="329">
        <f t="shared" si="38"/>
        <v>101.1</v>
      </c>
      <c r="F34" s="18">
        <f t="shared" si="39"/>
        <v>18198</v>
      </c>
      <c r="G34" s="119">
        <f>ESTIMATE!I1524</f>
        <v>180</v>
      </c>
      <c r="H34" s="114" t="s">
        <v>274</v>
      </c>
      <c r="I34" s="138">
        <f>ESTIMATE!K1524</f>
        <v>101.1</v>
      </c>
      <c r="J34" s="18">
        <f t="shared" si="40"/>
        <v>18198</v>
      </c>
      <c r="K34" s="116">
        <f t="shared" si="34"/>
        <v>0</v>
      </c>
      <c r="L34" s="116">
        <f t="shared" si="35"/>
        <v>0</v>
      </c>
      <c r="M34" s="112" t="s">
        <v>15</v>
      </c>
      <c r="N34" s="256">
        <f t="shared" si="36"/>
        <v>0</v>
      </c>
      <c r="S34" s="117">
        <v>18954</v>
      </c>
      <c r="U34" s="215">
        <f t="shared" si="29"/>
        <v>-756</v>
      </c>
      <c r="W34" s="117">
        <v>291.89999999999998</v>
      </c>
      <c r="X34" s="215">
        <f t="shared" si="30"/>
        <v>-111.89999999999998</v>
      </c>
    </row>
    <row r="35" spans="1:24" s="117" customFormat="1" ht="20.25" customHeight="1">
      <c r="A35" s="112" t="s">
        <v>480</v>
      </c>
      <c r="B35" s="118" t="s">
        <v>550</v>
      </c>
      <c r="C35" s="414">
        <f t="shared" si="37"/>
        <v>10</v>
      </c>
      <c r="D35" s="360" t="s">
        <v>274</v>
      </c>
      <c r="E35" s="329">
        <f t="shared" si="38"/>
        <v>153.57339999999999</v>
      </c>
      <c r="F35" s="18">
        <f t="shared" si="39"/>
        <v>1536</v>
      </c>
      <c r="G35" s="119">
        <f>ESTIMATE!I1528</f>
        <v>10</v>
      </c>
      <c r="H35" s="114" t="s">
        <v>274</v>
      </c>
      <c r="I35" s="138">
        <f>ESTIMATE!K1528</f>
        <v>153.57339999999999</v>
      </c>
      <c r="J35" s="18">
        <f t="shared" si="40"/>
        <v>1535.73</v>
      </c>
      <c r="K35" s="116">
        <f t="shared" si="34"/>
        <v>0</v>
      </c>
      <c r="L35" s="116">
        <f t="shared" si="35"/>
        <v>0.26999999999998181</v>
      </c>
      <c r="M35" s="112" t="s">
        <v>15</v>
      </c>
      <c r="N35" s="256">
        <f t="shared" si="36"/>
        <v>0</v>
      </c>
      <c r="S35" s="117">
        <v>3349</v>
      </c>
      <c r="U35" s="215">
        <f t="shared" si="29"/>
        <v>-1813.27</v>
      </c>
      <c r="W35" s="117">
        <v>33.950000000000003</v>
      </c>
      <c r="X35" s="215">
        <f t="shared" si="30"/>
        <v>-23.950000000000003</v>
      </c>
    </row>
    <row r="36" spans="1:24" s="117" customFormat="1" ht="20.25" customHeight="1">
      <c r="A36" s="112" t="s">
        <v>481</v>
      </c>
      <c r="B36" s="118" t="s">
        <v>604</v>
      </c>
      <c r="C36" s="414">
        <f t="shared" si="37"/>
        <v>0</v>
      </c>
      <c r="D36" s="263" t="s">
        <v>1908</v>
      </c>
      <c r="E36" s="329">
        <f t="shared" si="38"/>
        <v>223.82</v>
      </c>
      <c r="F36" s="18">
        <f t="shared" si="39"/>
        <v>0</v>
      </c>
      <c r="G36" s="119">
        <f>ESTIMATE!I1539</f>
        <v>0</v>
      </c>
      <c r="H36" s="114" t="s">
        <v>114</v>
      </c>
      <c r="I36" s="138">
        <f>ESTIMATE!K1539</f>
        <v>223.82</v>
      </c>
      <c r="J36" s="18">
        <f t="shared" si="40"/>
        <v>0</v>
      </c>
      <c r="K36" s="116">
        <f t="shared" si="34"/>
        <v>0</v>
      </c>
      <c r="L36" s="116">
        <f t="shared" si="35"/>
        <v>0</v>
      </c>
      <c r="M36" s="112" t="s">
        <v>15</v>
      </c>
      <c r="N36" s="256">
        <f t="shared" si="36"/>
        <v>0</v>
      </c>
      <c r="S36" s="117">
        <v>0</v>
      </c>
      <c r="U36" s="215">
        <f t="shared" si="29"/>
        <v>0</v>
      </c>
      <c r="W36" s="117">
        <v>0</v>
      </c>
      <c r="X36" s="215">
        <f t="shared" si="30"/>
        <v>0</v>
      </c>
    </row>
    <row r="37" spans="1:24" s="117" customFormat="1" ht="20.25" customHeight="1">
      <c r="A37" s="112" t="s">
        <v>482</v>
      </c>
      <c r="B37" s="118" t="s">
        <v>551</v>
      </c>
      <c r="C37" s="414">
        <f t="shared" si="37"/>
        <v>10</v>
      </c>
      <c r="D37" s="360" t="s">
        <v>114</v>
      </c>
      <c r="E37" s="329">
        <f t="shared" si="38"/>
        <v>159.99</v>
      </c>
      <c r="F37" s="18">
        <f t="shared" ref="F37:F43" si="41">ROUND(C37*E37,0)</f>
        <v>1600</v>
      </c>
      <c r="G37" s="119">
        <f>ESTIMATE!I1563</f>
        <v>10</v>
      </c>
      <c r="H37" s="114" t="s">
        <v>114</v>
      </c>
      <c r="I37" s="138">
        <f>ESTIMATE!K1563</f>
        <v>159.99</v>
      </c>
      <c r="J37" s="18">
        <f t="shared" si="40"/>
        <v>1599.9</v>
      </c>
      <c r="K37" s="116">
        <f t="shared" si="34"/>
        <v>0</v>
      </c>
      <c r="L37" s="116">
        <f t="shared" si="35"/>
        <v>9.9999999999909051E-2</v>
      </c>
      <c r="M37" s="112" t="s">
        <v>15</v>
      </c>
      <c r="N37" s="256">
        <f t="shared" si="36"/>
        <v>0</v>
      </c>
      <c r="S37" s="117">
        <v>7263</v>
      </c>
      <c r="U37" s="215">
        <f t="shared" si="29"/>
        <v>-5663.1</v>
      </c>
      <c r="W37" s="117">
        <v>26</v>
      </c>
      <c r="X37" s="215">
        <f t="shared" si="30"/>
        <v>-16</v>
      </c>
    </row>
    <row r="38" spans="1:24" s="117" customFormat="1" ht="20.25" customHeight="1">
      <c r="A38" s="112" t="s">
        <v>1283</v>
      </c>
      <c r="B38" s="118" t="s">
        <v>1051</v>
      </c>
      <c r="C38" s="414">
        <f t="shared" si="37"/>
        <v>0</v>
      </c>
      <c r="D38" s="263" t="s">
        <v>114</v>
      </c>
      <c r="E38" s="329">
        <f t="shared" si="38"/>
        <v>442</v>
      </c>
      <c r="F38" s="18">
        <f t="shared" si="41"/>
        <v>0</v>
      </c>
      <c r="G38" s="119">
        <f>ESTIMATE!I1559</f>
        <v>0</v>
      </c>
      <c r="H38" s="114" t="s">
        <v>114</v>
      </c>
      <c r="I38" s="138">
        <f>ESTIMATE!K1559</f>
        <v>442</v>
      </c>
      <c r="J38" s="18">
        <f t="shared" si="40"/>
        <v>0</v>
      </c>
      <c r="K38" s="116">
        <f t="shared" si="34"/>
        <v>0</v>
      </c>
      <c r="L38" s="116">
        <f t="shared" si="35"/>
        <v>0</v>
      </c>
      <c r="M38" s="112" t="s">
        <v>15</v>
      </c>
      <c r="N38" s="256">
        <f t="shared" si="36"/>
        <v>0</v>
      </c>
      <c r="S38" s="117">
        <v>7263</v>
      </c>
      <c r="U38" s="215">
        <f t="shared" si="29"/>
        <v>-7263</v>
      </c>
      <c r="W38" s="117">
        <v>26</v>
      </c>
      <c r="X38" s="215">
        <f t="shared" si="30"/>
        <v>-26</v>
      </c>
    </row>
    <row r="39" spans="1:24" s="117" customFormat="1" ht="20.25" customHeight="1">
      <c r="A39" s="112" t="s">
        <v>483</v>
      </c>
      <c r="B39" s="118" t="s">
        <v>613</v>
      </c>
      <c r="C39" s="414">
        <f t="shared" si="37"/>
        <v>5</v>
      </c>
      <c r="D39" s="263" t="s">
        <v>114</v>
      </c>
      <c r="E39" s="329">
        <f t="shared" si="38"/>
        <v>23.86</v>
      </c>
      <c r="F39" s="18">
        <f t="shared" si="41"/>
        <v>119</v>
      </c>
      <c r="G39" s="119">
        <f>ESTIMATE!I1570</f>
        <v>5</v>
      </c>
      <c r="H39" s="114" t="s">
        <v>114</v>
      </c>
      <c r="I39" s="138">
        <f>ESTIMATE!K1570</f>
        <v>23.86</v>
      </c>
      <c r="J39" s="18">
        <f t="shared" si="40"/>
        <v>119.3</v>
      </c>
      <c r="K39" s="116">
        <f t="shared" si="34"/>
        <v>0.29999999999999716</v>
      </c>
      <c r="L39" s="116">
        <f t="shared" si="35"/>
        <v>0</v>
      </c>
      <c r="M39" s="112" t="s">
        <v>15</v>
      </c>
      <c r="N39" s="256">
        <f t="shared" si="36"/>
        <v>0</v>
      </c>
      <c r="S39" s="117">
        <v>2090</v>
      </c>
      <c r="U39" s="215">
        <f t="shared" si="29"/>
        <v>-1970.7</v>
      </c>
      <c r="W39" s="117">
        <v>15</v>
      </c>
      <c r="X39" s="215">
        <f t="shared" si="30"/>
        <v>-10</v>
      </c>
    </row>
    <row r="40" spans="1:24" s="117" customFormat="1" ht="20.25" customHeight="1">
      <c r="A40" s="112" t="s">
        <v>484</v>
      </c>
      <c r="B40" s="118" t="s">
        <v>552</v>
      </c>
      <c r="C40" s="414">
        <f t="shared" si="37"/>
        <v>6</v>
      </c>
      <c r="D40" s="263" t="s">
        <v>114</v>
      </c>
      <c r="E40" s="329">
        <f t="shared" si="38"/>
        <v>157.36000000000001</v>
      </c>
      <c r="F40" s="18">
        <f t="shared" si="41"/>
        <v>944</v>
      </c>
      <c r="G40" s="119">
        <f>ESTIMATE!I1574</f>
        <v>6</v>
      </c>
      <c r="H40" s="114" t="s">
        <v>114</v>
      </c>
      <c r="I40" s="138">
        <f>ESTIMATE!K1574</f>
        <v>157.36000000000001</v>
      </c>
      <c r="J40" s="18">
        <f t="shared" si="40"/>
        <v>944.16</v>
      </c>
      <c r="K40" s="116">
        <f t="shared" si="34"/>
        <v>0.15999999999996817</v>
      </c>
      <c r="L40" s="116">
        <f t="shared" si="35"/>
        <v>0</v>
      </c>
      <c r="M40" s="112" t="s">
        <v>15</v>
      </c>
      <c r="N40" s="256">
        <f t="shared" si="36"/>
        <v>0</v>
      </c>
      <c r="S40" s="117">
        <v>1674</v>
      </c>
      <c r="U40" s="215">
        <f t="shared" si="29"/>
        <v>-729.84</v>
      </c>
      <c r="W40" s="117">
        <v>24</v>
      </c>
      <c r="X40" s="215">
        <f t="shared" si="30"/>
        <v>-18</v>
      </c>
    </row>
    <row r="41" spans="1:24" s="117" customFormat="1" ht="20.25" customHeight="1">
      <c r="A41" s="112" t="s">
        <v>485</v>
      </c>
      <c r="B41" s="118" t="s">
        <v>553</v>
      </c>
      <c r="C41" s="414">
        <f t="shared" si="37"/>
        <v>6</v>
      </c>
      <c r="D41" s="263" t="s">
        <v>114</v>
      </c>
      <c r="E41" s="329">
        <f t="shared" si="38"/>
        <v>3786.42</v>
      </c>
      <c r="F41" s="18">
        <f t="shared" si="41"/>
        <v>22719</v>
      </c>
      <c r="G41" s="119">
        <f>ESTIMATE!I1578</f>
        <v>6</v>
      </c>
      <c r="H41" s="114" t="s">
        <v>114</v>
      </c>
      <c r="I41" s="138">
        <f>ESTIMATE!K1578</f>
        <v>3786.42</v>
      </c>
      <c r="J41" s="18">
        <f t="shared" si="40"/>
        <v>22718.52</v>
      </c>
      <c r="K41" s="116">
        <f t="shared" si="34"/>
        <v>0</v>
      </c>
      <c r="L41" s="116">
        <f t="shared" si="35"/>
        <v>0.47999999999956344</v>
      </c>
      <c r="M41" s="112" t="s">
        <v>15</v>
      </c>
      <c r="N41" s="256">
        <f t="shared" si="36"/>
        <v>0</v>
      </c>
      <c r="S41" s="117">
        <v>37536</v>
      </c>
      <c r="U41" s="215">
        <f t="shared" si="29"/>
        <v>-14817.48</v>
      </c>
      <c r="W41" s="117">
        <v>16</v>
      </c>
      <c r="X41" s="215">
        <f t="shared" si="30"/>
        <v>-10</v>
      </c>
    </row>
    <row r="42" spans="1:24" s="117" customFormat="1" ht="20.25" customHeight="1">
      <c r="A42" s="112" t="s">
        <v>486</v>
      </c>
      <c r="B42" s="118" t="s">
        <v>1328</v>
      </c>
      <c r="C42" s="414">
        <f t="shared" si="37"/>
        <v>6</v>
      </c>
      <c r="D42" s="263" t="s">
        <v>114</v>
      </c>
      <c r="E42" s="329">
        <f t="shared" si="38"/>
        <v>302.33000000000004</v>
      </c>
      <c r="F42" s="18">
        <f t="shared" si="41"/>
        <v>1814</v>
      </c>
      <c r="G42" s="119">
        <f>ESTIMATE!I1582</f>
        <v>6</v>
      </c>
      <c r="H42" s="114" t="s">
        <v>114</v>
      </c>
      <c r="I42" s="138">
        <f>ESTIMATE!K1582</f>
        <v>302.33000000000004</v>
      </c>
      <c r="J42" s="18">
        <f t="shared" si="40"/>
        <v>1813.98</v>
      </c>
      <c r="K42" s="116">
        <f t="shared" si="34"/>
        <v>0</v>
      </c>
      <c r="L42" s="116">
        <f t="shared" si="35"/>
        <v>1.999999999998181E-2</v>
      </c>
      <c r="M42" s="112" t="s">
        <v>15</v>
      </c>
      <c r="N42" s="256">
        <f t="shared" si="36"/>
        <v>0</v>
      </c>
      <c r="S42" s="117">
        <v>2096</v>
      </c>
      <c r="U42" s="215">
        <f t="shared" si="29"/>
        <v>-282.02</v>
      </c>
      <c r="W42" s="117">
        <v>16</v>
      </c>
      <c r="X42" s="215">
        <f t="shared" si="30"/>
        <v>-10</v>
      </c>
    </row>
    <row r="43" spans="1:24" s="117" customFormat="1" ht="20.25" customHeight="1">
      <c r="A43" s="112" t="s">
        <v>1284</v>
      </c>
      <c r="B43" s="118" t="s">
        <v>554</v>
      </c>
      <c r="C43" s="414">
        <f t="shared" si="37"/>
        <v>8</v>
      </c>
      <c r="D43" s="360" t="s">
        <v>114</v>
      </c>
      <c r="E43" s="329">
        <f t="shared" si="38"/>
        <v>464.55</v>
      </c>
      <c r="F43" s="18">
        <f t="shared" si="41"/>
        <v>3716</v>
      </c>
      <c r="G43" s="119">
        <f>ESTIMATE!I1631</f>
        <v>8</v>
      </c>
      <c r="H43" s="114" t="s">
        <v>114</v>
      </c>
      <c r="I43" s="138">
        <f>ESTIMATE!K1631</f>
        <v>464.55</v>
      </c>
      <c r="J43" s="18">
        <f t="shared" si="40"/>
        <v>3716.4</v>
      </c>
      <c r="K43" s="116">
        <f t="shared" si="34"/>
        <v>0.40000000000009095</v>
      </c>
      <c r="L43" s="116">
        <f t="shared" si="35"/>
        <v>0</v>
      </c>
      <c r="M43" s="112" t="s">
        <v>15</v>
      </c>
      <c r="N43" s="256">
        <f t="shared" si="36"/>
        <v>0</v>
      </c>
      <c r="S43" s="117">
        <v>12090</v>
      </c>
      <c r="U43" s="215">
        <f t="shared" si="29"/>
        <v>-8373.6</v>
      </c>
      <c r="W43" s="117">
        <v>30</v>
      </c>
      <c r="X43" s="215">
        <f t="shared" si="30"/>
        <v>-22</v>
      </c>
    </row>
    <row r="44" spans="1:24" s="117" customFormat="1" ht="20.25" customHeight="1">
      <c r="A44" s="112" t="s">
        <v>1285</v>
      </c>
      <c r="B44" s="118" t="s">
        <v>556</v>
      </c>
      <c r="C44" s="252"/>
      <c r="D44" s="257"/>
      <c r="E44" s="122"/>
      <c r="F44" s="361">
        <f>CS!J249</f>
        <v>8352</v>
      </c>
      <c r="G44" s="119"/>
      <c r="H44" s="257"/>
      <c r="I44" s="123"/>
      <c r="J44" s="256">
        <f>ESTIMATE!M1656</f>
        <v>8352</v>
      </c>
      <c r="K44" s="116">
        <f t="shared" si="34"/>
        <v>0</v>
      </c>
      <c r="L44" s="116">
        <f t="shared" si="35"/>
        <v>0</v>
      </c>
      <c r="M44" s="112" t="s">
        <v>15</v>
      </c>
      <c r="N44" s="256">
        <f t="shared" si="36"/>
        <v>0</v>
      </c>
      <c r="S44" s="117">
        <v>20301</v>
      </c>
      <c r="U44" s="215">
        <f t="shared" ref="U44:U48" si="42">J44-S44</f>
        <v>-11949</v>
      </c>
      <c r="X44" s="215">
        <f t="shared" ref="X44:X47" si="43">G44-W44</f>
        <v>0</v>
      </c>
    </row>
    <row r="45" spans="1:24" s="117" customFormat="1" ht="20.25" customHeight="1">
      <c r="A45" s="112" t="s">
        <v>1286</v>
      </c>
      <c r="B45" s="118" t="s">
        <v>1893</v>
      </c>
      <c r="C45" s="252"/>
      <c r="D45" s="257"/>
      <c r="E45" s="122"/>
      <c r="F45" s="361">
        <f>CS!J250</f>
        <v>302021</v>
      </c>
      <c r="G45" s="119"/>
      <c r="H45" s="257"/>
      <c r="I45" s="123"/>
      <c r="J45" s="256">
        <f>ESTIMATE!M1657</f>
        <v>302021</v>
      </c>
      <c r="K45" s="116">
        <f t="shared" si="34"/>
        <v>0</v>
      </c>
      <c r="L45" s="116">
        <f t="shared" si="35"/>
        <v>0</v>
      </c>
      <c r="M45" s="112" t="s">
        <v>15</v>
      </c>
      <c r="N45" s="256">
        <f t="shared" si="36"/>
        <v>0</v>
      </c>
      <c r="U45" s="215"/>
      <c r="X45" s="215"/>
    </row>
    <row r="46" spans="1:24" s="117" customFormat="1" ht="20.25" customHeight="1">
      <c r="A46" s="112" t="s">
        <v>1287</v>
      </c>
      <c r="B46" s="118" t="s">
        <v>1841</v>
      </c>
      <c r="C46" s="252"/>
      <c r="D46" s="257"/>
      <c r="E46" s="122"/>
      <c r="F46" s="361" t="e">
        <f>CS!J251</f>
        <v>#REF!</v>
      </c>
      <c r="G46" s="119"/>
      <c r="H46" s="257"/>
      <c r="I46" s="123"/>
      <c r="J46" s="256" t="e">
        <f>ESTIMATE!#REF!</f>
        <v>#REF!</v>
      </c>
      <c r="K46" s="116" t="e">
        <f t="shared" si="34"/>
        <v>#REF!</v>
      </c>
      <c r="L46" s="116" t="e">
        <f t="shared" si="35"/>
        <v>#REF!</v>
      </c>
      <c r="M46" s="112" t="s">
        <v>15</v>
      </c>
      <c r="N46" s="256">
        <f t="shared" si="36"/>
        <v>0</v>
      </c>
      <c r="U46" s="215"/>
      <c r="X46" s="215"/>
    </row>
    <row r="47" spans="1:24" s="117" customFormat="1" ht="20.25" customHeight="1">
      <c r="A47" s="112" t="s">
        <v>1288</v>
      </c>
      <c r="B47" s="118" t="s">
        <v>435</v>
      </c>
      <c r="C47" s="252"/>
      <c r="D47" s="257"/>
      <c r="E47" s="122"/>
      <c r="F47" s="361">
        <f>CS!J252</f>
        <v>17391</v>
      </c>
      <c r="G47" s="119"/>
      <c r="H47" s="257"/>
      <c r="I47" s="123"/>
      <c r="J47" s="256">
        <f>ESTIMATE!M1654</f>
        <v>17391</v>
      </c>
      <c r="K47" s="116">
        <f t="shared" si="34"/>
        <v>0</v>
      </c>
      <c r="L47" s="116">
        <f t="shared" si="35"/>
        <v>0</v>
      </c>
      <c r="M47" s="112" t="s">
        <v>15</v>
      </c>
      <c r="N47" s="256">
        <f t="shared" si="36"/>
        <v>0</v>
      </c>
      <c r="S47" s="117">
        <v>26478</v>
      </c>
      <c r="U47" s="215">
        <f t="shared" si="42"/>
        <v>-9087</v>
      </c>
      <c r="X47" s="215">
        <f t="shared" si="43"/>
        <v>0</v>
      </c>
    </row>
    <row r="48" spans="1:24" s="117" customFormat="1" ht="20.25" customHeight="1">
      <c r="A48" s="112" t="s">
        <v>488</v>
      </c>
      <c r="B48" s="118" t="s">
        <v>290</v>
      </c>
      <c r="C48" s="253"/>
      <c r="D48" s="257"/>
      <c r="E48" s="123"/>
      <c r="F48" s="413">
        <f>CS!J255</f>
        <v>1840</v>
      </c>
      <c r="G48" s="119"/>
      <c r="H48" s="257"/>
      <c r="I48" s="123"/>
      <c r="J48" s="256"/>
      <c r="K48" s="116">
        <f t="shared" si="34"/>
        <v>0</v>
      </c>
      <c r="L48" s="116">
        <f t="shared" si="35"/>
        <v>1840</v>
      </c>
      <c r="M48" s="112" t="s">
        <v>15</v>
      </c>
      <c r="N48" s="256">
        <f t="shared" si="36"/>
        <v>0</v>
      </c>
      <c r="S48" s="117">
        <v>-122011</v>
      </c>
      <c r="U48" s="215">
        <f t="shared" si="42"/>
        <v>122011</v>
      </c>
    </row>
    <row r="49" spans="1:14" s="117" customFormat="1" ht="20.25" customHeight="1">
      <c r="A49" s="112"/>
      <c r="B49" s="124"/>
      <c r="C49" s="1015" t="s">
        <v>559</v>
      </c>
      <c r="D49" s="1015"/>
      <c r="E49" s="1016"/>
      <c r="F49" s="125" t="e">
        <f>SUM(F7:F48)</f>
        <v>#REF!</v>
      </c>
      <c r="G49" s="119"/>
      <c r="H49" s="258"/>
      <c r="I49" s="112"/>
      <c r="J49" s="125" t="e">
        <f>SUM(J7:J48)</f>
        <v>#REF!</v>
      </c>
      <c r="K49" s="125" t="e">
        <f>SUM(K7:K48)</f>
        <v>#REF!</v>
      </c>
      <c r="L49" s="125" t="e">
        <f>SUM(L7:L48)</f>
        <v>#REF!</v>
      </c>
      <c r="M49" s="112"/>
    </row>
    <row r="50" spans="1:14" ht="20.25" customHeight="1">
      <c r="A50" s="112"/>
      <c r="B50" s="126"/>
      <c r="C50" s="1015" t="s">
        <v>1911</v>
      </c>
      <c r="D50" s="1015"/>
      <c r="E50" s="1016"/>
      <c r="F50" s="127" t="e">
        <f>J49</f>
        <v>#REF!</v>
      </c>
      <c r="G50" s="128"/>
      <c r="H50" s="259"/>
      <c r="I50" s="260"/>
      <c r="J50" s="261"/>
      <c r="K50" s="127"/>
      <c r="L50" s="261" t="e">
        <f>K49</f>
        <v>#REF!</v>
      </c>
      <c r="M50" s="260"/>
    </row>
    <row r="51" spans="1:14" ht="20.25" customHeight="1">
      <c r="A51" s="112"/>
      <c r="B51" s="411" t="s">
        <v>525</v>
      </c>
      <c r="C51" s="1015" t="s">
        <v>526</v>
      </c>
      <c r="D51" s="1015"/>
      <c r="E51" s="1016"/>
      <c r="F51" s="127" t="e">
        <f>F49-F50</f>
        <v>#REF!</v>
      </c>
      <c r="G51" s="128"/>
      <c r="H51" s="129"/>
      <c r="I51" s="130"/>
      <c r="J51" s="127"/>
      <c r="K51" s="261"/>
      <c r="L51" s="127" t="e">
        <f>L49-L50</f>
        <v>#REF!</v>
      </c>
      <c r="M51" s="130"/>
    </row>
    <row r="52" spans="1:14" ht="24.75" customHeight="1">
      <c r="A52" s="117"/>
      <c r="B52" s="131"/>
    </row>
    <row r="53" spans="1:14" ht="17.25" customHeight="1">
      <c r="A53" s="117"/>
      <c r="B53" s="131"/>
    </row>
    <row r="54" spans="1:14">
      <c r="A54" s="117"/>
      <c r="B54" s="131"/>
      <c r="H54" s="135" t="str">
        <f>'lead 25-26'!H32</f>
        <v>Deputy Executive Engineer</v>
      </c>
      <c r="K54" s="135" t="str">
        <f>'lead 25-26'!K32</f>
        <v>Assistant  Engineer</v>
      </c>
      <c r="L54" s="136"/>
    </row>
    <row r="55" spans="1:14">
      <c r="A55" s="117"/>
      <c r="B55" s="131"/>
      <c r="H55" s="135" t="str">
        <f>'lead 25-26'!H33</f>
        <v>PRI Sub Division</v>
      </c>
      <c r="K55" s="135" t="str">
        <f>'lead 25-26'!K33</f>
        <v>Mandal Praja parishad</v>
      </c>
    </row>
    <row r="56" spans="1:14">
      <c r="A56" s="117"/>
      <c r="B56" s="131"/>
      <c r="H56" s="135" t="str">
        <f>'lead 25-26'!H34</f>
        <v>Kanigiri</v>
      </c>
      <c r="K56" s="135" t="str">
        <f>'lead 25-26'!K34</f>
        <v>Kanigiri</v>
      </c>
    </row>
    <row r="57" spans="1:14">
      <c r="A57" s="117"/>
      <c r="B57" s="131"/>
    </row>
    <row r="58" spans="1:14" s="132" customFormat="1">
      <c r="A58" s="117"/>
      <c r="B58" s="131"/>
      <c r="C58" s="254"/>
      <c r="D58" s="133"/>
      <c r="E58" s="137"/>
      <c r="F58" s="137"/>
      <c r="H58" s="133"/>
      <c r="I58" s="137"/>
      <c r="J58" s="137"/>
      <c r="K58" s="134"/>
      <c r="L58" s="134"/>
      <c r="M58" s="137"/>
      <c r="N58" s="137"/>
    </row>
    <row r="59" spans="1:14" s="132" customFormat="1">
      <c r="A59" s="117"/>
      <c r="B59" s="131"/>
      <c r="C59" s="254"/>
      <c r="D59" s="133"/>
      <c r="E59" s="137"/>
      <c r="F59" s="137"/>
      <c r="H59" s="133"/>
      <c r="I59" s="137"/>
      <c r="J59" s="137"/>
      <c r="K59" s="134"/>
      <c r="L59" s="134"/>
      <c r="M59" s="137"/>
      <c r="N59" s="137"/>
    </row>
    <row r="60" spans="1:14" s="132" customFormat="1">
      <c r="A60" s="117"/>
      <c r="B60" s="131"/>
      <c r="C60" s="254"/>
      <c r="D60" s="133"/>
      <c r="E60" s="137"/>
      <c r="F60" s="137"/>
      <c r="H60" s="133"/>
      <c r="I60" s="137"/>
      <c r="J60" s="137"/>
      <c r="K60" s="134"/>
      <c r="L60" s="134"/>
      <c r="M60" s="137"/>
      <c r="N60" s="137"/>
    </row>
    <row r="61" spans="1:14" s="132" customFormat="1">
      <c r="A61" s="117"/>
      <c r="B61" s="131"/>
      <c r="C61" s="254"/>
      <c r="D61" s="133"/>
      <c r="E61" s="137"/>
      <c r="F61" s="137"/>
      <c r="H61" s="133"/>
      <c r="I61" s="137"/>
      <c r="J61" s="137"/>
      <c r="K61" s="134"/>
      <c r="L61" s="134"/>
      <c r="M61" s="137"/>
      <c r="N61" s="137"/>
    </row>
    <row r="62" spans="1:14" s="132" customFormat="1">
      <c r="A62" s="117"/>
      <c r="B62" s="137"/>
      <c r="C62" s="254"/>
      <c r="D62" s="133"/>
      <c r="E62" s="137"/>
      <c r="F62" s="137"/>
      <c r="H62" s="133"/>
      <c r="I62" s="137"/>
      <c r="J62" s="137"/>
      <c r="K62" s="134"/>
      <c r="L62" s="134"/>
      <c r="M62" s="137"/>
      <c r="N62" s="137"/>
    </row>
    <row r="63" spans="1:14" s="132" customFormat="1">
      <c r="A63" s="117"/>
      <c r="B63" s="137"/>
      <c r="C63" s="254"/>
      <c r="D63" s="133"/>
      <c r="E63" s="137"/>
      <c r="F63" s="137"/>
      <c r="H63" s="133"/>
      <c r="I63" s="137"/>
      <c r="J63" s="137"/>
      <c r="K63" s="134"/>
      <c r="L63" s="134"/>
      <c r="M63" s="137"/>
      <c r="N63" s="137"/>
    </row>
    <row r="64" spans="1:14" s="132" customFormat="1">
      <c r="A64" s="117"/>
      <c r="B64" s="137"/>
      <c r="C64" s="254"/>
      <c r="D64" s="133"/>
      <c r="E64" s="137"/>
      <c r="F64" s="137"/>
      <c r="H64" s="133"/>
      <c r="I64" s="137"/>
      <c r="J64" s="137"/>
      <c r="K64" s="134"/>
      <c r="L64" s="134"/>
      <c r="M64" s="137"/>
      <c r="N64" s="137"/>
    </row>
    <row r="65" spans="1:14" s="132" customFormat="1">
      <c r="A65" s="117"/>
      <c r="B65" s="137"/>
      <c r="C65" s="254"/>
      <c r="D65" s="133"/>
      <c r="E65" s="137"/>
      <c r="F65" s="137"/>
      <c r="H65" s="133"/>
      <c r="I65" s="137"/>
      <c r="J65" s="137"/>
      <c r="K65" s="134"/>
      <c r="L65" s="134"/>
      <c r="M65" s="137"/>
      <c r="N65" s="137"/>
    </row>
    <row r="66" spans="1:14" s="132" customFormat="1">
      <c r="A66" s="117"/>
      <c r="B66" s="137"/>
      <c r="C66" s="254"/>
      <c r="D66" s="133"/>
      <c r="E66" s="137"/>
      <c r="F66" s="137"/>
      <c r="H66" s="133"/>
      <c r="I66" s="137"/>
      <c r="J66" s="137"/>
      <c r="K66" s="134"/>
      <c r="L66" s="134"/>
      <c r="M66" s="137"/>
      <c r="N66" s="137"/>
    </row>
    <row r="67" spans="1:14" s="132" customFormat="1">
      <c r="A67" s="117"/>
      <c r="B67" s="137"/>
      <c r="C67" s="254"/>
      <c r="D67" s="133"/>
      <c r="E67" s="137"/>
      <c r="F67" s="137"/>
      <c r="H67" s="133"/>
      <c r="I67" s="137"/>
      <c r="J67" s="137"/>
      <c r="K67" s="134"/>
      <c r="L67" s="134"/>
      <c r="M67" s="137"/>
      <c r="N67" s="137"/>
    </row>
    <row r="68" spans="1:14" s="132" customFormat="1">
      <c r="A68" s="117"/>
      <c r="B68" s="137"/>
      <c r="C68" s="254"/>
      <c r="D68" s="133"/>
      <c r="E68" s="137"/>
      <c r="F68" s="137"/>
      <c r="H68" s="133"/>
      <c r="I68" s="137"/>
      <c r="J68" s="137"/>
      <c r="K68" s="134"/>
      <c r="L68" s="134"/>
      <c r="M68" s="137"/>
      <c r="N68" s="137"/>
    </row>
    <row r="69" spans="1:14" s="132" customFormat="1">
      <c r="A69" s="117"/>
      <c r="B69" s="137"/>
      <c r="C69" s="254"/>
      <c r="D69" s="133"/>
      <c r="E69" s="137"/>
      <c r="F69" s="137"/>
      <c r="H69" s="133"/>
      <c r="I69" s="137"/>
      <c r="J69" s="137"/>
      <c r="K69" s="134"/>
      <c r="L69" s="134"/>
      <c r="M69" s="137"/>
      <c r="N69" s="137"/>
    </row>
    <row r="70" spans="1:14" s="132" customFormat="1">
      <c r="A70" s="117"/>
      <c r="B70" s="137"/>
      <c r="C70" s="254"/>
      <c r="D70" s="133"/>
      <c r="E70" s="137"/>
      <c r="F70" s="137"/>
      <c r="H70" s="133"/>
      <c r="I70" s="137"/>
      <c r="J70" s="137"/>
      <c r="K70" s="134"/>
      <c r="L70" s="134"/>
      <c r="M70" s="137"/>
      <c r="N70" s="137"/>
    </row>
    <row r="71" spans="1:14" s="132" customFormat="1">
      <c r="A71" s="117"/>
      <c r="B71" s="137"/>
      <c r="C71" s="254"/>
      <c r="D71" s="133"/>
      <c r="E71" s="137"/>
      <c r="F71" s="137"/>
      <c r="H71" s="133"/>
      <c r="I71" s="137"/>
      <c r="J71" s="137"/>
      <c r="K71" s="134"/>
      <c r="L71" s="134"/>
      <c r="M71" s="137"/>
      <c r="N71" s="137"/>
    </row>
    <row r="72" spans="1:14" s="132" customFormat="1">
      <c r="A72" s="117"/>
      <c r="B72" s="137"/>
      <c r="C72" s="254"/>
      <c r="D72" s="133"/>
      <c r="E72" s="137"/>
      <c r="F72" s="137"/>
      <c r="H72" s="133"/>
      <c r="I72" s="137"/>
      <c r="J72" s="137"/>
      <c r="K72" s="134"/>
      <c r="L72" s="134"/>
      <c r="M72" s="137"/>
      <c r="N72" s="137"/>
    </row>
    <row r="73" spans="1:14" s="132" customFormat="1">
      <c r="A73" s="117"/>
      <c r="B73" s="137"/>
      <c r="C73" s="254"/>
      <c r="D73" s="133"/>
      <c r="E73" s="137"/>
      <c r="F73" s="137"/>
      <c r="H73" s="133"/>
      <c r="I73" s="137"/>
      <c r="J73" s="137"/>
      <c r="K73" s="134"/>
      <c r="L73" s="134"/>
      <c r="M73" s="137"/>
      <c r="N73" s="137"/>
    </row>
    <row r="74" spans="1:14">
      <c r="A74" s="117"/>
    </row>
    <row r="75" spans="1:14">
      <c r="A75" s="117"/>
    </row>
    <row r="76" spans="1:14">
      <c r="A76" s="117"/>
    </row>
    <row r="77" spans="1:14">
      <c r="A77" s="117"/>
    </row>
    <row r="78" spans="1:14">
      <c r="A78" s="117"/>
    </row>
    <row r="79" spans="1:14">
      <c r="A79" s="117"/>
    </row>
    <row r="80" spans="1:14">
      <c r="A80" s="117"/>
    </row>
    <row r="81" spans="1:12">
      <c r="A81" s="117"/>
    </row>
    <row r="82" spans="1:12">
      <c r="A82" s="117"/>
      <c r="C82" s="255"/>
      <c r="G82" s="137"/>
      <c r="H82" s="137"/>
      <c r="K82" s="137"/>
      <c r="L82" s="137"/>
    </row>
    <row r="83" spans="1:12">
      <c r="A83" s="117"/>
      <c r="C83" s="255"/>
      <c r="G83" s="137"/>
      <c r="H83" s="137"/>
      <c r="K83" s="137"/>
      <c r="L83" s="137"/>
    </row>
    <row r="84" spans="1:12">
      <c r="A84" s="117"/>
      <c r="C84" s="255"/>
      <c r="G84" s="137"/>
      <c r="H84" s="137"/>
      <c r="K84" s="137"/>
      <c r="L84" s="137"/>
    </row>
    <row r="85" spans="1:12">
      <c r="A85" s="117"/>
      <c r="C85" s="255"/>
      <c r="G85" s="137"/>
      <c r="H85" s="137"/>
      <c r="K85" s="137"/>
      <c r="L85" s="137"/>
    </row>
    <row r="86" spans="1:12">
      <c r="A86" s="117"/>
      <c r="C86" s="255"/>
      <c r="G86" s="137"/>
      <c r="H86" s="137"/>
      <c r="K86" s="137"/>
      <c r="L86" s="137"/>
    </row>
    <row r="87" spans="1:12">
      <c r="A87" s="117"/>
      <c r="C87" s="255"/>
      <c r="G87" s="137"/>
      <c r="H87" s="137"/>
      <c r="K87" s="137"/>
      <c r="L87" s="137"/>
    </row>
    <row r="88" spans="1:12">
      <c r="A88" s="117"/>
      <c r="C88" s="255"/>
      <c r="G88" s="137"/>
      <c r="H88" s="137"/>
      <c r="K88" s="137"/>
      <c r="L88" s="137"/>
    </row>
    <row r="89" spans="1:12">
      <c r="A89" s="117"/>
      <c r="C89" s="255"/>
      <c r="G89" s="137"/>
      <c r="H89" s="137"/>
      <c r="K89" s="137"/>
      <c r="L89" s="137"/>
    </row>
    <row r="90" spans="1:12">
      <c r="A90" s="117"/>
      <c r="C90" s="255"/>
      <c r="G90" s="137"/>
      <c r="H90" s="137"/>
      <c r="K90" s="137"/>
      <c r="L90" s="137"/>
    </row>
    <row r="91" spans="1:12">
      <c r="A91" s="117"/>
      <c r="C91" s="255"/>
      <c r="G91" s="137"/>
      <c r="H91" s="137"/>
      <c r="K91" s="137"/>
      <c r="L91" s="137"/>
    </row>
    <row r="92" spans="1:12">
      <c r="A92" s="117"/>
      <c r="C92" s="255"/>
      <c r="G92" s="137"/>
      <c r="H92" s="137"/>
      <c r="K92" s="137"/>
      <c r="L92" s="137"/>
    </row>
    <row r="93" spans="1:12">
      <c r="A93" s="117"/>
      <c r="C93" s="255"/>
      <c r="G93" s="137"/>
      <c r="H93" s="137"/>
      <c r="K93" s="137"/>
      <c r="L93" s="137"/>
    </row>
    <row r="94" spans="1:12">
      <c r="A94" s="117"/>
      <c r="C94" s="255"/>
      <c r="G94" s="137"/>
      <c r="H94" s="137"/>
      <c r="K94" s="137"/>
      <c r="L94" s="137"/>
    </row>
    <row r="95" spans="1:12">
      <c r="A95" s="117"/>
      <c r="C95" s="255"/>
      <c r="G95" s="137"/>
      <c r="H95" s="137"/>
      <c r="K95" s="137"/>
      <c r="L95" s="137"/>
    </row>
    <row r="96" spans="1:12">
      <c r="A96" s="117"/>
      <c r="C96" s="255"/>
      <c r="G96" s="137"/>
      <c r="H96" s="137"/>
      <c r="K96" s="137"/>
      <c r="L96" s="137"/>
    </row>
    <row r="97" spans="1:12">
      <c r="A97" s="117"/>
      <c r="C97" s="255"/>
      <c r="G97" s="137"/>
      <c r="H97" s="137"/>
      <c r="K97" s="137"/>
      <c r="L97" s="137"/>
    </row>
    <row r="98" spans="1:12">
      <c r="A98" s="117"/>
      <c r="C98" s="255"/>
      <c r="G98" s="137"/>
      <c r="H98" s="137"/>
      <c r="K98" s="137"/>
      <c r="L98" s="137"/>
    </row>
    <row r="99" spans="1:12">
      <c r="A99" s="117"/>
      <c r="C99" s="255"/>
      <c r="G99" s="137"/>
      <c r="H99" s="137"/>
      <c r="K99" s="137"/>
      <c r="L99" s="137"/>
    </row>
    <row r="100" spans="1:12">
      <c r="A100" s="117"/>
      <c r="C100" s="255"/>
      <c r="G100" s="137"/>
      <c r="H100" s="137"/>
      <c r="K100" s="137"/>
      <c r="L100" s="137"/>
    </row>
    <row r="101" spans="1:12">
      <c r="A101" s="117"/>
      <c r="C101" s="255"/>
      <c r="G101" s="137"/>
      <c r="H101" s="137"/>
      <c r="K101" s="137"/>
      <c r="L101" s="137"/>
    </row>
    <row r="102" spans="1:12">
      <c r="A102" s="117"/>
      <c r="C102" s="255"/>
      <c r="G102" s="137"/>
      <c r="H102" s="137"/>
      <c r="K102" s="137"/>
      <c r="L102" s="137"/>
    </row>
    <row r="103" spans="1:12">
      <c r="A103" s="117"/>
      <c r="C103" s="255"/>
      <c r="G103" s="137"/>
      <c r="H103" s="137"/>
      <c r="K103" s="137"/>
      <c r="L103" s="137"/>
    </row>
    <row r="104" spans="1:12">
      <c r="A104" s="117"/>
      <c r="C104" s="255"/>
      <c r="G104" s="137"/>
      <c r="H104" s="137"/>
      <c r="K104" s="137"/>
      <c r="L104" s="137"/>
    </row>
    <row r="105" spans="1:12">
      <c r="A105" s="117"/>
      <c r="C105" s="255"/>
      <c r="G105" s="137"/>
      <c r="H105" s="137"/>
      <c r="K105" s="137"/>
      <c r="L105" s="137"/>
    </row>
    <row r="106" spans="1:12">
      <c r="A106" s="117"/>
      <c r="C106" s="255"/>
      <c r="G106" s="137"/>
      <c r="H106" s="137"/>
      <c r="K106" s="137"/>
      <c r="L106" s="137"/>
    </row>
    <row r="107" spans="1:12">
      <c r="A107" s="117"/>
      <c r="C107" s="255"/>
      <c r="G107" s="137"/>
      <c r="H107" s="137"/>
      <c r="K107" s="137"/>
      <c r="L107" s="137"/>
    </row>
    <row r="108" spans="1:12">
      <c r="A108" s="117"/>
      <c r="C108" s="255"/>
      <c r="G108" s="137"/>
      <c r="H108" s="137"/>
      <c r="K108" s="137"/>
      <c r="L108" s="137"/>
    </row>
    <row r="109" spans="1:12">
      <c r="A109" s="117"/>
      <c r="C109" s="255"/>
      <c r="G109" s="137"/>
      <c r="H109" s="137"/>
      <c r="K109" s="137"/>
      <c r="L109" s="137"/>
    </row>
    <row r="110" spans="1:12">
      <c r="A110" s="117"/>
      <c r="C110" s="255"/>
      <c r="G110" s="137"/>
      <c r="H110" s="137"/>
      <c r="K110" s="137"/>
      <c r="L110" s="137"/>
    </row>
    <row r="111" spans="1:12">
      <c r="A111" s="117"/>
      <c r="C111" s="255"/>
      <c r="G111" s="137"/>
      <c r="H111" s="137"/>
      <c r="K111" s="137"/>
      <c r="L111" s="137"/>
    </row>
    <row r="112" spans="1:12">
      <c r="A112" s="117"/>
      <c r="C112" s="255"/>
      <c r="G112" s="137"/>
      <c r="H112" s="137"/>
      <c r="K112" s="137"/>
      <c r="L112" s="137"/>
    </row>
    <row r="113" spans="1:12">
      <c r="A113" s="117"/>
      <c r="C113" s="255"/>
      <c r="G113" s="137"/>
      <c r="H113" s="137"/>
      <c r="K113" s="137"/>
      <c r="L113" s="137"/>
    </row>
    <row r="114" spans="1:12">
      <c r="A114" s="117"/>
      <c r="C114" s="255"/>
      <c r="G114" s="137"/>
      <c r="H114" s="137"/>
      <c r="K114" s="137"/>
      <c r="L114" s="137"/>
    </row>
    <row r="115" spans="1:12">
      <c r="A115" s="117"/>
      <c r="C115" s="255"/>
      <c r="G115" s="137"/>
      <c r="H115" s="137"/>
      <c r="K115" s="137"/>
      <c r="L115" s="137"/>
    </row>
    <row r="116" spans="1:12">
      <c r="A116" s="117"/>
      <c r="C116" s="255"/>
      <c r="G116" s="137"/>
      <c r="H116" s="137"/>
      <c r="K116" s="137"/>
      <c r="L116" s="137"/>
    </row>
    <row r="117" spans="1:12">
      <c r="A117" s="117"/>
      <c r="C117" s="255"/>
      <c r="G117" s="137"/>
      <c r="H117" s="137"/>
      <c r="K117" s="137"/>
      <c r="L117" s="137"/>
    </row>
    <row r="118" spans="1:12">
      <c r="A118" s="117"/>
      <c r="C118" s="255"/>
      <c r="G118" s="137"/>
      <c r="H118" s="137"/>
      <c r="K118" s="137"/>
      <c r="L118" s="137"/>
    </row>
    <row r="119" spans="1:12">
      <c r="A119" s="117"/>
      <c r="C119" s="255"/>
      <c r="G119" s="137"/>
      <c r="H119" s="137"/>
      <c r="K119" s="137"/>
      <c r="L119" s="137"/>
    </row>
    <row r="120" spans="1:12">
      <c r="A120" s="117"/>
      <c r="C120" s="255"/>
      <c r="G120" s="137"/>
      <c r="H120" s="137"/>
      <c r="K120" s="137"/>
      <c r="L120" s="137"/>
    </row>
    <row r="121" spans="1:12">
      <c r="A121" s="117"/>
      <c r="C121" s="255"/>
      <c r="G121" s="137"/>
      <c r="H121" s="137"/>
      <c r="K121" s="137"/>
      <c r="L121" s="137"/>
    </row>
    <row r="122" spans="1:12">
      <c r="A122" s="117"/>
      <c r="C122" s="255"/>
      <c r="G122" s="137"/>
      <c r="H122" s="137"/>
      <c r="K122" s="137"/>
      <c r="L122" s="137"/>
    </row>
    <row r="123" spans="1:12">
      <c r="A123" s="117"/>
      <c r="C123" s="255"/>
      <c r="G123" s="137"/>
      <c r="H123" s="137"/>
      <c r="K123" s="137"/>
      <c r="L123" s="137"/>
    </row>
    <row r="124" spans="1:12">
      <c r="A124" s="117"/>
      <c r="C124" s="255"/>
      <c r="G124" s="137"/>
      <c r="H124" s="137"/>
      <c r="K124" s="137"/>
      <c r="L124" s="137"/>
    </row>
    <row r="125" spans="1:12">
      <c r="A125" s="117"/>
      <c r="C125" s="255"/>
      <c r="G125" s="137"/>
      <c r="H125" s="137"/>
      <c r="K125" s="137"/>
      <c r="L125" s="137"/>
    </row>
    <row r="126" spans="1:12">
      <c r="A126" s="117"/>
      <c r="C126" s="255"/>
      <c r="G126" s="137"/>
      <c r="H126" s="137"/>
      <c r="K126" s="137"/>
      <c r="L126" s="137"/>
    </row>
    <row r="127" spans="1:12">
      <c r="A127" s="117"/>
      <c r="C127" s="255"/>
      <c r="G127" s="137"/>
      <c r="H127" s="137"/>
      <c r="K127" s="137"/>
      <c r="L127" s="137"/>
    </row>
    <row r="128" spans="1:12">
      <c r="A128" s="117"/>
      <c r="C128" s="255"/>
      <c r="G128" s="137"/>
      <c r="H128" s="137"/>
      <c r="K128" s="137"/>
      <c r="L128" s="137"/>
    </row>
    <row r="129" spans="1:12">
      <c r="A129" s="117"/>
      <c r="C129" s="255"/>
      <c r="G129" s="137"/>
      <c r="H129" s="137"/>
      <c r="K129" s="137"/>
      <c r="L129" s="137"/>
    </row>
    <row r="130" spans="1:12">
      <c r="A130" s="117"/>
      <c r="C130" s="255"/>
      <c r="G130" s="137"/>
      <c r="H130" s="137"/>
      <c r="K130" s="137"/>
      <c r="L130" s="137"/>
    </row>
    <row r="131" spans="1:12">
      <c r="A131" s="117"/>
      <c r="C131" s="255"/>
      <c r="G131" s="137"/>
      <c r="H131" s="137"/>
      <c r="K131" s="137"/>
      <c r="L131" s="137"/>
    </row>
    <row r="132" spans="1:12">
      <c r="A132" s="117"/>
      <c r="C132" s="255"/>
      <c r="G132" s="137"/>
      <c r="H132" s="137"/>
      <c r="K132" s="137"/>
      <c r="L132" s="137"/>
    </row>
    <row r="133" spans="1:12">
      <c r="A133" s="117"/>
      <c r="C133" s="255"/>
      <c r="G133" s="137"/>
      <c r="H133" s="137"/>
      <c r="K133" s="137"/>
      <c r="L133" s="137"/>
    </row>
    <row r="134" spans="1:12">
      <c r="A134" s="117"/>
      <c r="C134" s="255"/>
      <c r="G134" s="137"/>
      <c r="H134" s="137"/>
      <c r="K134" s="137"/>
      <c r="L134" s="137"/>
    </row>
    <row r="135" spans="1:12">
      <c r="A135" s="117"/>
      <c r="C135" s="255"/>
      <c r="G135" s="137"/>
      <c r="H135" s="137"/>
      <c r="K135" s="137"/>
      <c r="L135" s="137"/>
    </row>
    <row r="136" spans="1:12">
      <c r="A136" s="117"/>
      <c r="C136" s="255"/>
      <c r="G136" s="137"/>
      <c r="H136" s="137"/>
      <c r="K136" s="137"/>
      <c r="L136" s="137"/>
    </row>
    <row r="137" spans="1:12">
      <c r="A137" s="117"/>
      <c r="C137" s="255"/>
      <c r="G137" s="137"/>
      <c r="H137" s="137"/>
      <c r="K137" s="137"/>
      <c r="L137" s="137"/>
    </row>
    <row r="138" spans="1:12">
      <c r="A138" s="117"/>
      <c r="C138" s="255"/>
      <c r="G138" s="137"/>
      <c r="H138" s="137"/>
      <c r="K138" s="137"/>
      <c r="L138" s="137"/>
    </row>
    <row r="139" spans="1:12">
      <c r="A139" s="117"/>
      <c r="C139" s="255"/>
      <c r="G139" s="137"/>
      <c r="H139" s="137"/>
      <c r="K139" s="137"/>
      <c r="L139" s="137"/>
    </row>
    <row r="140" spans="1:12">
      <c r="A140" s="117"/>
      <c r="C140" s="255"/>
      <c r="G140" s="137"/>
      <c r="H140" s="137"/>
      <c r="K140" s="137"/>
      <c r="L140" s="137"/>
    </row>
    <row r="141" spans="1:12">
      <c r="A141" s="117"/>
      <c r="C141" s="255"/>
      <c r="G141" s="137"/>
      <c r="H141" s="137"/>
      <c r="K141" s="137"/>
      <c r="L141" s="137"/>
    </row>
    <row r="142" spans="1:12">
      <c r="A142" s="117"/>
      <c r="C142" s="255"/>
      <c r="G142" s="137"/>
      <c r="H142" s="137"/>
      <c r="K142" s="137"/>
      <c r="L142" s="137"/>
    </row>
    <row r="143" spans="1:12">
      <c r="A143" s="117"/>
      <c r="C143" s="255"/>
      <c r="G143" s="137"/>
      <c r="H143" s="137"/>
      <c r="K143" s="137"/>
      <c r="L143" s="137"/>
    </row>
    <row r="144" spans="1:12">
      <c r="A144" s="117"/>
      <c r="C144" s="255"/>
      <c r="G144" s="137"/>
      <c r="H144" s="137"/>
      <c r="K144" s="137"/>
      <c r="L144" s="137"/>
    </row>
    <row r="145" spans="1:12">
      <c r="A145" s="117"/>
      <c r="C145" s="255"/>
      <c r="G145" s="137"/>
      <c r="H145" s="137"/>
      <c r="K145" s="137"/>
      <c r="L145" s="137"/>
    </row>
    <row r="146" spans="1:12">
      <c r="A146" s="117"/>
      <c r="C146" s="255"/>
      <c r="G146" s="137"/>
      <c r="H146" s="137"/>
      <c r="K146" s="137"/>
      <c r="L146" s="137"/>
    </row>
    <row r="147" spans="1:12">
      <c r="A147" s="117"/>
      <c r="C147" s="255"/>
      <c r="G147" s="137"/>
      <c r="H147" s="137"/>
      <c r="K147" s="137"/>
      <c r="L147" s="137"/>
    </row>
    <row r="148" spans="1:12">
      <c r="A148" s="117"/>
      <c r="C148" s="255"/>
      <c r="G148" s="137"/>
      <c r="H148" s="137"/>
      <c r="K148" s="137"/>
      <c r="L148" s="137"/>
    </row>
    <row r="149" spans="1:12">
      <c r="A149" s="117"/>
      <c r="C149" s="255"/>
      <c r="G149" s="137"/>
      <c r="H149" s="137"/>
      <c r="K149" s="137"/>
      <c r="L149" s="137"/>
    </row>
    <row r="150" spans="1:12">
      <c r="A150" s="117"/>
      <c r="C150" s="255"/>
      <c r="G150" s="137"/>
      <c r="H150" s="137"/>
      <c r="K150" s="137"/>
      <c r="L150" s="137"/>
    </row>
    <row r="151" spans="1:12">
      <c r="A151" s="117"/>
      <c r="C151" s="255"/>
      <c r="G151" s="137"/>
      <c r="H151" s="137"/>
      <c r="K151" s="137"/>
      <c r="L151" s="137"/>
    </row>
    <row r="152" spans="1:12">
      <c r="A152" s="117"/>
      <c r="C152" s="255"/>
      <c r="G152" s="137"/>
      <c r="H152" s="137"/>
      <c r="K152" s="137"/>
      <c r="L152" s="137"/>
    </row>
    <row r="153" spans="1:12">
      <c r="A153" s="117"/>
      <c r="C153" s="255"/>
      <c r="G153" s="137"/>
      <c r="H153" s="137"/>
      <c r="K153" s="137"/>
      <c r="L153" s="137"/>
    </row>
    <row r="154" spans="1:12">
      <c r="A154" s="117"/>
      <c r="C154" s="255"/>
      <c r="G154" s="137"/>
      <c r="H154" s="137"/>
      <c r="K154" s="137"/>
      <c r="L154" s="137"/>
    </row>
    <row r="155" spans="1:12">
      <c r="A155" s="117"/>
      <c r="C155" s="255"/>
      <c r="G155" s="137"/>
      <c r="H155" s="137"/>
      <c r="K155" s="137"/>
      <c r="L155" s="137"/>
    </row>
    <row r="156" spans="1:12">
      <c r="A156" s="117"/>
      <c r="C156" s="255"/>
      <c r="G156" s="137"/>
      <c r="H156" s="137"/>
      <c r="K156" s="137"/>
      <c r="L156" s="137"/>
    </row>
    <row r="157" spans="1:12">
      <c r="A157" s="117"/>
      <c r="C157" s="255"/>
      <c r="G157" s="137"/>
      <c r="H157" s="137"/>
      <c r="K157" s="137"/>
      <c r="L157" s="137"/>
    </row>
    <row r="158" spans="1:12">
      <c r="A158" s="117"/>
      <c r="C158" s="255"/>
      <c r="G158" s="137"/>
      <c r="H158" s="137"/>
      <c r="K158" s="137"/>
      <c r="L158" s="137"/>
    </row>
    <row r="159" spans="1:12">
      <c r="A159" s="117"/>
      <c r="C159" s="255"/>
      <c r="G159" s="137"/>
      <c r="H159" s="137"/>
      <c r="K159" s="137"/>
      <c r="L159" s="137"/>
    </row>
    <row r="160" spans="1:12">
      <c r="A160" s="117"/>
      <c r="C160" s="255"/>
      <c r="G160" s="137"/>
      <c r="H160" s="137"/>
      <c r="K160" s="137"/>
      <c r="L160" s="137"/>
    </row>
    <row r="161" spans="1:12">
      <c r="A161" s="117"/>
      <c r="C161" s="255"/>
      <c r="G161" s="137"/>
      <c r="H161" s="137"/>
      <c r="K161" s="137"/>
      <c r="L161" s="137"/>
    </row>
    <row r="162" spans="1:12">
      <c r="A162" s="117"/>
      <c r="C162" s="255"/>
      <c r="G162" s="137"/>
      <c r="H162" s="137"/>
      <c r="K162" s="137"/>
      <c r="L162" s="137"/>
    </row>
    <row r="163" spans="1:12">
      <c r="A163" s="117"/>
      <c r="C163" s="255"/>
      <c r="G163" s="137"/>
      <c r="H163" s="137"/>
      <c r="K163" s="137"/>
      <c r="L163" s="137"/>
    </row>
    <row r="164" spans="1:12">
      <c r="A164" s="117"/>
      <c r="C164" s="255"/>
      <c r="G164" s="137"/>
      <c r="H164" s="137"/>
      <c r="K164" s="137"/>
      <c r="L164" s="137"/>
    </row>
  </sheetData>
  <mergeCells count="16">
    <mergeCell ref="C51:E51"/>
    <mergeCell ref="A1:M1"/>
    <mergeCell ref="A2:M2"/>
    <mergeCell ref="K3:M3"/>
    <mergeCell ref="A4:A5"/>
    <mergeCell ref="B4:B5"/>
    <mergeCell ref="C4:F4"/>
    <mergeCell ref="G4:J4"/>
    <mergeCell ref="K4:L4"/>
    <mergeCell ref="M4:M5"/>
    <mergeCell ref="C5:D5"/>
    <mergeCell ref="G5:H5"/>
    <mergeCell ref="C6:D6"/>
    <mergeCell ref="G6:H6"/>
    <mergeCell ref="C49:E49"/>
    <mergeCell ref="C50:E50"/>
  </mergeCells>
  <printOptions horizontalCentered="1"/>
  <pageMargins left="0.23622047244094499" right="0.15748031496063" top="0.25" bottom="0.34" header="0.22" footer="0.23622047244094499"/>
  <pageSetup paperSize="9" orientation="landscape" errors="blank" r:id="rId1"/>
  <headerFooter alignWithMargins="0"/>
  <rowBreaks count="1" manualBreakCount="1">
    <brk id="46" max="12" man="1"/>
  </rowBreaks>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sheetPr>
    <tabColor rgb="FF00B050"/>
  </sheetPr>
  <dimension ref="A1:G27"/>
  <sheetViews>
    <sheetView view="pageBreakPreview" zoomScale="115" zoomScaleNormal="115" zoomScaleSheetLayoutView="115" workbookViewId="0">
      <selection activeCell="B6" sqref="B6:C6"/>
    </sheetView>
  </sheetViews>
  <sheetFormatPr defaultRowHeight="12.75"/>
  <cols>
    <col min="1" max="1" width="3.28515625" style="419" customWidth="1"/>
    <col min="2" max="2" width="17.7109375" style="420" customWidth="1"/>
    <col min="3" max="3" width="17.85546875" style="420" customWidth="1"/>
    <col min="4" max="4" width="6" style="420" customWidth="1"/>
    <col min="5" max="5" width="21.5703125" style="420" customWidth="1"/>
    <col min="6" max="6" width="14.140625" style="420" customWidth="1"/>
    <col min="7" max="7" width="10.140625" style="420" customWidth="1"/>
    <col min="8" max="8" width="9.7109375" style="420" bestFit="1" customWidth="1"/>
    <col min="9" max="16384" width="9.140625" style="420"/>
  </cols>
  <sheetData>
    <row r="1" spans="1:7" ht="14.25" customHeight="1">
      <c r="A1" s="1036" t="s">
        <v>2074</v>
      </c>
      <c r="B1" s="1036"/>
      <c r="C1" s="1036"/>
      <c r="D1" s="1036"/>
      <c r="E1" s="1036"/>
      <c r="F1" s="1036"/>
      <c r="G1" s="1036"/>
    </row>
    <row r="2" spans="1:7" ht="14.25" customHeight="1">
      <c r="A2" s="421"/>
      <c r="B2" s="421"/>
      <c r="C2" s="421"/>
      <c r="D2" s="421"/>
      <c r="E2" s="421"/>
      <c r="F2" s="421"/>
      <c r="G2" s="421"/>
    </row>
    <row r="3" spans="1:7" s="426" customFormat="1" ht="28.5" customHeight="1">
      <c r="A3" s="556"/>
      <c r="B3" s="1037" t="s">
        <v>2090</v>
      </c>
      <c r="C3" s="1037"/>
      <c r="D3" s="557"/>
      <c r="E3" s="558" t="s">
        <v>2089</v>
      </c>
      <c r="F3" s="557"/>
      <c r="G3" s="559"/>
    </row>
    <row r="4" spans="1:7" s="426" customFormat="1" ht="28.5" customHeight="1">
      <c r="A4" s="428">
        <v>1</v>
      </c>
      <c r="B4" s="1031" t="s">
        <v>2075</v>
      </c>
      <c r="C4" s="1038"/>
      <c r="D4" s="429" t="s">
        <v>253</v>
      </c>
      <c r="E4" s="1033" t="s">
        <v>2091</v>
      </c>
      <c r="F4" s="1034"/>
      <c r="G4" s="1035"/>
    </row>
    <row r="5" spans="1:7" s="426" customFormat="1" ht="27" customHeight="1">
      <c r="A5" s="428">
        <v>2</v>
      </c>
      <c r="B5" s="1031" t="s">
        <v>2076</v>
      </c>
      <c r="C5" s="1032"/>
      <c r="D5" s="429" t="s">
        <v>253</v>
      </c>
      <c r="E5" s="1033" t="s">
        <v>2063</v>
      </c>
      <c r="F5" s="1034"/>
      <c r="G5" s="1035"/>
    </row>
    <row r="6" spans="1:7" s="426" customFormat="1" ht="49.5" customHeight="1">
      <c r="A6" s="428">
        <v>3</v>
      </c>
      <c r="B6" s="1031" t="s">
        <v>1919</v>
      </c>
      <c r="C6" s="1032"/>
      <c r="D6" s="429" t="s">
        <v>253</v>
      </c>
      <c r="E6" s="1033" t="str">
        <f>'C-1 '!E7:G7</f>
        <v>Construction of Community Hall at Chakirala village and  GP of Kanigiri  Mandal.</v>
      </c>
      <c r="F6" s="1034"/>
      <c r="G6" s="1035"/>
    </row>
    <row r="7" spans="1:7" s="426" customFormat="1" ht="31.5" customHeight="1">
      <c r="A7" s="428">
        <v>4</v>
      </c>
      <c r="B7" s="1031" t="s">
        <v>2077</v>
      </c>
      <c r="C7" s="1032"/>
      <c r="D7" s="429" t="s">
        <v>253</v>
      </c>
      <c r="E7" s="1033" t="s">
        <v>1892</v>
      </c>
      <c r="F7" s="1034"/>
      <c r="G7" s="1035"/>
    </row>
    <row r="8" spans="1:7" s="426" customFormat="1" ht="42.75" customHeight="1">
      <c r="A8" s="428">
        <v>5</v>
      </c>
      <c r="B8" s="1025" t="s">
        <v>1922</v>
      </c>
      <c r="C8" s="1025"/>
      <c r="D8" s="429" t="s">
        <v>253</v>
      </c>
      <c r="E8" s="1025" t="str">
        <f>'C-1 '!E10:G10</f>
        <v xml:space="preserve">Rc.No.P4/127-VOL-2/2022 Dt. 14.12.2022 of the Chief Executive Officer, Zilla Parishad, Prakasam District, Ongole </v>
      </c>
      <c r="F8" s="1025"/>
      <c r="G8" s="1025"/>
    </row>
    <row r="9" spans="1:7" s="426" customFormat="1" ht="43.5" customHeight="1">
      <c r="A9" s="428">
        <v>6</v>
      </c>
      <c r="B9" s="1025" t="s">
        <v>1923</v>
      </c>
      <c r="C9" s="1025"/>
      <c r="D9" s="429" t="s">
        <v>253</v>
      </c>
      <c r="E9" s="1025" t="str">
        <f>'C-1 '!E11:G11</f>
        <v>DR No.       /2022-23 Dt 20.01.2023  of the  Executive Engineer, PRI  Division, Kandukur</v>
      </c>
      <c r="F9" s="1025"/>
      <c r="G9" s="1025"/>
    </row>
    <row r="10" spans="1:7" s="426" customFormat="1" ht="32.25" customHeight="1">
      <c r="A10" s="428">
        <v>7</v>
      </c>
      <c r="B10" s="1025" t="s">
        <v>2078</v>
      </c>
      <c r="C10" s="1025"/>
      <c r="D10" s="429" t="s">
        <v>253</v>
      </c>
      <c r="E10" s="1025" t="str">
        <f>'C-1 '!E12:G12</f>
        <v>No.       /2022-23 Dt 06.02.2023  of the Executive Engineer, PRI Division, Kandukur</v>
      </c>
      <c r="F10" s="1025"/>
      <c r="G10" s="1025"/>
    </row>
    <row r="11" spans="1:7" s="426" customFormat="1" ht="22.5" customHeight="1">
      <c r="A11" s="428">
        <v>8</v>
      </c>
      <c r="B11" s="1025" t="s">
        <v>1921</v>
      </c>
      <c r="C11" s="1025"/>
      <c r="D11" s="429" t="s">
        <v>253</v>
      </c>
      <c r="E11" s="1026" t="str">
        <f>'C-1 '!E9:G9</f>
        <v>20.00 Lakhs</v>
      </c>
      <c r="F11" s="1026"/>
      <c r="G11" s="1026"/>
    </row>
    <row r="12" spans="1:7" s="426" customFormat="1" ht="22.5" customHeight="1">
      <c r="A12" s="428">
        <v>9</v>
      </c>
      <c r="B12" s="1025" t="s">
        <v>2079</v>
      </c>
      <c r="C12" s="1025"/>
      <c r="D12" s="429" t="s">
        <v>253</v>
      </c>
      <c r="E12" s="1027"/>
      <c r="F12" s="1026"/>
      <c r="G12" s="1026"/>
    </row>
    <row r="13" spans="1:7" s="426" customFormat="1" ht="38.25" customHeight="1">
      <c r="A13" s="428">
        <v>10</v>
      </c>
      <c r="B13" s="1025" t="s">
        <v>2080</v>
      </c>
      <c r="C13" s="1025"/>
      <c r="D13" s="429" t="s">
        <v>253</v>
      </c>
      <c r="E13" s="1026"/>
      <c r="F13" s="1026"/>
      <c r="G13" s="1026"/>
    </row>
    <row r="14" spans="1:7" s="426" customFormat="1" ht="33.75" customHeight="1">
      <c r="A14" s="428">
        <v>11</v>
      </c>
      <c r="B14" s="1025" t="s">
        <v>2081</v>
      </c>
      <c r="C14" s="1025"/>
      <c r="D14" s="429" t="s">
        <v>253</v>
      </c>
      <c r="E14" s="1026"/>
      <c r="F14" s="1026"/>
      <c r="G14" s="1026"/>
    </row>
    <row r="15" spans="1:7" s="426" customFormat="1" ht="24.75" customHeight="1">
      <c r="A15" s="428">
        <v>12</v>
      </c>
      <c r="B15" s="1025" t="s">
        <v>2082</v>
      </c>
      <c r="C15" s="1025"/>
      <c r="D15" s="429" t="s">
        <v>253</v>
      </c>
      <c r="E15" s="1026" t="s">
        <v>2092</v>
      </c>
      <c r="F15" s="1026"/>
      <c r="G15" s="1026"/>
    </row>
    <row r="16" spans="1:7" s="426" customFormat="1" ht="28.5" customHeight="1">
      <c r="A16" s="428">
        <v>13</v>
      </c>
      <c r="B16" s="1025" t="s">
        <v>2083</v>
      </c>
      <c r="C16" s="1025"/>
      <c r="D16" s="429" t="s">
        <v>253</v>
      </c>
      <c r="E16" s="1028" t="str">
        <f>'C-1 '!E13:G13</f>
        <v>G.Anok, Nominee, Habitation works committee, Challagiragala</v>
      </c>
      <c r="F16" s="1029"/>
      <c r="G16" s="1030"/>
    </row>
    <row r="17" spans="1:7" s="426" customFormat="1" ht="33" customHeight="1">
      <c r="A17" s="428">
        <v>14</v>
      </c>
      <c r="B17" s="1025" t="s">
        <v>2084</v>
      </c>
      <c r="C17" s="1025"/>
      <c r="D17" s="429" t="s">
        <v>253</v>
      </c>
      <c r="E17" s="1026"/>
      <c r="F17" s="1026"/>
      <c r="G17" s="1026"/>
    </row>
    <row r="18" spans="1:7" s="426" customFormat="1" ht="33" customHeight="1">
      <c r="A18" s="428">
        <v>15</v>
      </c>
      <c r="B18" s="1025" t="s">
        <v>2085</v>
      </c>
      <c r="C18" s="1025"/>
      <c r="D18" s="429" t="s">
        <v>253</v>
      </c>
      <c r="E18" s="1027"/>
      <c r="F18" s="1026"/>
      <c r="G18" s="1026"/>
    </row>
    <row r="19" spans="1:7" s="426" customFormat="1" ht="33" customHeight="1">
      <c r="A19" s="428">
        <v>16</v>
      </c>
      <c r="B19" s="1025" t="s">
        <v>2086</v>
      </c>
      <c r="C19" s="1025"/>
      <c r="D19" s="429" t="s">
        <v>253</v>
      </c>
      <c r="E19" s="1026" t="s">
        <v>1937</v>
      </c>
      <c r="F19" s="1026"/>
      <c r="G19" s="1026"/>
    </row>
    <row r="20" spans="1:7" s="426" customFormat="1" ht="33" customHeight="1">
      <c r="A20" s="428">
        <v>17</v>
      </c>
      <c r="B20" s="1025" t="s">
        <v>2087</v>
      </c>
      <c r="C20" s="1025"/>
      <c r="D20" s="429" t="s">
        <v>253</v>
      </c>
      <c r="E20" s="1026" t="s">
        <v>1937</v>
      </c>
      <c r="F20" s="1026"/>
      <c r="G20" s="1026"/>
    </row>
    <row r="21" spans="1:7" s="426" customFormat="1" ht="33" customHeight="1">
      <c r="A21" s="428">
        <v>18</v>
      </c>
      <c r="B21" s="1025" t="s">
        <v>2088</v>
      </c>
      <c r="C21" s="1025"/>
      <c r="D21" s="429" t="s">
        <v>253</v>
      </c>
      <c r="E21" s="1026"/>
      <c r="F21" s="1026"/>
      <c r="G21" s="1026"/>
    </row>
    <row r="25" spans="1:7">
      <c r="F25" s="560"/>
    </row>
    <row r="26" spans="1:7">
      <c r="F26" s="560"/>
    </row>
    <row r="27" spans="1:7">
      <c r="F27" s="560"/>
    </row>
  </sheetData>
  <mergeCells count="38">
    <mergeCell ref="A1:G1"/>
    <mergeCell ref="B3:C3"/>
    <mergeCell ref="B4:C4"/>
    <mergeCell ref="E4:G4"/>
    <mergeCell ref="B5:C5"/>
    <mergeCell ref="E5:G5"/>
    <mergeCell ref="B6:C6"/>
    <mergeCell ref="E6:G6"/>
    <mergeCell ref="B7:C7"/>
    <mergeCell ref="E7:G7"/>
    <mergeCell ref="B8:C8"/>
    <mergeCell ref="E8:G8"/>
    <mergeCell ref="B9:C9"/>
    <mergeCell ref="E9:G9"/>
    <mergeCell ref="B10:C10"/>
    <mergeCell ref="E10:G10"/>
    <mergeCell ref="B11:C11"/>
    <mergeCell ref="E11:G11"/>
    <mergeCell ref="B12:C12"/>
    <mergeCell ref="E12:G12"/>
    <mergeCell ref="B13:C13"/>
    <mergeCell ref="E13:G13"/>
    <mergeCell ref="B14:C14"/>
    <mergeCell ref="E14:G14"/>
    <mergeCell ref="B15:C15"/>
    <mergeCell ref="E15:G15"/>
    <mergeCell ref="B16:C16"/>
    <mergeCell ref="E16:G16"/>
    <mergeCell ref="B17:C17"/>
    <mergeCell ref="E17:G17"/>
    <mergeCell ref="B21:C21"/>
    <mergeCell ref="E21:G21"/>
    <mergeCell ref="B18:C18"/>
    <mergeCell ref="E18:G18"/>
    <mergeCell ref="B19:C19"/>
    <mergeCell ref="E19:G19"/>
    <mergeCell ref="B20:C20"/>
    <mergeCell ref="E20:G20"/>
  </mergeCells>
  <printOptions horizontalCentered="1"/>
  <pageMargins left="0.5" right="0.62992125984252001" top="0.17" bottom="0.16" header="0.17" footer="0.36"/>
  <pageSetup paperSize="9" orientation="portrait" r:id="rId1"/>
  <headerFooter alignWithMargins="0"/>
  <drawing r:id="rId2"/>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sheetPr>
    <tabColor rgb="FF00B050"/>
  </sheetPr>
  <dimension ref="A1:G57"/>
  <sheetViews>
    <sheetView view="pageBreakPreview" zoomScaleNormal="115" zoomScaleSheetLayoutView="100" workbookViewId="0">
      <selection activeCell="B4" sqref="B4"/>
    </sheetView>
  </sheetViews>
  <sheetFormatPr defaultRowHeight="12.75"/>
  <cols>
    <col min="1" max="1" width="3.28515625" style="419" customWidth="1"/>
    <col min="2" max="2" width="17.7109375" style="420" customWidth="1"/>
    <col min="3" max="3" width="17.85546875" style="420" customWidth="1"/>
    <col min="4" max="4" width="6" style="420" customWidth="1"/>
    <col min="5" max="5" width="21.5703125" style="420" customWidth="1"/>
    <col min="6" max="6" width="14.140625" style="420" customWidth="1"/>
    <col min="7" max="7" width="10.140625" style="420" customWidth="1"/>
    <col min="8" max="8" width="9.7109375" style="420" bestFit="1" customWidth="1"/>
    <col min="9" max="256" width="9.140625" style="420"/>
    <col min="257" max="257" width="3.28515625" style="420" customWidth="1"/>
    <col min="258" max="258" width="17.7109375" style="420" customWidth="1"/>
    <col min="259" max="259" width="17.85546875" style="420" customWidth="1"/>
    <col min="260" max="260" width="6" style="420" customWidth="1"/>
    <col min="261" max="261" width="21.5703125" style="420" customWidth="1"/>
    <col min="262" max="262" width="14.140625" style="420" customWidth="1"/>
    <col min="263" max="263" width="10.140625" style="420" customWidth="1"/>
    <col min="264" max="264" width="9.7109375" style="420" bestFit="1" customWidth="1"/>
    <col min="265" max="512" width="9.140625" style="420"/>
    <col min="513" max="513" width="3.28515625" style="420" customWidth="1"/>
    <col min="514" max="514" width="17.7109375" style="420" customWidth="1"/>
    <col min="515" max="515" width="17.85546875" style="420" customWidth="1"/>
    <col min="516" max="516" width="6" style="420" customWidth="1"/>
    <col min="517" max="517" width="21.5703125" style="420" customWidth="1"/>
    <col min="518" max="518" width="14.140625" style="420" customWidth="1"/>
    <col min="519" max="519" width="10.140625" style="420" customWidth="1"/>
    <col min="520" max="520" width="9.7109375" style="420" bestFit="1" customWidth="1"/>
    <col min="521" max="768" width="9.140625" style="420"/>
    <col min="769" max="769" width="3.28515625" style="420" customWidth="1"/>
    <col min="770" max="770" width="17.7109375" style="420" customWidth="1"/>
    <col min="771" max="771" width="17.85546875" style="420" customWidth="1"/>
    <col min="772" max="772" width="6" style="420" customWidth="1"/>
    <col min="773" max="773" width="21.5703125" style="420" customWidth="1"/>
    <col min="774" max="774" width="14.140625" style="420" customWidth="1"/>
    <col min="775" max="775" width="10.140625" style="420" customWidth="1"/>
    <col min="776" max="776" width="9.7109375" style="420" bestFit="1" customWidth="1"/>
    <col min="777" max="1024" width="9.140625" style="420"/>
    <col min="1025" max="1025" width="3.28515625" style="420" customWidth="1"/>
    <col min="1026" max="1026" width="17.7109375" style="420" customWidth="1"/>
    <col min="1027" max="1027" width="17.85546875" style="420" customWidth="1"/>
    <col min="1028" max="1028" width="6" style="420" customWidth="1"/>
    <col min="1029" max="1029" width="21.5703125" style="420" customWidth="1"/>
    <col min="1030" max="1030" width="14.140625" style="420" customWidth="1"/>
    <col min="1031" max="1031" width="10.140625" style="420" customWidth="1"/>
    <col min="1032" max="1032" width="9.7109375" style="420" bestFit="1" customWidth="1"/>
    <col min="1033" max="1280" width="9.140625" style="420"/>
    <col min="1281" max="1281" width="3.28515625" style="420" customWidth="1"/>
    <col min="1282" max="1282" width="17.7109375" style="420" customWidth="1"/>
    <col min="1283" max="1283" width="17.85546875" style="420" customWidth="1"/>
    <col min="1284" max="1284" width="6" style="420" customWidth="1"/>
    <col min="1285" max="1285" width="21.5703125" style="420" customWidth="1"/>
    <col min="1286" max="1286" width="14.140625" style="420" customWidth="1"/>
    <col min="1287" max="1287" width="10.140625" style="420" customWidth="1"/>
    <col min="1288" max="1288" width="9.7109375" style="420" bestFit="1" customWidth="1"/>
    <col min="1289" max="1536" width="9.140625" style="420"/>
    <col min="1537" max="1537" width="3.28515625" style="420" customWidth="1"/>
    <col min="1538" max="1538" width="17.7109375" style="420" customWidth="1"/>
    <col min="1539" max="1539" width="17.85546875" style="420" customWidth="1"/>
    <col min="1540" max="1540" width="6" style="420" customWidth="1"/>
    <col min="1541" max="1541" width="21.5703125" style="420" customWidth="1"/>
    <col min="1542" max="1542" width="14.140625" style="420" customWidth="1"/>
    <col min="1543" max="1543" width="10.140625" style="420" customWidth="1"/>
    <col min="1544" max="1544" width="9.7109375" style="420" bestFit="1" customWidth="1"/>
    <col min="1545" max="1792" width="9.140625" style="420"/>
    <col min="1793" max="1793" width="3.28515625" style="420" customWidth="1"/>
    <col min="1794" max="1794" width="17.7109375" style="420" customWidth="1"/>
    <col min="1795" max="1795" width="17.85546875" style="420" customWidth="1"/>
    <col min="1796" max="1796" width="6" style="420" customWidth="1"/>
    <col min="1797" max="1797" width="21.5703125" style="420" customWidth="1"/>
    <col min="1798" max="1798" width="14.140625" style="420" customWidth="1"/>
    <col min="1799" max="1799" width="10.140625" style="420" customWidth="1"/>
    <col min="1800" max="1800" width="9.7109375" style="420" bestFit="1" customWidth="1"/>
    <col min="1801" max="2048" width="9.140625" style="420"/>
    <col min="2049" max="2049" width="3.28515625" style="420" customWidth="1"/>
    <col min="2050" max="2050" width="17.7109375" style="420" customWidth="1"/>
    <col min="2051" max="2051" width="17.85546875" style="420" customWidth="1"/>
    <col min="2052" max="2052" width="6" style="420" customWidth="1"/>
    <col min="2053" max="2053" width="21.5703125" style="420" customWidth="1"/>
    <col min="2054" max="2054" width="14.140625" style="420" customWidth="1"/>
    <col min="2055" max="2055" width="10.140625" style="420" customWidth="1"/>
    <col min="2056" max="2056" width="9.7109375" style="420" bestFit="1" customWidth="1"/>
    <col min="2057" max="2304" width="9.140625" style="420"/>
    <col min="2305" max="2305" width="3.28515625" style="420" customWidth="1"/>
    <col min="2306" max="2306" width="17.7109375" style="420" customWidth="1"/>
    <col min="2307" max="2307" width="17.85546875" style="420" customWidth="1"/>
    <col min="2308" max="2308" width="6" style="420" customWidth="1"/>
    <col min="2309" max="2309" width="21.5703125" style="420" customWidth="1"/>
    <col min="2310" max="2310" width="14.140625" style="420" customWidth="1"/>
    <col min="2311" max="2311" width="10.140625" style="420" customWidth="1"/>
    <col min="2312" max="2312" width="9.7109375" style="420" bestFit="1" customWidth="1"/>
    <col min="2313" max="2560" width="9.140625" style="420"/>
    <col min="2561" max="2561" width="3.28515625" style="420" customWidth="1"/>
    <col min="2562" max="2562" width="17.7109375" style="420" customWidth="1"/>
    <col min="2563" max="2563" width="17.85546875" style="420" customWidth="1"/>
    <col min="2564" max="2564" width="6" style="420" customWidth="1"/>
    <col min="2565" max="2565" width="21.5703125" style="420" customWidth="1"/>
    <col min="2566" max="2566" width="14.140625" style="420" customWidth="1"/>
    <col min="2567" max="2567" width="10.140625" style="420" customWidth="1"/>
    <col min="2568" max="2568" width="9.7109375" style="420" bestFit="1" customWidth="1"/>
    <col min="2569" max="2816" width="9.140625" style="420"/>
    <col min="2817" max="2817" width="3.28515625" style="420" customWidth="1"/>
    <col min="2818" max="2818" width="17.7109375" style="420" customWidth="1"/>
    <col min="2819" max="2819" width="17.85546875" style="420" customWidth="1"/>
    <col min="2820" max="2820" width="6" style="420" customWidth="1"/>
    <col min="2821" max="2821" width="21.5703125" style="420" customWidth="1"/>
    <col min="2822" max="2822" width="14.140625" style="420" customWidth="1"/>
    <col min="2823" max="2823" width="10.140625" style="420" customWidth="1"/>
    <col min="2824" max="2824" width="9.7109375" style="420" bestFit="1" customWidth="1"/>
    <col min="2825" max="3072" width="9.140625" style="420"/>
    <col min="3073" max="3073" width="3.28515625" style="420" customWidth="1"/>
    <col min="3074" max="3074" width="17.7109375" style="420" customWidth="1"/>
    <col min="3075" max="3075" width="17.85546875" style="420" customWidth="1"/>
    <col min="3076" max="3076" width="6" style="420" customWidth="1"/>
    <col min="3077" max="3077" width="21.5703125" style="420" customWidth="1"/>
    <col min="3078" max="3078" width="14.140625" style="420" customWidth="1"/>
    <col min="3079" max="3079" width="10.140625" style="420" customWidth="1"/>
    <col min="3080" max="3080" width="9.7109375" style="420" bestFit="1" customWidth="1"/>
    <col min="3081" max="3328" width="9.140625" style="420"/>
    <col min="3329" max="3329" width="3.28515625" style="420" customWidth="1"/>
    <col min="3330" max="3330" width="17.7109375" style="420" customWidth="1"/>
    <col min="3331" max="3331" width="17.85546875" style="420" customWidth="1"/>
    <col min="3332" max="3332" width="6" style="420" customWidth="1"/>
    <col min="3333" max="3333" width="21.5703125" style="420" customWidth="1"/>
    <col min="3334" max="3334" width="14.140625" style="420" customWidth="1"/>
    <col min="3335" max="3335" width="10.140625" style="420" customWidth="1"/>
    <col min="3336" max="3336" width="9.7109375" style="420" bestFit="1" customWidth="1"/>
    <col min="3337" max="3584" width="9.140625" style="420"/>
    <col min="3585" max="3585" width="3.28515625" style="420" customWidth="1"/>
    <col min="3586" max="3586" width="17.7109375" style="420" customWidth="1"/>
    <col min="3587" max="3587" width="17.85546875" style="420" customWidth="1"/>
    <col min="3588" max="3588" width="6" style="420" customWidth="1"/>
    <col min="3589" max="3589" width="21.5703125" style="420" customWidth="1"/>
    <col min="3590" max="3590" width="14.140625" style="420" customWidth="1"/>
    <col min="3591" max="3591" width="10.140625" style="420" customWidth="1"/>
    <col min="3592" max="3592" width="9.7109375" style="420" bestFit="1" customWidth="1"/>
    <col min="3593" max="3840" width="9.140625" style="420"/>
    <col min="3841" max="3841" width="3.28515625" style="420" customWidth="1"/>
    <col min="3842" max="3842" width="17.7109375" style="420" customWidth="1"/>
    <col min="3843" max="3843" width="17.85546875" style="420" customWidth="1"/>
    <col min="3844" max="3844" width="6" style="420" customWidth="1"/>
    <col min="3845" max="3845" width="21.5703125" style="420" customWidth="1"/>
    <col min="3846" max="3846" width="14.140625" style="420" customWidth="1"/>
    <col min="3847" max="3847" width="10.140625" style="420" customWidth="1"/>
    <col min="3848" max="3848" width="9.7109375" style="420" bestFit="1" customWidth="1"/>
    <col min="3849" max="4096" width="9.140625" style="420"/>
    <col min="4097" max="4097" width="3.28515625" style="420" customWidth="1"/>
    <col min="4098" max="4098" width="17.7109375" style="420" customWidth="1"/>
    <col min="4099" max="4099" width="17.85546875" style="420" customWidth="1"/>
    <col min="4100" max="4100" width="6" style="420" customWidth="1"/>
    <col min="4101" max="4101" width="21.5703125" style="420" customWidth="1"/>
    <col min="4102" max="4102" width="14.140625" style="420" customWidth="1"/>
    <col min="4103" max="4103" width="10.140625" style="420" customWidth="1"/>
    <col min="4104" max="4104" width="9.7109375" style="420" bestFit="1" customWidth="1"/>
    <col min="4105" max="4352" width="9.140625" style="420"/>
    <col min="4353" max="4353" width="3.28515625" style="420" customWidth="1"/>
    <col min="4354" max="4354" width="17.7109375" style="420" customWidth="1"/>
    <col min="4355" max="4355" width="17.85546875" style="420" customWidth="1"/>
    <col min="4356" max="4356" width="6" style="420" customWidth="1"/>
    <col min="4357" max="4357" width="21.5703125" style="420" customWidth="1"/>
    <col min="4358" max="4358" width="14.140625" style="420" customWidth="1"/>
    <col min="4359" max="4359" width="10.140625" style="420" customWidth="1"/>
    <col min="4360" max="4360" width="9.7109375" style="420" bestFit="1" customWidth="1"/>
    <col min="4361" max="4608" width="9.140625" style="420"/>
    <col min="4609" max="4609" width="3.28515625" style="420" customWidth="1"/>
    <col min="4610" max="4610" width="17.7109375" style="420" customWidth="1"/>
    <col min="4611" max="4611" width="17.85546875" style="420" customWidth="1"/>
    <col min="4612" max="4612" width="6" style="420" customWidth="1"/>
    <col min="4613" max="4613" width="21.5703125" style="420" customWidth="1"/>
    <col min="4614" max="4614" width="14.140625" style="420" customWidth="1"/>
    <col min="4615" max="4615" width="10.140625" style="420" customWidth="1"/>
    <col min="4616" max="4616" width="9.7109375" style="420" bestFit="1" customWidth="1"/>
    <col min="4617" max="4864" width="9.140625" style="420"/>
    <col min="4865" max="4865" width="3.28515625" style="420" customWidth="1"/>
    <col min="4866" max="4866" width="17.7109375" style="420" customWidth="1"/>
    <col min="4867" max="4867" width="17.85546875" style="420" customWidth="1"/>
    <col min="4868" max="4868" width="6" style="420" customWidth="1"/>
    <col min="4869" max="4869" width="21.5703125" style="420" customWidth="1"/>
    <col min="4870" max="4870" width="14.140625" style="420" customWidth="1"/>
    <col min="4871" max="4871" width="10.140625" style="420" customWidth="1"/>
    <col min="4872" max="4872" width="9.7109375" style="420" bestFit="1" customWidth="1"/>
    <col min="4873" max="5120" width="9.140625" style="420"/>
    <col min="5121" max="5121" width="3.28515625" style="420" customWidth="1"/>
    <col min="5122" max="5122" width="17.7109375" style="420" customWidth="1"/>
    <col min="5123" max="5123" width="17.85546875" style="420" customWidth="1"/>
    <col min="5124" max="5124" width="6" style="420" customWidth="1"/>
    <col min="5125" max="5125" width="21.5703125" style="420" customWidth="1"/>
    <col min="5126" max="5126" width="14.140625" style="420" customWidth="1"/>
    <col min="5127" max="5127" width="10.140625" style="420" customWidth="1"/>
    <col min="5128" max="5128" width="9.7109375" style="420" bestFit="1" customWidth="1"/>
    <col min="5129" max="5376" width="9.140625" style="420"/>
    <col min="5377" max="5377" width="3.28515625" style="420" customWidth="1"/>
    <col min="5378" max="5378" width="17.7109375" style="420" customWidth="1"/>
    <col min="5379" max="5379" width="17.85546875" style="420" customWidth="1"/>
    <col min="5380" max="5380" width="6" style="420" customWidth="1"/>
    <col min="5381" max="5381" width="21.5703125" style="420" customWidth="1"/>
    <col min="5382" max="5382" width="14.140625" style="420" customWidth="1"/>
    <col min="5383" max="5383" width="10.140625" style="420" customWidth="1"/>
    <col min="5384" max="5384" width="9.7109375" style="420" bestFit="1" customWidth="1"/>
    <col min="5385" max="5632" width="9.140625" style="420"/>
    <col min="5633" max="5633" width="3.28515625" style="420" customWidth="1"/>
    <col min="5634" max="5634" width="17.7109375" style="420" customWidth="1"/>
    <col min="5635" max="5635" width="17.85546875" style="420" customWidth="1"/>
    <col min="5636" max="5636" width="6" style="420" customWidth="1"/>
    <col min="5637" max="5637" width="21.5703125" style="420" customWidth="1"/>
    <col min="5638" max="5638" width="14.140625" style="420" customWidth="1"/>
    <col min="5639" max="5639" width="10.140625" style="420" customWidth="1"/>
    <col min="5640" max="5640" width="9.7109375" style="420" bestFit="1" customWidth="1"/>
    <col min="5641" max="5888" width="9.140625" style="420"/>
    <col min="5889" max="5889" width="3.28515625" style="420" customWidth="1"/>
    <col min="5890" max="5890" width="17.7109375" style="420" customWidth="1"/>
    <col min="5891" max="5891" width="17.85546875" style="420" customWidth="1"/>
    <col min="5892" max="5892" width="6" style="420" customWidth="1"/>
    <col min="5893" max="5893" width="21.5703125" style="420" customWidth="1"/>
    <col min="5894" max="5894" width="14.140625" style="420" customWidth="1"/>
    <col min="5895" max="5895" width="10.140625" style="420" customWidth="1"/>
    <col min="5896" max="5896" width="9.7109375" style="420" bestFit="1" customWidth="1"/>
    <col min="5897" max="6144" width="9.140625" style="420"/>
    <col min="6145" max="6145" width="3.28515625" style="420" customWidth="1"/>
    <col min="6146" max="6146" width="17.7109375" style="420" customWidth="1"/>
    <col min="6147" max="6147" width="17.85546875" style="420" customWidth="1"/>
    <col min="6148" max="6148" width="6" style="420" customWidth="1"/>
    <col min="6149" max="6149" width="21.5703125" style="420" customWidth="1"/>
    <col min="6150" max="6150" width="14.140625" style="420" customWidth="1"/>
    <col min="6151" max="6151" width="10.140625" style="420" customWidth="1"/>
    <col min="6152" max="6152" width="9.7109375" style="420" bestFit="1" customWidth="1"/>
    <col min="6153" max="6400" width="9.140625" style="420"/>
    <col min="6401" max="6401" width="3.28515625" style="420" customWidth="1"/>
    <col min="6402" max="6402" width="17.7109375" style="420" customWidth="1"/>
    <col min="6403" max="6403" width="17.85546875" style="420" customWidth="1"/>
    <col min="6404" max="6404" width="6" style="420" customWidth="1"/>
    <col min="6405" max="6405" width="21.5703125" style="420" customWidth="1"/>
    <col min="6406" max="6406" width="14.140625" style="420" customWidth="1"/>
    <col min="6407" max="6407" width="10.140625" style="420" customWidth="1"/>
    <col min="6408" max="6408" width="9.7109375" style="420" bestFit="1" customWidth="1"/>
    <col min="6409" max="6656" width="9.140625" style="420"/>
    <col min="6657" max="6657" width="3.28515625" style="420" customWidth="1"/>
    <col min="6658" max="6658" width="17.7109375" style="420" customWidth="1"/>
    <col min="6659" max="6659" width="17.85546875" style="420" customWidth="1"/>
    <col min="6660" max="6660" width="6" style="420" customWidth="1"/>
    <col min="6661" max="6661" width="21.5703125" style="420" customWidth="1"/>
    <col min="6662" max="6662" width="14.140625" style="420" customWidth="1"/>
    <col min="6663" max="6663" width="10.140625" style="420" customWidth="1"/>
    <col min="6664" max="6664" width="9.7109375" style="420" bestFit="1" customWidth="1"/>
    <col min="6665" max="6912" width="9.140625" style="420"/>
    <col min="6913" max="6913" width="3.28515625" style="420" customWidth="1"/>
    <col min="6914" max="6914" width="17.7109375" style="420" customWidth="1"/>
    <col min="6915" max="6915" width="17.85546875" style="420" customWidth="1"/>
    <col min="6916" max="6916" width="6" style="420" customWidth="1"/>
    <col min="6917" max="6917" width="21.5703125" style="420" customWidth="1"/>
    <col min="6918" max="6918" width="14.140625" style="420" customWidth="1"/>
    <col min="6919" max="6919" width="10.140625" style="420" customWidth="1"/>
    <col min="6920" max="6920" width="9.7109375" style="420" bestFit="1" customWidth="1"/>
    <col min="6921" max="7168" width="9.140625" style="420"/>
    <col min="7169" max="7169" width="3.28515625" style="420" customWidth="1"/>
    <col min="7170" max="7170" width="17.7109375" style="420" customWidth="1"/>
    <col min="7171" max="7171" width="17.85546875" style="420" customWidth="1"/>
    <col min="7172" max="7172" width="6" style="420" customWidth="1"/>
    <col min="7173" max="7173" width="21.5703125" style="420" customWidth="1"/>
    <col min="7174" max="7174" width="14.140625" style="420" customWidth="1"/>
    <col min="7175" max="7175" width="10.140625" style="420" customWidth="1"/>
    <col min="7176" max="7176" width="9.7109375" style="420" bestFit="1" customWidth="1"/>
    <col min="7177" max="7424" width="9.140625" style="420"/>
    <col min="7425" max="7425" width="3.28515625" style="420" customWidth="1"/>
    <col min="7426" max="7426" width="17.7109375" style="420" customWidth="1"/>
    <col min="7427" max="7427" width="17.85546875" style="420" customWidth="1"/>
    <col min="7428" max="7428" width="6" style="420" customWidth="1"/>
    <col min="7429" max="7429" width="21.5703125" style="420" customWidth="1"/>
    <col min="7430" max="7430" width="14.140625" style="420" customWidth="1"/>
    <col min="7431" max="7431" width="10.140625" style="420" customWidth="1"/>
    <col min="7432" max="7432" width="9.7109375" style="420" bestFit="1" customWidth="1"/>
    <col min="7433" max="7680" width="9.140625" style="420"/>
    <col min="7681" max="7681" width="3.28515625" style="420" customWidth="1"/>
    <col min="7682" max="7682" width="17.7109375" style="420" customWidth="1"/>
    <col min="7683" max="7683" width="17.85546875" style="420" customWidth="1"/>
    <col min="7684" max="7684" width="6" style="420" customWidth="1"/>
    <col min="7685" max="7685" width="21.5703125" style="420" customWidth="1"/>
    <col min="7686" max="7686" width="14.140625" style="420" customWidth="1"/>
    <col min="7687" max="7687" width="10.140625" style="420" customWidth="1"/>
    <col min="7688" max="7688" width="9.7109375" style="420" bestFit="1" customWidth="1"/>
    <col min="7689" max="7936" width="9.140625" style="420"/>
    <col min="7937" max="7937" width="3.28515625" style="420" customWidth="1"/>
    <col min="7938" max="7938" width="17.7109375" style="420" customWidth="1"/>
    <col min="7939" max="7939" width="17.85546875" style="420" customWidth="1"/>
    <col min="7940" max="7940" width="6" style="420" customWidth="1"/>
    <col min="7941" max="7941" width="21.5703125" style="420" customWidth="1"/>
    <col min="7942" max="7942" width="14.140625" style="420" customWidth="1"/>
    <col min="7943" max="7943" width="10.140625" style="420" customWidth="1"/>
    <col min="7944" max="7944" width="9.7109375" style="420" bestFit="1" customWidth="1"/>
    <col min="7945" max="8192" width="9.140625" style="420"/>
    <col min="8193" max="8193" width="3.28515625" style="420" customWidth="1"/>
    <col min="8194" max="8194" width="17.7109375" style="420" customWidth="1"/>
    <col min="8195" max="8195" width="17.85546875" style="420" customWidth="1"/>
    <col min="8196" max="8196" width="6" style="420" customWidth="1"/>
    <col min="8197" max="8197" width="21.5703125" style="420" customWidth="1"/>
    <col min="8198" max="8198" width="14.140625" style="420" customWidth="1"/>
    <col min="8199" max="8199" width="10.140625" style="420" customWidth="1"/>
    <col min="8200" max="8200" width="9.7109375" style="420" bestFit="1" customWidth="1"/>
    <col min="8201" max="8448" width="9.140625" style="420"/>
    <col min="8449" max="8449" width="3.28515625" style="420" customWidth="1"/>
    <col min="8450" max="8450" width="17.7109375" style="420" customWidth="1"/>
    <col min="8451" max="8451" width="17.85546875" style="420" customWidth="1"/>
    <col min="8452" max="8452" width="6" style="420" customWidth="1"/>
    <col min="8453" max="8453" width="21.5703125" style="420" customWidth="1"/>
    <col min="8454" max="8454" width="14.140625" style="420" customWidth="1"/>
    <col min="8455" max="8455" width="10.140625" style="420" customWidth="1"/>
    <col min="8456" max="8456" width="9.7109375" style="420" bestFit="1" customWidth="1"/>
    <col min="8457" max="8704" width="9.140625" style="420"/>
    <col min="8705" max="8705" width="3.28515625" style="420" customWidth="1"/>
    <col min="8706" max="8706" width="17.7109375" style="420" customWidth="1"/>
    <col min="8707" max="8707" width="17.85546875" style="420" customWidth="1"/>
    <col min="8708" max="8708" width="6" style="420" customWidth="1"/>
    <col min="8709" max="8709" width="21.5703125" style="420" customWidth="1"/>
    <col min="8710" max="8710" width="14.140625" style="420" customWidth="1"/>
    <col min="8711" max="8711" width="10.140625" style="420" customWidth="1"/>
    <col min="8712" max="8712" width="9.7109375" style="420" bestFit="1" customWidth="1"/>
    <col min="8713" max="8960" width="9.140625" style="420"/>
    <col min="8961" max="8961" width="3.28515625" style="420" customWidth="1"/>
    <col min="8962" max="8962" width="17.7109375" style="420" customWidth="1"/>
    <col min="8963" max="8963" width="17.85546875" style="420" customWidth="1"/>
    <col min="8964" max="8964" width="6" style="420" customWidth="1"/>
    <col min="8965" max="8965" width="21.5703125" style="420" customWidth="1"/>
    <col min="8966" max="8966" width="14.140625" style="420" customWidth="1"/>
    <col min="8967" max="8967" width="10.140625" style="420" customWidth="1"/>
    <col min="8968" max="8968" width="9.7109375" style="420" bestFit="1" customWidth="1"/>
    <col min="8969" max="9216" width="9.140625" style="420"/>
    <col min="9217" max="9217" width="3.28515625" style="420" customWidth="1"/>
    <col min="9218" max="9218" width="17.7109375" style="420" customWidth="1"/>
    <col min="9219" max="9219" width="17.85546875" style="420" customWidth="1"/>
    <col min="9220" max="9220" width="6" style="420" customWidth="1"/>
    <col min="9221" max="9221" width="21.5703125" style="420" customWidth="1"/>
    <col min="9222" max="9222" width="14.140625" style="420" customWidth="1"/>
    <col min="9223" max="9223" width="10.140625" style="420" customWidth="1"/>
    <col min="9224" max="9224" width="9.7109375" style="420" bestFit="1" customWidth="1"/>
    <col min="9225" max="9472" width="9.140625" style="420"/>
    <col min="9473" max="9473" width="3.28515625" style="420" customWidth="1"/>
    <col min="9474" max="9474" width="17.7109375" style="420" customWidth="1"/>
    <col min="9475" max="9475" width="17.85546875" style="420" customWidth="1"/>
    <col min="9476" max="9476" width="6" style="420" customWidth="1"/>
    <col min="9477" max="9477" width="21.5703125" style="420" customWidth="1"/>
    <col min="9478" max="9478" width="14.140625" style="420" customWidth="1"/>
    <col min="9479" max="9479" width="10.140625" style="420" customWidth="1"/>
    <col min="9480" max="9480" width="9.7109375" style="420" bestFit="1" customWidth="1"/>
    <col min="9481" max="9728" width="9.140625" style="420"/>
    <col min="9729" max="9729" width="3.28515625" style="420" customWidth="1"/>
    <col min="9730" max="9730" width="17.7109375" style="420" customWidth="1"/>
    <col min="9731" max="9731" width="17.85546875" style="420" customWidth="1"/>
    <col min="9732" max="9732" width="6" style="420" customWidth="1"/>
    <col min="9733" max="9733" width="21.5703125" style="420" customWidth="1"/>
    <col min="9734" max="9734" width="14.140625" style="420" customWidth="1"/>
    <col min="9735" max="9735" width="10.140625" style="420" customWidth="1"/>
    <col min="9736" max="9736" width="9.7109375" style="420" bestFit="1" customWidth="1"/>
    <col min="9737" max="9984" width="9.140625" style="420"/>
    <col min="9985" max="9985" width="3.28515625" style="420" customWidth="1"/>
    <col min="9986" max="9986" width="17.7109375" style="420" customWidth="1"/>
    <col min="9987" max="9987" width="17.85546875" style="420" customWidth="1"/>
    <col min="9988" max="9988" width="6" style="420" customWidth="1"/>
    <col min="9989" max="9989" width="21.5703125" style="420" customWidth="1"/>
    <col min="9990" max="9990" width="14.140625" style="420" customWidth="1"/>
    <col min="9991" max="9991" width="10.140625" style="420" customWidth="1"/>
    <col min="9992" max="9992" width="9.7109375" style="420" bestFit="1" customWidth="1"/>
    <col min="9993" max="10240" width="9.140625" style="420"/>
    <col min="10241" max="10241" width="3.28515625" style="420" customWidth="1"/>
    <col min="10242" max="10242" width="17.7109375" style="420" customWidth="1"/>
    <col min="10243" max="10243" width="17.85546875" style="420" customWidth="1"/>
    <col min="10244" max="10244" width="6" style="420" customWidth="1"/>
    <col min="10245" max="10245" width="21.5703125" style="420" customWidth="1"/>
    <col min="10246" max="10246" width="14.140625" style="420" customWidth="1"/>
    <col min="10247" max="10247" width="10.140625" style="420" customWidth="1"/>
    <col min="10248" max="10248" width="9.7109375" style="420" bestFit="1" customWidth="1"/>
    <col min="10249" max="10496" width="9.140625" style="420"/>
    <col min="10497" max="10497" width="3.28515625" style="420" customWidth="1"/>
    <col min="10498" max="10498" width="17.7109375" style="420" customWidth="1"/>
    <col min="10499" max="10499" width="17.85546875" style="420" customWidth="1"/>
    <col min="10500" max="10500" width="6" style="420" customWidth="1"/>
    <col min="10501" max="10501" width="21.5703125" style="420" customWidth="1"/>
    <col min="10502" max="10502" width="14.140625" style="420" customWidth="1"/>
    <col min="10503" max="10503" width="10.140625" style="420" customWidth="1"/>
    <col min="10504" max="10504" width="9.7109375" style="420" bestFit="1" customWidth="1"/>
    <col min="10505" max="10752" width="9.140625" style="420"/>
    <col min="10753" max="10753" width="3.28515625" style="420" customWidth="1"/>
    <col min="10754" max="10754" width="17.7109375" style="420" customWidth="1"/>
    <col min="10755" max="10755" width="17.85546875" style="420" customWidth="1"/>
    <col min="10756" max="10756" width="6" style="420" customWidth="1"/>
    <col min="10757" max="10757" width="21.5703125" style="420" customWidth="1"/>
    <col min="10758" max="10758" width="14.140625" style="420" customWidth="1"/>
    <col min="10759" max="10759" width="10.140625" style="420" customWidth="1"/>
    <col min="10760" max="10760" width="9.7109375" style="420" bestFit="1" customWidth="1"/>
    <col min="10761" max="11008" width="9.140625" style="420"/>
    <col min="11009" max="11009" width="3.28515625" style="420" customWidth="1"/>
    <col min="11010" max="11010" width="17.7109375" style="420" customWidth="1"/>
    <col min="11011" max="11011" width="17.85546875" style="420" customWidth="1"/>
    <col min="11012" max="11012" width="6" style="420" customWidth="1"/>
    <col min="11013" max="11013" width="21.5703125" style="420" customWidth="1"/>
    <col min="11014" max="11014" width="14.140625" style="420" customWidth="1"/>
    <col min="11015" max="11015" width="10.140625" style="420" customWidth="1"/>
    <col min="11016" max="11016" width="9.7109375" style="420" bestFit="1" customWidth="1"/>
    <col min="11017" max="11264" width="9.140625" style="420"/>
    <col min="11265" max="11265" width="3.28515625" style="420" customWidth="1"/>
    <col min="11266" max="11266" width="17.7109375" style="420" customWidth="1"/>
    <col min="11267" max="11267" width="17.85546875" style="420" customWidth="1"/>
    <col min="11268" max="11268" width="6" style="420" customWidth="1"/>
    <col min="11269" max="11269" width="21.5703125" style="420" customWidth="1"/>
    <col min="11270" max="11270" width="14.140625" style="420" customWidth="1"/>
    <col min="11271" max="11271" width="10.140625" style="420" customWidth="1"/>
    <col min="11272" max="11272" width="9.7109375" style="420" bestFit="1" customWidth="1"/>
    <col min="11273" max="11520" width="9.140625" style="420"/>
    <col min="11521" max="11521" width="3.28515625" style="420" customWidth="1"/>
    <col min="11522" max="11522" width="17.7109375" style="420" customWidth="1"/>
    <col min="11523" max="11523" width="17.85546875" style="420" customWidth="1"/>
    <col min="11524" max="11524" width="6" style="420" customWidth="1"/>
    <col min="11525" max="11525" width="21.5703125" style="420" customWidth="1"/>
    <col min="11526" max="11526" width="14.140625" style="420" customWidth="1"/>
    <col min="11527" max="11527" width="10.140625" style="420" customWidth="1"/>
    <col min="11528" max="11528" width="9.7109375" style="420" bestFit="1" customWidth="1"/>
    <col min="11529" max="11776" width="9.140625" style="420"/>
    <col min="11777" max="11777" width="3.28515625" style="420" customWidth="1"/>
    <col min="11778" max="11778" width="17.7109375" style="420" customWidth="1"/>
    <col min="11779" max="11779" width="17.85546875" style="420" customWidth="1"/>
    <col min="11780" max="11780" width="6" style="420" customWidth="1"/>
    <col min="11781" max="11781" width="21.5703125" style="420" customWidth="1"/>
    <col min="11782" max="11782" width="14.140625" style="420" customWidth="1"/>
    <col min="11783" max="11783" width="10.140625" style="420" customWidth="1"/>
    <col min="11784" max="11784" width="9.7109375" style="420" bestFit="1" customWidth="1"/>
    <col min="11785" max="12032" width="9.140625" style="420"/>
    <col min="12033" max="12033" width="3.28515625" style="420" customWidth="1"/>
    <col min="12034" max="12034" width="17.7109375" style="420" customWidth="1"/>
    <col min="12035" max="12035" width="17.85546875" style="420" customWidth="1"/>
    <col min="12036" max="12036" width="6" style="420" customWidth="1"/>
    <col min="12037" max="12037" width="21.5703125" style="420" customWidth="1"/>
    <col min="12038" max="12038" width="14.140625" style="420" customWidth="1"/>
    <col min="12039" max="12039" width="10.140625" style="420" customWidth="1"/>
    <col min="12040" max="12040" width="9.7109375" style="420" bestFit="1" customWidth="1"/>
    <col min="12041" max="12288" width="9.140625" style="420"/>
    <col min="12289" max="12289" width="3.28515625" style="420" customWidth="1"/>
    <col min="12290" max="12290" width="17.7109375" style="420" customWidth="1"/>
    <col min="12291" max="12291" width="17.85546875" style="420" customWidth="1"/>
    <col min="12292" max="12292" width="6" style="420" customWidth="1"/>
    <col min="12293" max="12293" width="21.5703125" style="420" customWidth="1"/>
    <col min="12294" max="12294" width="14.140625" style="420" customWidth="1"/>
    <col min="12295" max="12295" width="10.140625" style="420" customWidth="1"/>
    <col min="12296" max="12296" width="9.7109375" style="420" bestFit="1" customWidth="1"/>
    <col min="12297" max="12544" width="9.140625" style="420"/>
    <col min="12545" max="12545" width="3.28515625" style="420" customWidth="1"/>
    <col min="12546" max="12546" width="17.7109375" style="420" customWidth="1"/>
    <col min="12547" max="12547" width="17.85546875" style="420" customWidth="1"/>
    <col min="12548" max="12548" width="6" style="420" customWidth="1"/>
    <col min="12549" max="12549" width="21.5703125" style="420" customWidth="1"/>
    <col min="12550" max="12550" width="14.140625" style="420" customWidth="1"/>
    <col min="12551" max="12551" width="10.140625" style="420" customWidth="1"/>
    <col min="12552" max="12552" width="9.7109375" style="420" bestFit="1" customWidth="1"/>
    <col min="12553" max="12800" width="9.140625" style="420"/>
    <col min="12801" max="12801" width="3.28515625" style="420" customWidth="1"/>
    <col min="12802" max="12802" width="17.7109375" style="420" customWidth="1"/>
    <col min="12803" max="12803" width="17.85546875" style="420" customWidth="1"/>
    <col min="12804" max="12804" width="6" style="420" customWidth="1"/>
    <col min="12805" max="12805" width="21.5703125" style="420" customWidth="1"/>
    <col min="12806" max="12806" width="14.140625" style="420" customWidth="1"/>
    <col min="12807" max="12807" width="10.140625" style="420" customWidth="1"/>
    <col min="12808" max="12808" width="9.7109375" style="420" bestFit="1" customWidth="1"/>
    <col min="12809" max="13056" width="9.140625" style="420"/>
    <col min="13057" max="13057" width="3.28515625" style="420" customWidth="1"/>
    <col min="13058" max="13058" width="17.7109375" style="420" customWidth="1"/>
    <col min="13059" max="13059" width="17.85546875" style="420" customWidth="1"/>
    <col min="13060" max="13060" width="6" style="420" customWidth="1"/>
    <col min="13061" max="13061" width="21.5703125" style="420" customWidth="1"/>
    <col min="13062" max="13062" width="14.140625" style="420" customWidth="1"/>
    <col min="13063" max="13063" width="10.140625" style="420" customWidth="1"/>
    <col min="13064" max="13064" width="9.7109375" style="420" bestFit="1" customWidth="1"/>
    <col min="13065" max="13312" width="9.140625" style="420"/>
    <col min="13313" max="13313" width="3.28515625" style="420" customWidth="1"/>
    <col min="13314" max="13314" width="17.7109375" style="420" customWidth="1"/>
    <col min="13315" max="13315" width="17.85546875" style="420" customWidth="1"/>
    <col min="13316" max="13316" width="6" style="420" customWidth="1"/>
    <col min="13317" max="13317" width="21.5703125" style="420" customWidth="1"/>
    <col min="13318" max="13318" width="14.140625" style="420" customWidth="1"/>
    <col min="13319" max="13319" width="10.140625" style="420" customWidth="1"/>
    <col min="13320" max="13320" width="9.7109375" style="420" bestFit="1" customWidth="1"/>
    <col min="13321" max="13568" width="9.140625" style="420"/>
    <col min="13569" max="13569" width="3.28515625" style="420" customWidth="1"/>
    <col min="13570" max="13570" width="17.7109375" style="420" customWidth="1"/>
    <col min="13571" max="13571" width="17.85546875" style="420" customWidth="1"/>
    <col min="13572" max="13572" width="6" style="420" customWidth="1"/>
    <col min="13573" max="13573" width="21.5703125" style="420" customWidth="1"/>
    <col min="13574" max="13574" width="14.140625" style="420" customWidth="1"/>
    <col min="13575" max="13575" width="10.140625" style="420" customWidth="1"/>
    <col min="13576" max="13576" width="9.7109375" style="420" bestFit="1" customWidth="1"/>
    <col min="13577" max="13824" width="9.140625" style="420"/>
    <col min="13825" max="13825" width="3.28515625" style="420" customWidth="1"/>
    <col min="13826" max="13826" width="17.7109375" style="420" customWidth="1"/>
    <col min="13827" max="13827" width="17.85546875" style="420" customWidth="1"/>
    <col min="13828" max="13828" width="6" style="420" customWidth="1"/>
    <col min="13829" max="13829" width="21.5703125" style="420" customWidth="1"/>
    <col min="13830" max="13830" width="14.140625" style="420" customWidth="1"/>
    <col min="13831" max="13831" width="10.140625" style="420" customWidth="1"/>
    <col min="13832" max="13832" width="9.7109375" style="420" bestFit="1" customWidth="1"/>
    <col min="13833" max="14080" width="9.140625" style="420"/>
    <col min="14081" max="14081" width="3.28515625" style="420" customWidth="1"/>
    <col min="14082" max="14082" width="17.7109375" style="420" customWidth="1"/>
    <col min="14083" max="14083" width="17.85546875" style="420" customWidth="1"/>
    <col min="14084" max="14084" width="6" style="420" customWidth="1"/>
    <col min="14085" max="14085" width="21.5703125" style="420" customWidth="1"/>
    <col min="14086" max="14086" width="14.140625" style="420" customWidth="1"/>
    <col min="14087" max="14087" width="10.140625" style="420" customWidth="1"/>
    <col min="14088" max="14088" width="9.7109375" style="420" bestFit="1" customWidth="1"/>
    <col min="14089" max="14336" width="9.140625" style="420"/>
    <col min="14337" max="14337" width="3.28515625" style="420" customWidth="1"/>
    <col min="14338" max="14338" width="17.7109375" style="420" customWidth="1"/>
    <col min="14339" max="14339" width="17.85546875" style="420" customWidth="1"/>
    <col min="14340" max="14340" width="6" style="420" customWidth="1"/>
    <col min="14341" max="14341" width="21.5703125" style="420" customWidth="1"/>
    <col min="14342" max="14342" width="14.140625" style="420" customWidth="1"/>
    <col min="14343" max="14343" width="10.140625" style="420" customWidth="1"/>
    <col min="14344" max="14344" width="9.7109375" style="420" bestFit="1" customWidth="1"/>
    <col min="14345" max="14592" width="9.140625" style="420"/>
    <col min="14593" max="14593" width="3.28515625" style="420" customWidth="1"/>
    <col min="14594" max="14594" width="17.7109375" style="420" customWidth="1"/>
    <col min="14595" max="14595" width="17.85546875" style="420" customWidth="1"/>
    <col min="14596" max="14596" width="6" style="420" customWidth="1"/>
    <col min="14597" max="14597" width="21.5703125" style="420" customWidth="1"/>
    <col min="14598" max="14598" width="14.140625" style="420" customWidth="1"/>
    <col min="14599" max="14599" width="10.140625" style="420" customWidth="1"/>
    <col min="14600" max="14600" width="9.7109375" style="420" bestFit="1" customWidth="1"/>
    <col min="14601" max="14848" width="9.140625" style="420"/>
    <col min="14849" max="14849" width="3.28515625" style="420" customWidth="1"/>
    <col min="14850" max="14850" width="17.7109375" style="420" customWidth="1"/>
    <col min="14851" max="14851" width="17.85546875" style="420" customWidth="1"/>
    <col min="14852" max="14852" width="6" style="420" customWidth="1"/>
    <col min="14853" max="14853" width="21.5703125" style="420" customWidth="1"/>
    <col min="14854" max="14854" width="14.140625" style="420" customWidth="1"/>
    <col min="14855" max="14855" width="10.140625" style="420" customWidth="1"/>
    <col min="14856" max="14856" width="9.7109375" style="420" bestFit="1" customWidth="1"/>
    <col min="14857" max="15104" width="9.140625" style="420"/>
    <col min="15105" max="15105" width="3.28515625" style="420" customWidth="1"/>
    <col min="15106" max="15106" width="17.7109375" style="420" customWidth="1"/>
    <col min="15107" max="15107" width="17.85546875" style="420" customWidth="1"/>
    <col min="15108" max="15108" width="6" style="420" customWidth="1"/>
    <col min="15109" max="15109" width="21.5703125" style="420" customWidth="1"/>
    <col min="15110" max="15110" width="14.140625" style="420" customWidth="1"/>
    <col min="15111" max="15111" width="10.140625" style="420" customWidth="1"/>
    <col min="15112" max="15112" width="9.7109375" style="420" bestFit="1" customWidth="1"/>
    <col min="15113" max="15360" width="9.140625" style="420"/>
    <col min="15361" max="15361" width="3.28515625" style="420" customWidth="1"/>
    <col min="15362" max="15362" width="17.7109375" style="420" customWidth="1"/>
    <col min="15363" max="15363" width="17.85546875" style="420" customWidth="1"/>
    <col min="15364" max="15364" width="6" style="420" customWidth="1"/>
    <col min="15365" max="15365" width="21.5703125" style="420" customWidth="1"/>
    <col min="15366" max="15366" width="14.140625" style="420" customWidth="1"/>
    <col min="15367" max="15367" width="10.140625" style="420" customWidth="1"/>
    <col min="15368" max="15368" width="9.7109375" style="420" bestFit="1" customWidth="1"/>
    <col min="15369" max="15616" width="9.140625" style="420"/>
    <col min="15617" max="15617" width="3.28515625" style="420" customWidth="1"/>
    <col min="15618" max="15618" width="17.7109375" style="420" customWidth="1"/>
    <col min="15619" max="15619" width="17.85546875" style="420" customWidth="1"/>
    <col min="15620" max="15620" width="6" style="420" customWidth="1"/>
    <col min="15621" max="15621" width="21.5703125" style="420" customWidth="1"/>
    <col min="15622" max="15622" width="14.140625" style="420" customWidth="1"/>
    <col min="15623" max="15623" width="10.140625" style="420" customWidth="1"/>
    <col min="15624" max="15624" width="9.7109375" style="420" bestFit="1" customWidth="1"/>
    <col min="15625" max="15872" width="9.140625" style="420"/>
    <col min="15873" max="15873" width="3.28515625" style="420" customWidth="1"/>
    <col min="15874" max="15874" width="17.7109375" style="420" customWidth="1"/>
    <col min="15875" max="15875" width="17.85546875" style="420" customWidth="1"/>
    <col min="15876" max="15876" width="6" style="420" customWidth="1"/>
    <col min="15877" max="15877" width="21.5703125" style="420" customWidth="1"/>
    <col min="15878" max="15878" width="14.140625" style="420" customWidth="1"/>
    <col min="15879" max="15879" width="10.140625" style="420" customWidth="1"/>
    <col min="15880" max="15880" width="9.7109375" style="420" bestFit="1" customWidth="1"/>
    <col min="15881" max="16128" width="9.140625" style="420"/>
    <col min="16129" max="16129" width="3.28515625" style="420" customWidth="1"/>
    <col min="16130" max="16130" width="17.7109375" style="420" customWidth="1"/>
    <col min="16131" max="16131" width="17.85546875" style="420" customWidth="1"/>
    <col min="16132" max="16132" width="6" style="420" customWidth="1"/>
    <col min="16133" max="16133" width="21.5703125" style="420" customWidth="1"/>
    <col min="16134" max="16134" width="14.140625" style="420" customWidth="1"/>
    <col min="16135" max="16135" width="10.140625" style="420" customWidth="1"/>
    <col min="16136" max="16136" width="9.7109375" style="420" bestFit="1" customWidth="1"/>
    <col min="16137" max="16384" width="9.140625" style="420"/>
  </cols>
  <sheetData>
    <row r="1" spans="1:7">
      <c r="E1" s="420" t="s">
        <v>1912</v>
      </c>
    </row>
    <row r="2" spans="1:7" ht="21.75" customHeight="1">
      <c r="A2" s="1036" t="s">
        <v>1913</v>
      </c>
      <c r="B2" s="1036"/>
      <c r="C2" s="1036"/>
      <c r="D2" s="1036"/>
      <c r="E2" s="1036"/>
      <c r="F2" s="1036"/>
      <c r="G2" s="1036"/>
    </row>
    <row r="3" spans="1:7" s="426" customFormat="1" ht="19.5" customHeight="1">
      <c r="A3" s="421"/>
      <c r="B3" s="422" t="s">
        <v>1914</v>
      </c>
      <c r="C3" s="423" t="s">
        <v>1915</v>
      </c>
      <c r="D3" s="421"/>
      <c r="E3" s="424"/>
      <c r="F3" s="425" t="s">
        <v>1916</v>
      </c>
      <c r="G3" s="421"/>
    </row>
    <row r="4" spans="1:7" s="426" customFormat="1" ht="19.5" customHeight="1">
      <c r="A4" s="421"/>
      <c r="B4" s="427" t="s">
        <v>2066</v>
      </c>
      <c r="C4" s="421"/>
      <c r="D4" s="421"/>
      <c r="E4" s="424"/>
      <c r="F4" s="421"/>
      <c r="G4" s="421"/>
    </row>
    <row r="5" spans="1:7" s="426" customFormat="1" ht="16.5" customHeight="1">
      <c r="A5" s="428">
        <v>1</v>
      </c>
      <c r="B5" s="1031" t="s">
        <v>1917</v>
      </c>
      <c r="C5" s="1032"/>
      <c r="D5" s="429" t="s">
        <v>253</v>
      </c>
      <c r="E5" s="1033" t="s">
        <v>1892</v>
      </c>
      <c r="F5" s="1034"/>
      <c r="G5" s="1035"/>
    </row>
    <row r="6" spans="1:7" s="426" customFormat="1" ht="19.5" customHeight="1">
      <c r="A6" s="428">
        <v>2</v>
      </c>
      <c r="B6" s="1031" t="s">
        <v>1918</v>
      </c>
      <c r="C6" s="1032"/>
      <c r="D6" s="429" t="s">
        <v>253</v>
      </c>
      <c r="E6" s="1033" t="s">
        <v>1892</v>
      </c>
      <c r="F6" s="1034"/>
      <c r="G6" s="1035"/>
    </row>
    <row r="7" spans="1:7" s="426" customFormat="1" ht="52.5" customHeight="1">
      <c r="A7" s="428">
        <v>3</v>
      </c>
      <c r="B7" s="1031" t="s">
        <v>1919</v>
      </c>
      <c r="C7" s="1032"/>
      <c r="D7" s="429" t="s">
        <v>253</v>
      </c>
      <c r="E7" s="1033" t="str">
        <f>'lead 25-26'!C2</f>
        <v>Construction of Community Hall at Chakirala village and  GP of Kanigiri  Mandal.</v>
      </c>
      <c r="F7" s="1034"/>
      <c r="G7" s="1035"/>
    </row>
    <row r="8" spans="1:7" s="426" customFormat="1" ht="18.75" customHeight="1">
      <c r="A8" s="428">
        <v>4</v>
      </c>
      <c r="B8" s="1031" t="s">
        <v>1920</v>
      </c>
      <c r="C8" s="1032"/>
      <c r="D8" s="429" t="s">
        <v>253</v>
      </c>
      <c r="E8" s="1033"/>
      <c r="F8" s="1034"/>
      <c r="G8" s="1035"/>
    </row>
    <row r="9" spans="1:7" s="426" customFormat="1" ht="18.75" customHeight="1">
      <c r="A9" s="428">
        <v>5</v>
      </c>
      <c r="B9" s="1025" t="s">
        <v>1921</v>
      </c>
      <c r="C9" s="1025"/>
      <c r="D9" s="429" t="s">
        <v>253</v>
      </c>
      <c r="E9" s="1026" t="str">
        <f>'lead 25-26'!K4</f>
        <v>20.00 Lakhs</v>
      </c>
      <c r="F9" s="1026"/>
      <c r="G9" s="1026"/>
    </row>
    <row r="10" spans="1:7" s="426" customFormat="1" ht="30" customHeight="1">
      <c r="A10" s="428">
        <v>6</v>
      </c>
      <c r="B10" s="1025" t="s">
        <v>1922</v>
      </c>
      <c r="C10" s="1025"/>
      <c r="D10" s="429" t="s">
        <v>253</v>
      </c>
      <c r="E10" s="1025" t="s">
        <v>2067</v>
      </c>
      <c r="F10" s="1025"/>
      <c r="G10" s="1025"/>
    </row>
    <row r="11" spans="1:7" s="426" customFormat="1" ht="28.5" customHeight="1">
      <c r="A11" s="428">
        <v>7</v>
      </c>
      <c r="B11" s="1025" t="s">
        <v>1923</v>
      </c>
      <c r="C11" s="1025"/>
      <c r="D11" s="429" t="s">
        <v>253</v>
      </c>
      <c r="E11" s="1025" t="s">
        <v>2068</v>
      </c>
      <c r="F11" s="1025"/>
      <c r="G11" s="1025"/>
    </row>
    <row r="12" spans="1:7" s="426" customFormat="1" ht="30" customHeight="1">
      <c r="A12" s="428">
        <v>8</v>
      </c>
      <c r="B12" s="1025" t="s">
        <v>1924</v>
      </c>
      <c r="C12" s="1025"/>
      <c r="D12" s="429" t="s">
        <v>253</v>
      </c>
      <c r="E12" s="1025" t="s">
        <v>2069</v>
      </c>
      <c r="F12" s="1025"/>
      <c r="G12" s="1025"/>
    </row>
    <row r="13" spans="1:7" s="426" customFormat="1" ht="38.25" customHeight="1">
      <c r="A13" s="428">
        <v>9</v>
      </c>
      <c r="B13" s="1025" t="s">
        <v>1925</v>
      </c>
      <c r="C13" s="1025"/>
      <c r="D13" s="429" t="s">
        <v>253</v>
      </c>
      <c r="E13" s="1025" t="s">
        <v>1926</v>
      </c>
      <c r="F13" s="1025"/>
      <c r="G13" s="1025"/>
    </row>
    <row r="14" spans="1:7" s="426" customFormat="1" ht="16.5" customHeight="1">
      <c r="A14" s="428">
        <v>10</v>
      </c>
      <c r="B14" s="1025" t="s">
        <v>1927</v>
      </c>
      <c r="C14" s="1025"/>
      <c r="D14" s="429" t="s">
        <v>253</v>
      </c>
      <c r="E14" s="1025" t="s">
        <v>15</v>
      </c>
      <c r="F14" s="1025"/>
      <c r="G14" s="1025"/>
    </row>
    <row r="15" spans="1:7" s="426" customFormat="1" ht="27.75" customHeight="1">
      <c r="A15" s="428">
        <v>11</v>
      </c>
      <c r="B15" s="1025" t="s">
        <v>1928</v>
      </c>
      <c r="C15" s="1025"/>
      <c r="D15" s="429" t="s">
        <v>253</v>
      </c>
      <c r="E15" s="1025" t="s">
        <v>1929</v>
      </c>
      <c r="F15" s="1025"/>
      <c r="G15" s="1025"/>
    </row>
    <row r="16" spans="1:7" s="426" customFormat="1" ht="18.75" customHeight="1">
      <c r="A16" s="428">
        <v>12</v>
      </c>
      <c r="B16" s="1025" t="s">
        <v>1930</v>
      </c>
      <c r="C16" s="1025"/>
      <c r="D16" s="429" t="s">
        <v>253</v>
      </c>
      <c r="E16" s="1025" t="str">
        <f>E9</f>
        <v>20.00 Lakhs</v>
      </c>
      <c r="F16" s="1025"/>
      <c r="G16" s="1025"/>
    </row>
    <row r="17" spans="1:7" s="426" customFormat="1" ht="15.75" customHeight="1">
      <c r="A17" s="428">
        <v>13</v>
      </c>
      <c r="B17" s="1025" t="s">
        <v>1931</v>
      </c>
      <c r="C17" s="1025"/>
      <c r="D17" s="429" t="s">
        <v>253</v>
      </c>
      <c r="E17" s="1026"/>
      <c r="F17" s="1026"/>
      <c r="G17" s="1026"/>
    </row>
    <row r="18" spans="1:7" s="426" customFormat="1" ht="18.75" customHeight="1">
      <c r="A18" s="428">
        <v>14</v>
      </c>
      <c r="B18" s="1025" t="s">
        <v>1932</v>
      </c>
      <c r="C18" s="1025"/>
      <c r="D18" s="429" t="s">
        <v>253</v>
      </c>
      <c r="E18" s="1026"/>
      <c r="F18" s="1026"/>
      <c r="G18" s="1026"/>
    </row>
    <row r="19" spans="1:7" s="426" customFormat="1" ht="13.5" customHeight="1">
      <c r="A19" s="428">
        <v>15</v>
      </c>
      <c r="B19" s="1025" t="s">
        <v>1933</v>
      </c>
      <c r="C19" s="1025"/>
      <c r="D19" s="429" t="s">
        <v>253</v>
      </c>
      <c r="E19" s="1026"/>
      <c r="F19" s="1026"/>
      <c r="G19" s="1026"/>
    </row>
    <row r="20" spans="1:7" s="426" customFormat="1" ht="15.75" customHeight="1">
      <c r="A20" s="428">
        <v>16</v>
      </c>
      <c r="B20" s="1025" t="s">
        <v>1934</v>
      </c>
      <c r="C20" s="1025"/>
      <c r="D20" s="429" t="s">
        <v>253</v>
      </c>
      <c r="E20" s="1026"/>
      <c r="F20" s="1026"/>
      <c r="G20" s="1026"/>
    </row>
    <row r="21" spans="1:7" s="426" customFormat="1" ht="15.75" customHeight="1">
      <c r="A21" s="428">
        <v>17</v>
      </c>
      <c r="B21" s="1025" t="s">
        <v>1935</v>
      </c>
      <c r="C21" s="1025"/>
      <c r="D21" s="429" t="s">
        <v>253</v>
      </c>
      <c r="E21" s="1026"/>
      <c r="F21" s="1026"/>
      <c r="G21" s="1026"/>
    </row>
    <row r="22" spans="1:7" s="426" customFormat="1" ht="49.5" customHeight="1">
      <c r="A22" s="428">
        <v>18</v>
      </c>
      <c r="B22" s="1025" t="s">
        <v>1936</v>
      </c>
      <c r="C22" s="1025"/>
      <c r="D22" s="429" t="s">
        <v>253</v>
      </c>
      <c r="E22" s="1026" t="s">
        <v>1937</v>
      </c>
      <c r="F22" s="1026"/>
      <c r="G22" s="1026"/>
    </row>
    <row r="23" spans="1:7" s="426" customFormat="1" ht="36" customHeight="1">
      <c r="A23" s="428">
        <v>19</v>
      </c>
      <c r="B23" s="1046" t="s">
        <v>1938</v>
      </c>
      <c r="C23" s="1046"/>
      <c r="D23" s="429" t="s">
        <v>253</v>
      </c>
      <c r="E23" s="430" t="s">
        <v>1939</v>
      </c>
      <c r="F23" s="1046" t="s">
        <v>1940</v>
      </c>
      <c r="G23" s="1046"/>
    </row>
    <row r="24" spans="1:7" s="426" customFormat="1" ht="17.25" customHeight="1">
      <c r="A24" s="428"/>
      <c r="B24" s="430" t="s">
        <v>928</v>
      </c>
      <c r="C24" s="430" t="s">
        <v>1941</v>
      </c>
      <c r="D24" s="429"/>
      <c r="E24" s="429" t="s">
        <v>1941</v>
      </c>
      <c r="F24" s="430" t="s">
        <v>928</v>
      </c>
      <c r="G24" s="430" t="s">
        <v>1941</v>
      </c>
    </row>
    <row r="25" spans="1:7" s="426" customFormat="1" ht="13.5" customHeight="1">
      <c r="A25" s="428"/>
      <c r="B25" s="430"/>
      <c r="C25" s="430"/>
      <c r="D25" s="429"/>
      <c r="E25" s="429"/>
      <c r="F25" s="430"/>
      <c r="G25" s="430"/>
    </row>
    <row r="26" spans="1:7" s="426" customFormat="1" ht="13.5" customHeight="1">
      <c r="A26" s="428"/>
      <c r="B26" s="430"/>
      <c r="C26" s="430"/>
      <c r="D26" s="429"/>
      <c r="E26" s="429"/>
      <c r="F26" s="430"/>
      <c r="G26" s="430"/>
    </row>
    <row r="27" spans="1:7" s="426" customFormat="1" ht="13.5" customHeight="1">
      <c r="A27" s="428"/>
      <c r="B27" s="430"/>
      <c r="C27" s="430"/>
      <c r="D27" s="429"/>
      <c r="E27" s="429"/>
      <c r="F27" s="430"/>
      <c r="G27" s="430"/>
    </row>
    <row r="28" spans="1:7" s="426" customFormat="1" ht="13.5" customHeight="1">
      <c r="A28" s="428"/>
      <c r="B28" s="430"/>
      <c r="C28" s="430"/>
      <c r="D28" s="429"/>
      <c r="E28" s="429"/>
      <c r="F28" s="430"/>
      <c r="G28" s="430"/>
    </row>
    <row r="29" spans="1:7" s="426" customFormat="1" ht="21" customHeight="1">
      <c r="A29" s="428">
        <v>20</v>
      </c>
      <c r="B29" s="1043" t="s">
        <v>1942</v>
      </c>
      <c r="C29" s="1044"/>
      <c r="D29" s="1044"/>
      <c r="E29" s="1044"/>
      <c r="F29" s="1044"/>
      <c r="G29" s="1045"/>
    </row>
    <row r="30" spans="1:7" s="426" customFormat="1" ht="15.75" customHeight="1">
      <c r="A30" s="428"/>
      <c r="B30" s="1025" t="s">
        <v>1943</v>
      </c>
      <c r="C30" s="1025"/>
      <c r="D30" s="429" t="s">
        <v>253</v>
      </c>
      <c r="E30" s="1026"/>
      <c r="F30" s="1026"/>
      <c r="G30" s="1026"/>
    </row>
    <row r="31" spans="1:7" s="426" customFormat="1" ht="14.25" customHeight="1">
      <c r="A31" s="428"/>
      <c r="B31" s="1025" t="s">
        <v>1944</v>
      </c>
      <c r="C31" s="1025"/>
      <c r="D31" s="429" t="s">
        <v>253</v>
      </c>
      <c r="E31" s="1026"/>
      <c r="F31" s="1026"/>
      <c r="G31" s="1026"/>
    </row>
    <row r="32" spans="1:7" s="426" customFormat="1" ht="26.25" customHeight="1">
      <c r="A32" s="428">
        <v>21</v>
      </c>
      <c r="B32" s="1025" t="s">
        <v>1945</v>
      </c>
      <c r="C32" s="1025"/>
      <c r="D32" s="429" t="s">
        <v>253</v>
      </c>
      <c r="E32" s="1026"/>
      <c r="F32" s="1026"/>
      <c r="G32" s="1026"/>
    </row>
    <row r="33" spans="1:7" s="426" customFormat="1" ht="25.5" customHeight="1">
      <c r="A33" s="428">
        <v>22</v>
      </c>
      <c r="B33" s="1025" t="s">
        <v>1946</v>
      </c>
      <c r="C33" s="1025"/>
      <c r="D33" s="429" t="s">
        <v>253</v>
      </c>
      <c r="E33" s="1026" t="s">
        <v>1937</v>
      </c>
      <c r="F33" s="1026"/>
      <c r="G33" s="1026"/>
    </row>
    <row r="34" spans="1:7" s="426" customFormat="1" ht="15.75" customHeight="1">
      <c r="A34" s="428">
        <v>23</v>
      </c>
      <c r="B34" s="1025" t="s">
        <v>1947</v>
      </c>
      <c r="C34" s="1025"/>
      <c r="D34" s="429" t="s">
        <v>253</v>
      </c>
      <c r="E34" s="1026" t="s">
        <v>1937</v>
      </c>
      <c r="F34" s="1026"/>
      <c r="G34" s="1026"/>
    </row>
    <row r="35" spans="1:7" s="426" customFormat="1" ht="26.25" customHeight="1">
      <c r="A35" s="428">
        <v>24</v>
      </c>
      <c r="B35" s="1025" t="s">
        <v>1948</v>
      </c>
      <c r="C35" s="1025"/>
      <c r="D35" s="429" t="s">
        <v>253</v>
      </c>
      <c r="E35" s="1026" t="s">
        <v>1937</v>
      </c>
      <c r="F35" s="1026"/>
      <c r="G35" s="1026"/>
    </row>
    <row r="36" spans="1:7" s="426" customFormat="1" ht="24.75" customHeight="1">
      <c r="A36" s="428">
        <v>25</v>
      </c>
      <c r="B36" s="1025" t="s">
        <v>1949</v>
      </c>
      <c r="C36" s="1025"/>
      <c r="D36" s="429" t="s">
        <v>253</v>
      </c>
      <c r="E36" s="1026" t="s">
        <v>114</v>
      </c>
      <c r="F36" s="1026"/>
      <c r="G36" s="1026"/>
    </row>
    <row r="37" spans="1:7" s="426" customFormat="1" ht="18" customHeight="1">
      <c r="A37" s="428">
        <v>26</v>
      </c>
      <c r="B37" s="1025" t="s">
        <v>1950</v>
      </c>
      <c r="C37" s="1025"/>
      <c r="D37" s="429" t="s">
        <v>253</v>
      </c>
      <c r="E37" s="1026" t="s">
        <v>114</v>
      </c>
      <c r="F37" s="1026"/>
      <c r="G37" s="1026"/>
    </row>
    <row r="42" spans="1:7" s="426" customFormat="1" ht="21" customHeight="1">
      <c r="A42" s="428"/>
      <c r="B42" s="1043" t="s">
        <v>1951</v>
      </c>
      <c r="C42" s="1044"/>
      <c r="D42" s="1044"/>
      <c r="E42" s="1044"/>
      <c r="F42" s="1044"/>
      <c r="G42" s="1045"/>
    </row>
    <row r="43" spans="1:7" s="426" customFormat="1" ht="29.25" customHeight="1">
      <c r="A43" s="428">
        <v>27</v>
      </c>
      <c r="B43" s="1042" t="s">
        <v>1952</v>
      </c>
      <c r="C43" s="1042"/>
      <c r="D43" s="429" t="s">
        <v>253</v>
      </c>
      <c r="E43" s="1026"/>
      <c r="F43" s="1026"/>
      <c r="G43" s="1026"/>
    </row>
    <row r="44" spans="1:7" s="426" customFormat="1" ht="45" customHeight="1">
      <c r="A44" s="428">
        <v>28</v>
      </c>
      <c r="B44" s="1042" t="s">
        <v>1953</v>
      </c>
      <c r="C44" s="1042"/>
      <c r="D44" s="429" t="s">
        <v>253</v>
      </c>
      <c r="E44" s="1026"/>
      <c r="F44" s="1026"/>
      <c r="G44" s="1026"/>
    </row>
    <row r="45" spans="1:7" s="426" customFormat="1" ht="42.75" customHeight="1">
      <c r="A45" s="428">
        <v>29</v>
      </c>
      <c r="B45" s="1042" t="s">
        <v>1954</v>
      </c>
      <c r="C45" s="1042"/>
      <c r="D45" s="429" t="s">
        <v>253</v>
      </c>
      <c r="E45" s="1026"/>
      <c r="F45" s="1026"/>
      <c r="G45" s="1026"/>
    </row>
    <row r="46" spans="1:7" s="426" customFormat="1" ht="53.25" customHeight="1">
      <c r="A46" s="428">
        <v>30</v>
      </c>
      <c r="B46" s="1042" t="s">
        <v>1955</v>
      </c>
      <c r="C46" s="1042"/>
      <c r="D46" s="429" t="s">
        <v>253</v>
      </c>
      <c r="E46" s="1026"/>
      <c r="F46" s="1026"/>
      <c r="G46" s="1026"/>
    </row>
    <row r="47" spans="1:7" s="426" customFormat="1" ht="57" customHeight="1">
      <c r="A47" s="428">
        <v>31</v>
      </c>
      <c r="B47" s="1042" t="s">
        <v>1956</v>
      </c>
      <c r="C47" s="1042"/>
      <c r="D47" s="429" t="s">
        <v>253</v>
      </c>
      <c r="E47" s="1026"/>
      <c r="F47" s="1026"/>
      <c r="G47" s="1026"/>
    </row>
    <row r="48" spans="1:7" s="426" customFormat="1" ht="54.75" customHeight="1">
      <c r="A48" s="428">
        <v>32</v>
      </c>
      <c r="B48" s="1042" t="s">
        <v>1957</v>
      </c>
      <c r="C48" s="1042"/>
      <c r="D48" s="429" t="s">
        <v>253</v>
      </c>
      <c r="E48" s="1026"/>
      <c r="F48" s="1026"/>
      <c r="G48" s="1026"/>
    </row>
    <row r="49" spans="1:7" s="426" customFormat="1" ht="43.5" customHeight="1">
      <c r="A49" s="428">
        <v>33</v>
      </c>
      <c r="B49" s="1042" t="s">
        <v>1958</v>
      </c>
      <c r="C49" s="1042"/>
      <c r="D49" s="429" t="s">
        <v>253</v>
      </c>
      <c r="E49" s="1026"/>
      <c r="F49" s="1026"/>
      <c r="G49" s="1026"/>
    </row>
    <row r="50" spans="1:7" s="426" customFormat="1" ht="39.75" customHeight="1">
      <c r="A50" s="428">
        <v>34</v>
      </c>
      <c r="B50" s="1042" t="s">
        <v>1959</v>
      </c>
      <c r="C50" s="1042"/>
      <c r="D50" s="429" t="s">
        <v>253</v>
      </c>
      <c r="E50" s="1026"/>
      <c r="F50" s="1026"/>
      <c r="G50" s="1026"/>
    </row>
    <row r="51" spans="1:7" s="426" customFormat="1" ht="21" customHeight="1">
      <c r="A51" s="428">
        <v>35</v>
      </c>
      <c r="B51" s="1043" t="s">
        <v>1942</v>
      </c>
      <c r="C51" s="1044"/>
      <c r="D51" s="1044"/>
      <c r="E51" s="1044"/>
      <c r="F51" s="1044"/>
      <c r="G51" s="1045"/>
    </row>
    <row r="52" spans="1:7" s="426" customFormat="1" ht="29.25" customHeight="1">
      <c r="A52" s="428"/>
      <c r="B52" s="1025" t="s">
        <v>1960</v>
      </c>
      <c r="C52" s="1025"/>
      <c r="D52" s="429" t="s">
        <v>253</v>
      </c>
      <c r="E52" s="1026"/>
      <c r="F52" s="1026"/>
      <c r="G52" s="1026"/>
    </row>
    <row r="53" spans="1:7" s="426" customFormat="1" ht="29.25" customHeight="1">
      <c r="A53" s="428"/>
      <c r="B53" s="1025" t="s">
        <v>1944</v>
      </c>
      <c r="C53" s="1025"/>
      <c r="D53" s="429" t="s">
        <v>253</v>
      </c>
      <c r="E53" s="1026"/>
      <c r="F53" s="1026"/>
      <c r="G53" s="1026"/>
    </row>
    <row r="54" spans="1:7" s="426" customFormat="1" ht="29.25" customHeight="1">
      <c r="A54" s="428">
        <v>36</v>
      </c>
      <c r="B54" s="1025" t="s">
        <v>1945</v>
      </c>
      <c r="C54" s="1025"/>
      <c r="D54" s="429" t="s">
        <v>253</v>
      </c>
      <c r="E54" s="1026"/>
      <c r="F54" s="1026"/>
      <c r="G54" s="1026"/>
    </row>
    <row r="55" spans="1:7" s="426" customFormat="1" ht="69" customHeight="1">
      <c r="A55" s="428">
        <v>37</v>
      </c>
      <c r="B55" s="1025" t="s">
        <v>1961</v>
      </c>
      <c r="C55" s="1025"/>
      <c r="D55" s="429" t="s">
        <v>253</v>
      </c>
      <c r="E55" s="1039" t="s">
        <v>1962</v>
      </c>
      <c r="F55" s="1040"/>
      <c r="G55" s="1041"/>
    </row>
    <row r="56" spans="1:7" s="426" customFormat="1" ht="29.25" customHeight="1">
      <c r="A56" s="428">
        <v>38</v>
      </c>
      <c r="B56" s="1025" t="s">
        <v>1963</v>
      </c>
      <c r="C56" s="1025"/>
      <c r="D56" s="429" t="s">
        <v>253</v>
      </c>
      <c r="E56" s="1026"/>
      <c r="F56" s="1026"/>
      <c r="G56" s="1026"/>
    </row>
    <row r="57" spans="1:7" s="426" customFormat="1" ht="29.25" customHeight="1">
      <c r="A57" s="428">
        <v>39</v>
      </c>
      <c r="B57" s="1025" t="s">
        <v>1964</v>
      </c>
      <c r="C57" s="1025"/>
      <c r="D57" s="429" t="s">
        <v>253</v>
      </c>
      <c r="E57" s="1026"/>
      <c r="F57" s="1026"/>
      <c r="G57" s="1026"/>
    </row>
  </sheetData>
  <mergeCells count="86">
    <mergeCell ref="B7:C7"/>
    <mergeCell ref="E7:G7"/>
    <mergeCell ref="A2:G2"/>
    <mergeCell ref="B5:C5"/>
    <mergeCell ref="E5:G5"/>
    <mergeCell ref="B6:C6"/>
    <mergeCell ref="E6:G6"/>
    <mergeCell ref="B8:C8"/>
    <mergeCell ref="E8:G8"/>
    <mergeCell ref="B9:C9"/>
    <mergeCell ref="E9:G9"/>
    <mergeCell ref="B10:C10"/>
    <mergeCell ref="E10:G10"/>
    <mergeCell ref="B11:C11"/>
    <mergeCell ref="E11:G11"/>
    <mergeCell ref="B12:C12"/>
    <mergeCell ref="E12:G12"/>
    <mergeCell ref="B13:C13"/>
    <mergeCell ref="E13:G13"/>
    <mergeCell ref="B14:C14"/>
    <mergeCell ref="E14:G14"/>
    <mergeCell ref="B15:C15"/>
    <mergeCell ref="E15:G15"/>
    <mergeCell ref="B16:C16"/>
    <mergeCell ref="E16:G16"/>
    <mergeCell ref="B17:C17"/>
    <mergeCell ref="E17:G17"/>
    <mergeCell ref="B18:C18"/>
    <mergeCell ref="E18:G18"/>
    <mergeCell ref="B19:C19"/>
    <mergeCell ref="E19:G19"/>
    <mergeCell ref="B31:C31"/>
    <mergeCell ref="E31:G31"/>
    <mergeCell ref="B20:C20"/>
    <mergeCell ref="E20:G20"/>
    <mergeCell ref="B21:C21"/>
    <mergeCell ref="E21:G21"/>
    <mergeCell ref="B22:C22"/>
    <mergeCell ref="E22:G22"/>
    <mergeCell ref="B23:C23"/>
    <mergeCell ref="F23:G23"/>
    <mergeCell ref="B29:G29"/>
    <mergeCell ref="B30:C30"/>
    <mergeCell ref="E30:G30"/>
    <mergeCell ref="B32:C32"/>
    <mergeCell ref="E32:G32"/>
    <mergeCell ref="B33:C33"/>
    <mergeCell ref="E33:G33"/>
    <mergeCell ref="B34:C34"/>
    <mergeCell ref="E34:G34"/>
    <mergeCell ref="B45:C45"/>
    <mergeCell ref="E45:G45"/>
    <mergeCell ref="B35:C35"/>
    <mergeCell ref="E35:G35"/>
    <mergeCell ref="B36:C36"/>
    <mergeCell ref="E36:G36"/>
    <mergeCell ref="B37:C37"/>
    <mergeCell ref="E37:G37"/>
    <mergeCell ref="B42:G42"/>
    <mergeCell ref="B43:C43"/>
    <mergeCell ref="E43:G43"/>
    <mergeCell ref="B44:C44"/>
    <mergeCell ref="E44:G44"/>
    <mergeCell ref="B52:C52"/>
    <mergeCell ref="E52:G52"/>
    <mergeCell ref="B46:C46"/>
    <mergeCell ref="E46:G46"/>
    <mergeCell ref="B47:C47"/>
    <mergeCell ref="E47:G47"/>
    <mergeCell ref="B48:C48"/>
    <mergeCell ref="E48:G48"/>
    <mergeCell ref="B49:C49"/>
    <mergeCell ref="E49:G49"/>
    <mergeCell ref="B50:C50"/>
    <mergeCell ref="E50:G50"/>
    <mergeCell ref="B51:G51"/>
    <mergeCell ref="B56:C56"/>
    <mergeCell ref="E56:G56"/>
    <mergeCell ref="B57:C57"/>
    <mergeCell ref="E57:G57"/>
    <mergeCell ref="B53:C53"/>
    <mergeCell ref="E53:G53"/>
    <mergeCell ref="B54:C54"/>
    <mergeCell ref="E54:G54"/>
    <mergeCell ref="B55:C55"/>
    <mergeCell ref="E55:G55"/>
  </mergeCells>
  <printOptions horizontalCentered="1"/>
  <pageMargins left="0.5" right="0.62992125984252001" top="0.17" bottom="0.16" header="0.17" footer="0.36"/>
  <pageSetup paperSize="9" scale="95" orientation="portrait" r:id="rId1"/>
  <headerFooter alignWithMargins="0"/>
  <rowBreaks count="1" manualBreakCount="1">
    <brk id="41" max="6" man="1"/>
  </rowBreaks>
  <drawing r:id="rId2"/>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000-000000000000}">
  <sheetPr>
    <tabColor rgb="FF00B050"/>
  </sheetPr>
  <dimension ref="A1:L347"/>
  <sheetViews>
    <sheetView view="pageBreakPreview" topLeftCell="A73" zoomScale="130" zoomScaleSheetLayoutView="130" workbookViewId="0">
      <selection activeCell="E58" sqref="E58"/>
    </sheetView>
  </sheetViews>
  <sheetFormatPr defaultRowHeight="12.75"/>
  <cols>
    <col min="1" max="1" width="2.85546875" style="466" customWidth="1"/>
    <col min="2" max="2" width="7.42578125" style="531" customWidth="1"/>
    <col min="3" max="3" width="4.28515625" style="466" customWidth="1"/>
    <col min="4" max="4" width="7.42578125" style="532" customWidth="1"/>
    <col min="5" max="5" width="36" style="466" customWidth="1"/>
    <col min="6" max="6" width="8.7109375" style="467" customWidth="1"/>
    <col min="7" max="7" width="6" style="466" customWidth="1"/>
    <col min="8" max="8" width="10.28515625" style="466" customWidth="1"/>
    <col min="9" max="9" width="9.7109375" style="466" customWidth="1"/>
    <col min="10" max="10" width="7.140625" style="466" customWidth="1"/>
    <col min="11" max="11" width="9.140625" style="466"/>
    <col min="12" max="12" width="10.28515625" style="466" customWidth="1"/>
    <col min="13" max="16384" width="9.140625" style="466"/>
  </cols>
  <sheetData>
    <row r="1" spans="1:12" ht="23.25" customHeight="1">
      <c r="A1" s="1070" t="s">
        <v>1965</v>
      </c>
      <c r="B1" s="1071"/>
      <c r="C1" s="1071"/>
      <c r="D1" s="1071"/>
      <c r="E1" s="1071"/>
      <c r="F1" s="1071"/>
      <c r="G1" s="1071"/>
      <c r="H1" s="1071"/>
      <c r="I1" s="1071"/>
      <c r="J1" s="1071"/>
    </row>
    <row r="2" spans="1:12" ht="20.25" customHeight="1">
      <c r="B2" s="1072"/>
      <c r="C2" s="1072"/>
      <c r="D2" s="1072"/>
      <c r="G2" s="1073" t="str">
        <f>'C-1 '!C3</f>
        <v>ZPGF 15% Office Maintenance Grant.</v>
      </c>
      <c r="H2" s="1073"/>
      <c r="I2" s="1073"/>
      <c r="J2" s="1073"/>
    </row>
    <row r="3" spans="1:12">
      <c r="B3" s="1064"/>
      <c r="C3" s="1064"/>
      <c r="D3" s="1064"/>
      <c r="G3" s="1063"/>
      <c r="H3" s="1063"/>
      <c r="I3" s="1063"/>
      <c r="J3" s="1063"/>
    </row>
    <row r="4" spans="1:12" ht="28.5" customHeight="1">
      <c r="B4" s="1074" t="str">
        <f>'lead 25-26'!B2&amp;'lead 25-26'!C2</f>
        <v>Name of the Work: Construction of Community Hall at Chakirala village and  GP of Kanigiri  Mandal.</v>
      </c>
      <c r="C4" s="1074"/>
      <c r="D4" s="1074"/>
      <c r="E4" s="1074"/>
      <c r="F4" s="1074"/>
      <c r="G4" s="1074"/>
      <c r="H4" s="1074"/>
      <c r="I4" s="1074"/>
      <c r="J4" s="1074"/>
    </row>
    <row r="5" spans="1:12" ht="24.75" customHeight="1">
      <c r="B5" s="1075" t="s">
        <v>1966</v>
      </c>
      <c r="C5" s="1075"/>
      <c r="D5" s="1076"/>
      <c r="E5" s="1076"/>
      <c r="F5" s="1076"/>
      <c r="G5" s="1076"/>
      <c r="H5" s="1076"/>
      <c r="I5" s="1076"/>
      <c r="J5" s="1076"/>
    </row>
    <row r="6" spans="1:12" ht="13.5" customHeight="1">
      <c r="B6" s="1062" t="s">
        <v>1967</v>
      </c>
      <c r="C6" s="1062"/>
      <c r="D6" s="1065"/>
      <c r="E6" s="1065"/>
      <c r="F6" s="1065"/>
      <c r="G6" s="1065"/>
      <c r="H6" s="1065"/>
      <c r="I6" s="1065"/>
      <c r="J6" s="1065"/>
    </row>
    <row r="7" spans="1:12" ht="15" customHeight="1">
      <c r="B7" s="1062" t="s">
        <v>1968</v>
      </c>
      <c r="C7" s="1062"/>
      <c r="D7" s="1065"/>
      <c r="E7" s="1065"/>
      <c r="F7" s="1065"/>
      <c r="G7" s="1065"/>
      <c r="H7" s="1065"/>
      <c r="I7" s="1065"/>
      <c r="J7" s="1065"/>
    </row>
    <row r="8" spans="1:12" ht="12.75" customHeight="1">
      <c r="B8" s="1062" t="s">
        <v>1969</v>
      </c>
      <c r="C8" s="1062"/>
      <c r="D8" s="1062"/>
      <c r="E8" s="1062"/>
      <c r="F8" s="1062"/>
      <c r="G8" s="1062"/>
      <c r="H8" s="1062"/>
      <c r="I8" s="1062"/>
      <c r="J8" s="1062"/>
    </row>
    <row r="9" spans="1:12" ht="19.5" customHeight="1">
      <c r="B9" s="1062" t="s">
        <v>1970</v>
      </c>
      <c r="C9" s="1062"/>
      <c r="D9" s="1065"/>
      <c r="E9" s="1065"/>
      <c r="F9" s="1065"/>
      <c r="G9" s="1065"/>
      <c r="H9" s="1065"/>
      <c r="I9" s="1065"/>
      <c r="J9" s="1065"/>
    </row>
    <row r="10" spans="1:12" ht="13.5" customHeight="1">
      <c r="B10" s="1062" t="s">
        <v>1971</v>
      </c>
      <c r="C10" s="1062"/>
      <c r="D10" s="1065"/>
      <c r="E10" s="1068" t="s">
        <v>1972</v>
      </c>
      <c r="F10" s="1069"/>
      <c r="G10" s="468"/>
      <c r="H10" s="1068" t="s">
        <v>1973</v>
      </c>
      <c r="I10" s="1069"/>
    </row>
    <row r="11" spans="1:12" ht="13.5" customHeight="1">
      <c r="B11" s="1062" t="s">
        <v>1974</v>
      </c>
      <c r="C11" s="1062"/>
      <c r="D11" s="1062"/>
      <c r="E11" s="1063" t="s">
        <v>1975</v>
      </c>
      <c r="F11" s="1064"/>
      <c r="G11" s="469"/>
      <c r="H11" s="1062" t="s">
        <v>1976</v>
      </c>
      <c r="I11" s="1065"/>
    </row>
    <row r="12" spans="1:12" ht="7.5" customHeight="1">
      <c r="B12" s="470"/>
      <c r="C12" s="471"/>
      <c r="D12" s="472"/>
      <c r="E12" s="471"/>
      <c r="F12" s="473"/>
      <c r="G12" s="469"/>
      <c r="H12" s="469"/>
      <c r="I12" s="469"/>
      <c r="J12" s="471"/>
    </row>
    <row r="13" spans="1:12" s="474" customFormat="1" ht="24.75" customHeight="1">
      <c r="A13" s="1066" t="s">
        <v>266</v>
      </c>
      <c r="B13" s="1067" t="s">
        <v>1977</v>
      </c>
      <c r="C13" s="1067"/>
      <c r="D13" s="1067"/>
      <c r="E13" s="1067" t="s">
        <v>1978</v>
      </c>
      <c r="F13" s="1067" t="s">
        <v>1979</v>
      </c>
      <c r="G13" s="1067" t="s">
        <v>9</v>
      </c>
      <c r="H13" s="1067" t="s">
        <v>10</v>
      </c>
      <c r="I13" s="1067"/>
      <c r="J13" s="1052" t="s">
        <v>445</v>
      </c>
    </row>
    <row r="14" spans="1:12" s="474" customFormat="1" ht="45" customHeight="1">
      <c r="A14" s="1066"/>
      <c r="B14" s="1052" t="s">
        <v>1980</v>
      </c>
      <c r="C14" s="1053"/>
      <c r="D14" s="475" t="s">
        <v>1981</v>
      </c>
      <c r="E14" s="1067"/>
      <c r="F14" s="1067"/>
      <c r="G14" s="1067"/>
      <c r="H14" s="476" t="s">
        <v>1982</v>
      </c>
      <c r="I14" s="476" t="s">
        <v>1983</v>
      </c>
      <c r="J14" s="1052"/>
    </row>
    <row r="15" spans="1:12" s="474" customFormat="1" ht="12">
      <c r="A15" s="477"/>
      <c r="B15" s="478"/>
      <c r="C15" s="463"/>
      <c r="D15" s="479"/>
      <c r="E15" s="462"/>
      <c r="F15" s="479"/>
      <c r="G15" s="480"/>
      <c r="H15" s="481"/>
      <c r="I15" s="481"/>
      <c r="J15" s="482"/>
      <c r="K15" s="483"/>
      <c r="L15" s="484"/>
    </row>
    <row r="16" spans="1:12" s="474" customFormat="1" ht="114.75">
      <c r="A16" s="485" t="s">
        <v>450</v>
      </c>
      <c r="B16" s="486">
        <f>CR!G8</f>
        <v>0</v>
      </c>
      <c r="C16" s="464" t="s">
        <v>102</v>
      </c>
      <c r="D16" s="487"/>
      <c r="E16" s="488" t="s">
        <v>144</v>
      </c>
      <c r="F16" s="487">
        <f>CR!I8</f>
        <v>421.37</v>
      </c>
      <c r="G16" s="489" t="s">
        <v>270</v>
      </c>
      <c r="H16" s="490">
        <f>ROUND(B16*F16,2)</f>
        <v>0</v>
      </c>
      <c r="I16" s="490"/>
      <c r="J16" s="491"/>
      <c r="K16" s="483"/>
      <c r="L16" s="484"/>
    </row>
    <row r="17" spans="1:12" s="474" customFormat="1" ht="114.75">
      <c r="A17" s="492" t="s">
        <v>451</v>
      </c>
      <c r="B17" s="493">
        <f>CR!G9</f>
        <v>0</v>
      </c>
      <c r="C17" s="465" t="s">
        <v>102</v>
      </c>
      <c r="D17" s="494"/>
      <c r="E17" s="495" t="s">
        <v>751</v>
      </c>
      <c r="F17" s="494">
        <f>CR!I9</f>
        <v>540.96</v>
      </c>
      <c r="G17" s="496" t="s">
        <v>270</v>
      </c>
      <c r="H17" s="497">
        <f t="shared" ref="H17:H51" si="0">ROUND(B17*F17,2)</f>
        <v>0</v>
      </c>
      <c r="I17" s="497"/>
      <c r="J17" s="498"/>
      <c r="K17" s="483"/>
      <c r="L17" s="484"/>
    </row>
    <row r="18" spans="1:12" s="474" customFormat="1" ht="178.5">
      <c r="A18" s="492" t="s">
        <v>452</v>
      </c>
      <c r="B18" s="493">
        <f>CR!G10</f>
        <v>0</v>
      </c>
      <c r="C18" s="465" t="s">
        <v>102</v>
      </c>
      <c r="D18" s="494"/>
      <c r="E18" s="495" t="s">
        <v>212</v>
      </c>
      <c r="F18" s="494">
        <f>CR!I10</f>
        <v>1305.71</v>
      </c>
      <c r="G18" s="496" t="s">
        <v>270</v>
      </c>
      <c r="H18" s="497">
        <f t="shared" si="0"/>
        <v>0</v>
      </c>
      <c r="I18" s="497"/>
      <c r="J18" s="498"/>
      <c r="K18" s="483"/>
      <c r="L18" s="484"/>
    </row>
    <row r="19" spans="1:12" s="474" customFormat="1" ht="140.25">
      <c r="A19" s="492" t="s">
        <v>453</v>
      </c>
      <c r="B19" s="493">
        <f>CR!G11</f>
        <v>0</v>
      </c>
      <c r="C19" s="465" t="s">
        <v>102</v>
      </c>
      <c r="D19" s="494"/>
      <c r="E19" s="495" t="s">
        <v>213</v>
      </c>
      <c r="F19" s="494">
        <f>CR!I11</f>
        <v>1301.5999999999999</v>
      </c>
      <c r="G19" s="496" t="s">
        <v>270</v>
      </c>
      <c r="H19" s="497">
        <f t="shared" si="0"/>
        <v>0</v>
      </c>
      <c r="I19" s="497"/>
      <c r="J19" s="498"/>
      <c r="K19" s="483"/>
      <c r="L19" s="484"/>
    </row>
    <row r="20" spans="1:12" s="474" customFormat="1" ht="153">
      <c r="A20" s="492" t="s">
        <v>454</v>
      </c>
      <c r="B20" s="493">
        <f>CR!G12</f>
        <v>0</v>
      </c>
      <c r="C20" s="465" t="s">
        <v>102</v>
      </c>
      <c r="D20" s="494"/>
      <c r="E20" s="495" t="s">
        <v>211</v>
      </c>
      <c r="F20" s="494">
        <f>CR!I12</f>
        <v>1033.07</v>
      </c>
      <c r="G20" s="496" t="s">
        <v>270</v>
      </c>
      <c r="H20" s="497">
        <f t="shared" si="0"/>
        <v>0</v>
      </c>
      <c r="I20" s="497"/>
      <c r="J20" s="498"/>
      <c r="K20" s="483"/>
      <c r="L20" s="484"/>
    </row>
    <row r="21" spans="1:12" s="474" customFormat="1" ht="140.25">
      <c r="A21" s="492" t="s">
        <v>455</v>
      </c>
      <c r="B21" s="493">
        <f>CR!G13</f>
        <v>0</v>
      </c>
      <c r="C21" s="465" t="s">
        <v>102</v>
      </c>
      <c r="D21" s="494"/>
      <c r="E21" s="495" t="s">
        <v>214</v>
      </c>
      <c r="F21" s="494">
        <f>CR!I13</f>
        <v>519.35</v>
      </c>
      <c r="G21" s="496" t="s">
        <v>270</v>
      </c>
      <c r="H21" s="497">
        <f t="shared" si="0"/>
        <v>0</v>
      </c>
      <c r="I21" s="497"/>
      <c r="J21" s="498"/>
      <c r="K21" s="483"/>
      <c r="L21" s="484"/>
    </row>
    <row r="22" spans="1:12" s="474" customFormat="1" ht="204">
      <c r="A22" s="492" t="s">
        <v>456</v>
      </c>
      <c r="B22" s="493">
        <f>CR!G14</f>
        <v>0</v>
      </c>
      <c r="C22" s="465" t="s">
        <v>102</v>
      </c>
      <c r="D22" s="494"/>
      <c r="E22" s="495" t="s">
        <v>845</v>
      </c>
      <c r="F22" s="494">
        <f>CR!I14</f>
        <v>182.77</v>
      </c>
      <c r="G22" s="496" t="s">
        <v>270</v>
      </c>
      <c r="H22" s="497">
        <f t="shared" si="0"/>
        <v>0</v>
      </c>
      <c r="I22" s="497"/>
      <c r="J22" s="498"/>
      <c r="K22" s="483"/>
      <c r="L22" s="484"/>
    </row>
    <row r="23" spans="1:12" s="474" customFormat="1" ht="153">
      <c r="A23" s="492" t="s">
        <v>457</v>
      </c>
      <c r="B23" s="493">
        <f>CR!G15</f>
        <v>0</v>
      </c>
      <c r="C23" s="465" t="s">
        <v>102</v>
      </c>
      <c r="D23" s="494"/>
      <c r="E23" s="495" t="s">
        <v>947</v>
      </c>
      <c r="F23" s="494">
        <f>CR!I15</f>
        <v>194.33</v>
      </c>
      <c r="G23" s="496" t="s">
        <v>270</v>
      </c>
      <c r="H23" s="497">
        <f t="shared" si="0"/>
        <v>0</v>
      </c>
      <c r="I23" s="497"/>
      <c r="J23" s="498"/>
      <c r="K23" s="483"/>
      <c r="L23" s="484"/>
    </row>
    <row r="24" spans="1:12" s="474" customFormat="1" ht="153">
      <c r="A24" s="492" t="s">
        <v>458</v>
      </c>
      <c r="B24" s="493">
        <f>CR!G16</f>
        <v>0</v>
      </c>
      <c r="C24" s="465" t="s">
        <v>102</v>
      </c>
      <c r="D24" s="494"/>
      <c r="E24" s="495" t="s">
        <v>948</v>
      </c>
      <c r="F24" s="494">
        <f>CR!I16</f>
        <v>267.35000000000002</v>
      </c>
      <c r="G24" s="496" t="s">
        <v>270</v>
      </c>
      <c r="H24" s="497">
        <f t="shared" si="0"/>
        <v>0</v>
      </c>
      <c r="I24" s="497"/>
      <c r="J24" s="498"/>
      <c r="K24" s="483"/>
      <c r="L24" s="484"/>
    </row>
    <row r="25" spans="1:12" s="474" customFormat="1" ht="344.25">
      <c r="A25" s="492" t="s">
        <v>320</v>
      </c>
      <c r="B25" s="493">
        <f>CR!G17</f>
        <v>0</v>
      </c>
      <c r="C25" s="465" t="s">
        <v>102</v>
      </c>
      <c r="D25" s="494"/>
      <c r="E25" s="495" t="s">
        <v>1852</v>
      </c>
      <c r="F25" s="494">
        <f>CR!I17</f>
        <v>1760.4100000000003</v>
      </c>
      <c r="G25" s="496" t="s">
        <v>270</v>
      </c>
      <c r="H25" s="497">
        <f t="shared" si="0"/>
        <v>0</v>
      </c>
      <c r="I25" s="497"/>
      <c r="J25" s="498"/>
      <c r="K25" s="483"/>
      <c r="L25" s="484"/>
    </row>
    <row r="26" spans="1:12" s="474" customFormat="1" ht="114.75">
      <c r="A26" s="492" t="s">
        <v>459</v>
      </c>
      <c r="B26" s="493">
        <f>CR!G18</f>
        <v>0</v>
      </c>
      <c r="C26" s="465" t="s">
        <v>102</v>
      </c>
      <c r="D26" s="494"/>
      <c r="E26" s="495" t="s">
        <v>2072</v>
      </c>
      <c r="F26" s="494">
        <f>CR!I18</f>
        <v>7732.59</v>
      </c>
      <c r="G26" s="496" t="s">
        <v>270</v>
      </c>
      <c r="H26" s="497">
        <f t="shared" si="0"/>
        <v>0</v>
      </c>
      <c r="I26" s="497"/>
      <c r="J26" s="498"/>
      <c r="K26" s="483"/>
      <c r="L26" s="484"/>
    </row>
    <row r="27" spans="1:12" s="474" customFormat="1" ht="326.25">
      <c r="A27" s="492" t="s">
        <v>462</v>
      </c>
      <c r="B27" s="493">
        <f>CR!G19</f>
        <v>0</v>
      </c>
      <c r="C27" s="465" t="s">
        <v>102</v>
      </c>
      <c r="D27" s="494"/>
      <c r="E27" s="499" t="s">
        <v>750</v>
      </c>
      <c r="F27" s="494">
        <f>CR!I19</f>
        <v>6698</v>
      </c>
      <c r="G27" s="496" t="s">
        <v>270</v>
      </c>
      <c r="H27" s="497">
        <f t="shared" si="0"/>
        <v>0</v>
      </c>
      <c r="I27" s="497"/>
      <c r="J27" s="498"/>
      <c r="K27" s="483"/>
      <c r="L27" s="484"/>
    </row>
    <row r="28" spans="1:12" s="474" customFormat="1" ht="51">
      <c r="A28" s="492" t="s">
        <v>463</v>
      </c>
      <c r="B28" s="493">
        <f>CR!G20</f>
        <v>0</v>
      </c>
      <c r="C28" s="465" t="s">
        <v>114</v>
      </c>
      <c r="D28" s="494"/>
      <c r="E28" s="495" t="s">
        <v>974</v>
      </c>
      <c r="F28" s="494">
        <f>CR!I20</f>
        <v>605.57000000000005</v>
      </c>
      <c r="G28" s="496" t="s">
        <v>271</v>
      </c>
      <c r="H28" s="497">
        <f t="shared" si="0"/>
        <v>0</v>
      </c>
      <c r="I28" s="497"/>
      <c r="J28" s="498"/>
      <c r="K28" s="483"/>
      <c r="L28" s="484"/>
    </row>
    <row r="29" spans="1:12" s="474" customFormat="1" ht="63.75">
      <c r="A29" s="492" t="s">
        <v>464</v>
      </c>
      <c r="B29" s="493">
        <f>CR!G21</f>
        <v>280</v>
      </c>
      <c r="C29" s="465" t="s">
        <v>826</v>
      </c>
      <c r="D29" s="494"/>
      <c r="E29" s="495" t="s">
        <v>188</v>
      </c>
      <c r="F29" s="494">
        <f>CR!I21</f>
        <v>121.03</v>
      </c>
      <c r="G29" s="496" t="s">
        <v>272</v>
      </c>
      <c r="H29" s="497">
        <f t="shared" si="0"/>
        <v>33888.400000000001</v>
      </c>
      <c r="I29" s="497"/>
      <c r="J29" s="498"/>
      <c r="K29" s="483"/>
      <c r="L29" s="484"/>
    </row>
    <row r="30" spans="1:12" s="474" customFormat="1" ht="114.75">
      <c r="A30" s="500" t="s">
        <v>465</v>
      </c>
      <c r="B30" s="493">
        <f>CR!G22</f>
        <v>0</v>
      </c>
      <c r="C30" s="465" t="s">
        <v>274</v>
      </c>
      <c r="D30" s="501"/>
      <c r="E30" s="495" t="s">
        <v>304</v>
      </c>
      <c r="F30" s="494">
        <f>CR!I22</f>
        <v>224</v>
      </c>
      <c r="G30" s="502" t="s">
        <v>276</v>
      </c>
      <c r="H30" s="497">
        <f t="shared" si="0"/>
        <v>0</v>
      </c>
      <c r="I30" s="503"/>
      <c r="J30" s="504"/>
      <c r="K30" s="505"/>
      <c r="L30" s="484"/>
    </row>
    <row r="31" spans="1:12" s="474" customFormat="1" ht="89.25">
      <c r="A31" s="500" t="s">
        <v>466</v>
      </c>
      <c r="B31" s="493">
        <f>CR!G23</f>
        <v>0</v>
      </c>
      <c r="C31" s="465" t="s">
        <v>274</v>
      </c>
      <c r="D31" s="501"/>
      <c r="E31" s="495" t="s">
        <v>275</v>
      </c>
      <c r="F31" s="494">
        <f>CR!I23</f>
        <v>37</v>
      </c>
      <c r="G31" s="502" t="s">
        <v>276</v>
      </c>
      <c r="H31" s="497">
        <f t="shared" si="0"/>
        <v>0</v>
      </c>
      <c r="I31" s="503"/>
      <c r="J31" s="504"/>
      <c r="K31" s="505"/>
      <c r="L31" s="484"/>
    </row>
    <row r="32" spans="1:12" s="474" customFormat="1" ht="76.5">
      <c r="A32" s="500" t="s">
        <v>468</v>
      </c>
      <c r="B32" s="493">
        <f>CR!G24</f>
        <v>0</v>
      </c>
      <c r="C32" s="465" t="s">
        <v>114</v>
      </c>
      <c r="D32" s="501"/>
      <c r="E32" s="495" t="s">
        <v>348</v>
      </c>
      <c r="F32" s="494">
        <f>CR!I24</f>
        <v>391</v>
      </c>
      <c r="G32" s="502" t="s">
        <v>271</v>
      </c>
      <c r="H32" s="497">
        <f t="shared" si="0"/>
        <v>0</v>
      </c>
      <c r="I32" s="503"/>
      <c r="J32" s="504"/>
      <c r="K32" s="505"/>
      <c r="L32" s="484"/>
    </row>
    <row r="33" spans="1:12" s="474" customFormat="1" ht="51">
      <c r="A33" s="500" t="s">
        <v>469</v>
      </c>
      <c r="B33" s="493">
        <f>CR!G25</f>
        <v>0</v>
      </c>
      <c r="C33" s="465" t="s">
        <v>274</v>
      </c>
      <c r="D33" s="501"/>
      <c r="E33" s="495" t="s">
        <v>337</v>
      </c>
      <c r="F33" s="494">
        <f>CR!I25</f>
        <v>150.33333333333334</v>
      </c>
      <c r="G33" s="502" t="s">
        <v>276</v>
      </c>
      <c r="H33" s="497">
        <f t="shared" si="0"/>
        <v>0</v>
      </c>
      <c r="I33" s="503"/>
      <c r="J33" s="504"/>
      <c r="K33" s="505"/>
      <c r="L33" s="484"/>
    </row>
    <row r="34" spans="1:12" s="474" customFormat="1" ht="51">
      <c r="A34" s="500" t="s">
        <v>470</v>
      </c>
      <c r="B34" s="493">
        <f>CR!G26</f>
        <v>0</v>
      </c>
      <c r="C34" s="465" t="s">
        <v>274</v>
      </c>
      <c r="D34" s="501"/>
      <c r="E34" s="495" t="s">
        <v>344</v>
      </c>
      <c r="F34" s="494">
        <f>CR!I26</f>
        <v>90</v>
      </c>
      <c r="G34" s="502" t="s">
        <v>276</v>
      </c>
      <c r="H34" s="497">
        <f t="shared" si="0"/>
        <v>0</v>
      </c>
      <c r="I34" s="503"/>
      <c r="J34" s="504"/>
      <c r="K34" s="505"/>
      <c r="L34" s="484"/>
    </row>
    <row r="35" spans="1:12" s="474" customFormat="1" ht="89.25">
      <c r="A35" s="500" t="s">
        <v>471</v>
      </c>
      <c r="B35" s="493">
        <f>CR!G27</f>
        <v>0</v>
      </c>
      <c r="C35" s="465" t="s">
        <v>274</v>
      </c>
      <c r="D35" s="501"/>
      <c r="E35" s="495" t="s">
        <v>346</v>
      </c>
      <c r="F35" s="494">
        <f>CR!I27</f>
        <v>85</v>
      </c>
      <c r="G35" s="502" t="s">
        <v>276</v>
      </c>
      <c r="H35" s="497">
        <f t="shared" si="0"/>
        <v>0</v>
      </c>
      <c r="I35" s="503"/>
      <c r="J35" s="504"/>
      <c r="K35" s="505"/>
      <c r="L35" s="484"/>
    </row>
    <row r="36" spans="1:12" s="474" customFormat="1" ht="102">
      <c r="A36" s="500" t="s">
        <v>473</v>
      </c>
      <c r="B36" s="493">
        <f>CR!G28</f>
        <v>0</v>
      </c>
      <c r="C36" s="465" t="s">
        <v>114</v>
      </c>
      <c r="D36" s="501"/>
      <c r="E36" s="495" t="s">
        <v>322</v>
      </c>
      <c r="F36" s="494">
        <f>CR!I28</f>
        <v>5340</v>
      </c>
      <c r="G36" s="502" t="s">
        <v>271</v>
      </c>
      <c r="H36" s="497">
        <f t="shared" si="0"/>
        <v>0</v>
      </c>
      <c r="I36" s="503"/>
      <c r="J36" s="504"/>
      <c r="K36" s="505"/>
      <c r="L36" s="484"/>
    </row>
    <row r="37" spans="1:12" s="474" customFormat="1" ht="242.25">
      <c r="A37" s="500" t="s">
        <v>474</v>
      </c>
      <c r="B37" s="493">
        <f>CR!G29</f>
        <v>0</v>
      </c>
      <c r="C37" s="465" t="s">
        <v>114</v>
      </c>
      <c r="D37" s="501"/>
      <c r="E37" s="495" t="s">
        <v>327</v>
      </c>
      <c r="F37" s="494">
        <f>CR!I29</f>
        <v>2044</v>
      </c>
      <c r="G37" s="502" t="s">
        <v>271</v>
      </c>
      <c r="H37" s="497">
        <f t="shared" si="0"/>
        <v>0</v>
      </c>
      <c r="I37" s="503"/>
      <c r="J37" s="504"/>
      <c r="K37" s="505"/>
      <c r="L37" s="484"/>
    </row>
    <row r="38" spans="1:12" s="474" customFormat="1" ht="25.5">
      <c r="A38" s="500" t="s">
        <v>475</v>
      </c>
      <c r="B38" s="493">
        <f>CR!G30</f>
        <v>0</v>
      </c>
      <c r="C38" s="465" t="s">
        <v>114</v>
      </c>
      <c r="D38" s="501"/>
      <c r="E38" s="495" t="s">
        <v>711</v>
      </c>
      <c r="F38" s="494">
        <f>CR!I30</f>
        <v>115</v>
      </c>
      <c r="G38" s="502" t="s">
        <v>271</v>
      </c>
      <c r="H38" s="497">
        <f t="shared" si="0"/>
        <v>0</v>
      </c>
      <c r="I38" s="503"/>
      <c r="J38" s="504"/>
      <c r="K38" s="505"/>
      <c r="L38" s="484"/>
    </row>
    <row r="39" spans="1:12" s="474" customFormat="1" ht="38.25">
      <c r="A39" s="500" t="s">
        <v>476</v>
      </c>
      <c r="B39" s="493">
        <f>CR!G31</f>
        <v>0</v>
      </c>
      <c r="C39" s="465" t="s">
        <v>114</v>
      </c>
      <c r="D39" s="501"/>
      <c r="E39" s="495" t="s">
        <v>599</v>
      </c>
      <c r="F39" s="494">
        <f>CR!I31</f>
        <v>230.64</v>
      </c>
      <c r="G39" s="502" t="s">
        <v>271</v>
      </c>
      <c r="H39" s="497">
        <f t="shared" si="0"/>
        <v>0</v>
      </c>
      <c r="I39" s="503"/>
      <c r="J39" s="504"/>
      <c r="K39" s="505"/>
      <c r="L39" s="484"/>
    </row>
    <row r="40" spans="1:12" s="474" customFormat="1" ht="127.5">
      <c r="A40" s="500" t="s">
        <v>477</v>
      </c>
      <c r="B40" s="493">
        <f>CR!G32</f>
        <v>14</v>
      </c>
      <c r="C40" s="465" t="s">
        <v>558</v>
      </c>
      <c r="D40" s="501"/>
      <c r="E40" s="495" t="s">
        <v>681</v>
      </c>
      <c r="F40" s="494">
        <f>CR!I32</f>
        <v>603.67999999999995</v>
      </c>
      <c r="G40" s="502" t="s">
        <v>2070</v>
      </c>
      <c r="H40" s="497">
        <f t="shared" si="0"/>
        <v>8451.52</v>
      </c>
      <c r="I40" s="503"/>
      <c r="J40" s="504"/>
      <c r="K40" s="505"/>
      <c r="L40" s="484"/>
    </row>
    <row r="41" spans="1:12" s="474" customFormat="1" ht="114.75">
      <c r="A41" s="500" t="s">
        <v>478</v>
      </c>
      <c r="B41" s="493">
        <f>CR!G33</f>
        <v>6</v>
      </c>
      <c r="C41" s="465" t="s">
        <v>558</v>
      </c>
      <c r="D41" s="501"/>
      <c r="E41" s="495" t="s">
        <v>682</v>
      </c>
      <c r="F41" s="494">
        <f>CR!I33</f>
        <v>628.66999999999996</v>
      </c>
      <c r="G41" s="502" t="s">
        <v>2070</v>
      </c>
      <c r="H41" s="497">
        <f t="shared" si="0"/>
        <v>3772.02</v>
      </c>
      <c r="I41" s="503"/>
      <c r="J41" s="504"/>
      <c r="K41" s="505"/>
      <c r="L41" s="484"/>
    </row>
    <row r="42" spans="1:12" s="474" customFormat="1" ht="76.5">
      <c r="A42" s="500" t="s">
        <v>479</v>
      </c>
      <c r="B42" s="493">
        <f>CR!G34</f>
        <v>180</v>
      </c>
      <c r="C42" s="465" t="s">
        <v>274</v>
      </c>
      <c r="D42" s="501"/>
      <c r="E42" s="495" t="s">
        <v>419</v>
      </c>
      <c r="F42" s="494">
        <f>CR!I34</f>
        <v>101.1</v>
      </c>
      <c r="G42" s="502" t="s">
        <v>276</v>
      </c>
      <c r="H42" s="497">
        <f t="shared" si="0"/>
        <v>18198</v>
      </c>
      <c r="I42" s="503"/>
      <c r="J42" s="504"/>
      <c r="K42" s="505"/>
      <c r="L42" s="484"/>
    </row>
    <row r="43" spans="1:12" s="474" customFormat="1" ht="76.5">
      <c r="A43" s="500" t="s">
        <v>480</v>
      </c>
      <c r="B43" s="493">
        <f>CR!G35</f>
        <v>10</v>
      </c>
      <c r="C43" s="465" t="s">
        <v>274</v>
      </c>
      <c r="D43" s="501"/>
      <c r="E43" s="495" t="s">
        <v>420</v>
      </c>
      <c r="F43" s="494">
        <f>CR!I35</f>
        <v>153.57339999999999</v>
      </c>
      <c r="G43" s="502" t="s">
        <v>276</v>
      </c>
      <c r="H43" s="497">
        <f t="shared" si="0"/>
        <v>1535.73</v>
      </c>
      <c r="I43" s="503"/>
      <c r="J43" s="504"/>
      <c r="K43" s="505"/>
      <c r="L43" s="484"/>
    </row>
    <row r="44" spans="1:12" s="474" customFormat="1">
      <c r="A44" s="500" t="s">
        <v>481</v>
      </c>
      <c r="B44" s="493">
        <f>CR!G36</f>
        <v>0</v>
      </c>
      <c r="C44" s="465" t="s">
        <v>114</v>
      </c>
      <c r="D44" s="501"/>
      <c r="E44" s="495" t="s">
        <v>604</v>
      </c>
      <c r="F44" s="494">
        <f>CR!I36</f>
        <v>223.82</v>
      </c>
      <c r="G44" s="502" t="s">
        <v>271</v>
      </c>
      <c r="H44" s="497">
        <f t="shared" si="0"/>
        <v>0</v>
      </c>
      <c r="I44" s="503"/>
      <c r="J44" s="504"/>
      <c r="K44" s="505"/>
      <c r="L44" s="484"/>
    </row>
    <row r="45" spans="1:12" s="474" customFormat="1" ht="76.5">
      <c r="A45" s="500" t="s">
        <v>482</v>
      </c>
      <c r="B45" s="493">
        <f>CR!G37</f>
        <v>10</v>
      </c>
      <c r="C45" s="465" t="s">
        <v>114</v>
      </c>
      <c r="D45" s="501"/>
      <c r="E45" s="495" t="s">
        <v>423</v>
      </c>
      <c r="F45" s="494">
        <f>CR!I37</f>
        <v>159.99</v>
      </c>
      <c r="G45" s="502" t="s">
        <v>271</v>
      </c>
      <c r="H45" s="497">
        <f t="shared" si="0"/>
        <v>1599.9</v>
      </c>
      <c r="I45" s="503"/>
      <c r="J45" s="504"/>
      <c r="K45" s="505"/>
      <c r="L45" s="484"/>
    </row>
    <row r="46" spans="1:12" s="474" customFormat="1" ht="76.5">
      <c r="A46" s="500" t="s">
        <v>1283</v>
      </c>
      <c r="B46" s="493">
        <f>CR!G38</f>
        <v>0</v>
      </c>
      <c r="C46" s="465" t="s">
        <v>114</v>
      </c>
      <c r="D46" s="501"/>
      <c r="E46" s="495" t="s">
        <v>1026</v>
      </c>
      <c r="F46" s="494">
        <f>CR!I38</f>
        <v>442</v>
      </c>
      <c r="G46" s="502" t="s">
        <v>271</v>
      </c>
      <c r="H46" s="497">
        <f t="shared" si="0"/>
        <v>0</v>
      </c>
      <c r="I46" s="503"/>
      <c r="J46" s="504"/>
      <c r="K46" s="505"/>
      <c r="L46" s="484"/>
    </row>
    <row r="47" spans="1:12" s="474" customFormat="1" ht="25.5">
      <c r="A47" s="500" t="s">
        <v>483</v>
      </c>
      <c r="B47" s="493">
        <f>CR!G39</f>
        <v>5</v>
      </c>
      <c r="C47" s="465" t="s">
        <v>114</v>
      </c>
      <c r="D47" s="501"/>
      <c r="E47" s="495" t="s">
        <v>613</v>
      </c>
      <c r="F47" s="494">
        <f>CR!I39</f>
        <v>23.86</v>
      </c>
      <c r="G47" s="502" t="s">
        <v>271</v>
      </c>
      <c r="H47" s="497">
        <f t="shared" si="0"/>
        <v>119.3</v>
      </c>
      <c r="I47" s="503"/>
      <c r="J47" s="504"/>
      <c r="K47" s="505"/>
      <c r="L47" s="484"/>
    </row>
    <row r="48" spans="1:12" s="474" customFormat="1" ht="51">
      <c r="A48" s="500" t="s">
        <v>484</v>
      </c>
      <c r="B48" s="493">
        <f>CR!G40</f>
        <v>6</v>
      </c>
      <c r="C48" s="465" t="s">
        <v>114</v>
      </c>
      <c r="D48" s="501"/>
      <c r="E48" s="495" t="s">
        <v>1065</v>
      </c>
      <c r="F48" s="494">
        <f>CR!I40</f>
        <v>157.36000000000001</v>
      </c>
      <c r="G48" s="502" t="s">
        <v>271</v>
      </c>
      <c r="H48" s="497">
        <f t="shared" si="0"/>
        <v>944.16</v>
      </c>
      <c r="I48" s="503"/>
      <c r="J48" s="504"/>
      <c r="K48" s="505"/>
      <c r="L48" s="484"/>
    </row>
    <row r="49" spans="1:12" s="474" customFormat="1" ht="76.5">
      <c r="A49" s="500" t="s">
        <v>485</v>
      </c>
      <c r="B49" s="493">
        <f>CR!G41</f>
        <v>6</v>
      </c>
      <c r="C49" s="465" t="s">
        <v>114</v>
      </c>
      <c r="D49" s="501"/>
      <c r="E49" s="495" t="s">
        <v>424</v>
      </c>
      <c r="F49" s="494">
        <f>CR!I41</f>
        <v>3786.42</v>
      </c>
      <c r="G49" s="502" t="s">
        <v>271</v>
      </c>
      <c r="H49" s="497">
        <f t="shared" si="0"/>
        <v>22718.52</v>
      </c>
      <c r="I49" s="503"/>
      <c r="J49" s="504"/>
      <c r="K49" s="505"/>
      <c r="L49" s="484"/>
    </row>
    <row r="50" spans="1:12" s="474" customFormat="1">
      <c r="A50" s="500" t="s">
        <v>486</v>
      </c>
      <c r="B50" s="493">
        <f>CR!G42</f>
        <v>6</v>
      </c>
      <c r="C50" s="465" t="s">
        <v>114</v>
      </c>
      <c r="D50" s="501"/>
      <c r="E50" s="495" t="s">
        <v>1326</v>
      </c>
      <c r="F50" s="494">
        <f>CR!I42</f>
        <v>302.33000000000004</v>
      </c>
      <c r="G50" s="502" t="s">
        <v>271</v>
      </c>
      <c r="H50" s="497">
        <f t="shared" si="0"/>
        <v>1813.98</v>
      </c>
      <c r="I50" s="503"/>
      <c r="J50" s="504"/>
      <c r="K50" s="505"/>
      <c r="L50" s="484"/>
    </row>
    <row r="51" spans="1:12" s="474" customFormat="1" ht="63.75">
      <c r="A51" s="500" t="s">
        <v>1284</v>
      </c>
      <c r="B51" s="493">
        <f>CR!G43</f>
        <v>8</v>
      </c>
      <c r="C51" s="465" t="s">
        <v>114</v>
      </c>
      <c r="D51" s="501"/>
      <c r="E51" s="495" t="s">
        <v>434</v>
      </c>
      <c r="F51" s="494">
        <f>CR!I43</f>
        <v>464.55</v>
      </c>
      <c r="G51" s="502" t="s">
        <v>271</v>
      </c>
      <c r="H51" s="497">
        <f t="shared" si="0"/>
        <v>3716.4</v>
      </c>
      <c r="I51" s="503"/>
      <c r="J51" s="504"/>
      <c r="K51" s="505"/>
      <c r="L51" s="484"/>
    </row>
    <row r="52" spans="1:12" s="474" customFormat="1" ht="12">
      <c r="A52" s="500"/>
      <c r="B52" s="506"/>
      <c r="C52" s="432"/>
      <c r="D52" s="501"/>
      <c r="E52" s="431"/>
      <c r="F52" s="501"/>
      <c r="G52" s="502"/>
      <c r="H52" s="503"/>
      <c r="I52" s="503"/>
      <c r="J52" s="504"/>
      <c r="K52" s="505"/>
      <c r="L52" s="484"/>
    </row>
    <row r="53" spans="1:12" s="474" customFormat="1" ht="12">
      <c r="A53" s="500"/>
      <c r="B53" s="506"/>
      <c r="C53" s="432"/>
      <c r="D53" s="501"/>
      <c r="E53" s="431"/>
      <c r="F53" s="501"/>
      <c r="G53" s="502"/>
      <c r="H53" s="503"/>
      <c r="I53" s="503"/>
      <c r="J53" s="504"/>
      <c r="K53" s="505"/>
      <c r="L53" s="484"/>
    </row>
    <row r="54" spans="1:12" s="474" customFormat="1" ht="12">
      <c r="A54" s="500"/>
      <c r="B54" s="506"/>
      <c r="C54" s="432"/>
      <c r="D54" s="501"/>
      <c r="E54" s="431"/>
      <c r="F54" s="501"/>
      <c r="G54" s="502"/>
      <c r="H54" s="503"/>
      <c r="I54" s="503"/>
      <c r="J54" s="504"/>
      <c r="K54" s="505"/>
      <c r="L54" s="484"/>
    </row>
    <row r="55" spans="1:12" s="474" customFormat="1" ht="12">
      <c r="A55" s="500"/>
      <c r="B55" s="506"/>
      <c r="C55" s="432"/>
      <c r="D55" s="501"/>
      <c r="E55" s="431"/>
      <c r="F55" s="501"/>
      <c r="G55" s="502"/>
      <c r="H55" s="503"/>
      <c r="I55" s="503"/>
      <c r="J55" s="504"/>
      <c r="K55" s="505"/>
      <c r="L55" s="484"/>
    </row>
    <row r="56" spans="1:12" s="474" customFormat="1" ht="12">
      <c r="A56" s="500"/>
      <c r="B56" s="506"/>
      <c r="C56" s="432"/>
      <c r="D56" s="501"/>
      <c r="E56" s="431"/>
      <c r="F56" s="501"/>
      <c r="G56" s="502"/>
      <c r="H56" s="503"/>
      <c r="I56" s="503"/>
      <c r="J56" s="504"/>
      <c r="K56" s="505"/>
      <c r="L56" s="484"/>
    </row>
    <row r="57" spans="1:12" s="474" customFormat="1" ht="12">
      <c r="A57" s="500"/>
      <c r="B57" s="506"/>
      <c r="C57" s="432"/>
      <c r="D57" s="501"/>
      <c r="E57" s="431"/>
      <c r="F57" s="501"/>
      <c r="G57" s="502"/>
      <c r="H57" s="503"/>
      <c r="I57" s="503"/>
      <c r="J57" s="504"/>
      <c r="K57" s="505"/>
      <c r="L57" s="484"/>
    </row>
    <row r="58" spans="1:12" s="474" customFormat="1" ht="12">
      <c r="A58" s="500"/>
      <c r="B58" s="506"/>
      <c r="C58" s="432"/>
      <c r="D58" s="501"/>
      <c r="E58" s="431"/>
      <c r="F58" s="501"/>
      <c r="G58" s="502"/>
      <c r="H58" s="503"/>
      <c r="I58" s="503"/>
      <c r="J58" s="504"/>
      <c r="K58" s="505"/>
      <c r="L58" s="484"/>
    </row>
    <row r="59" spans="1:12" s="474" customFormat="1" ht="12">
      <c r="A59" s="500"/>
      <c r="B59" s="506"/>
      <c r="C59" s="432"/>
      <c r="D59" s="501"/>
      <c r="E59" s="431"/>
      <c r="F59" s="501"/>
      <c r="G59" s="502"/>
      <c r="H59" s="503"/>
      <c r="I59" s="503"/>
      <c r="J59" s="504"/>
      <c r="K59" s="505"/>
      <c r="L59" s="484"/>
    </row>
    <row r="60" spans="1:12" s="474" customFormat="1" ht="12">
      <c r="A60" s="500"/>
      <c r="B60" s="506"/>
      <c r="C60" s="432"/>
      <c r="D60" s="501"/>
      <c r="E60" s="431"/>
      <c r="F60" s="501"/>
      <c r="G60" s="502"/>
      <c r="H60" s="503"/>
      <c r="I60" s="503"/>
      <c r="J60" s="504"/>
      <c r="K60" s="505"/>
      <c r="L60" s="484"/>
    </row>
    <row r="61" spans="1:12" s="474" customFormat="1" ht="12">
      <c r="A61" s="500"/>
      <c r="B61" s="506"/>
      <c r="C61" s="432"/>
      <c r="D61" s="501"/>
      <c r="E61" s="431"/>
      <c r="F61" s="501"/>
      <c r="G61" s="502"/>
      <c r="H61" s="503"/>
      <c r="I61" s="503"/>
      <c r="J61" s="504"/>
      <c r="K61" s="505"/>
      <c r="L61" s="484"/>
    </row>
    <row r="62" spans="1:12" s="474" customFormat="1" ht="12">
      <c r="A62" s="500"/>
      <c r="B62" s="506"/>
      <c r="C62" s="432"/>
      <c r="D62" s="501"/>
      <c r="E62" s="431"/>
      <c r="F62" s="501"/>
      <c r="G62" s="502"/>
      <c r="H62" s="503"/>
      <c r="I62" s="503"/>
      <c r="J62" s="504"/>
      <c r="K62" s="505"/>
      <c r="L62" s="484"/>
    </row>
    <row r="63" spans="1:12" s="474" customFormat="1" ht="12">
      <c r="A63" s="500"/>
      <c r="B63" s="506"/>
      <c r="C63" s="432"/>
      <c r="D63" s="501"/>
      <c r="E63" s="431"/>
      <c r="F63" s="501"/>
      <c r="G63" s="502"/>
      <c r="H63" s="503"/>
      <c r="I63" s="503"/>
      <c r="J63" s="504"/>
      <c r="K63" s="505"/>
      <c r="L63" s="484"/>
    </row>
    <row r="64" spans="1:12" s="474" customFormat="1" ht="12">
      <c r="A64" s="500"/>
      <c r="B64" s="506"/>
      <c r="C64" s="432"/>
      <c r="D64" s="501"/>
      <c r="E64" s="431"/>
      <c r="F64" s="501"/>
      <c r="G64" s="502"/>
      <c r="H64" s="503"/>
      <c r="I64" s="503"/>
      <c r="J64" s="504"/>
      <c r="K64" s="505"/>
      <c r="L64" s="484"/>
    </row>
    <row r="65" spans="1:12" s="474" customFormat="1" ht="12">
      <c r="A65" s="500"/>
      <c r="B65" s="506"/>
      <c r="C65" s="432"/>
      <c r="D65" s="501"/>
      <c r="E65" s="431"/>
      <c r="F65" s="501"/>
      <c r="G65" s="502"/>
      <c r="H65" s="503"/>
      <c r="I65" s="503"/>
      <c r="J65" s="504"/>
      <c r="K65" s="505"/>
      <c r="L65" s="484"/>
    </row>
    <row r="66" spans="1:12" s="474" customFormat="1" ht="12">
      <c r="A66" s="500"/>
      <c r="B66" s="506"/>
      <c r="C66" s="432"/>
      <c r="D66" s="501"/>
      <c r="E66" s="431"/>
      <c r="F66" s="501"/>
      <c r="G66" s="502"/>
      <c r="H66" s="503"/>
      <c r="I66" s="503"/>
      <c r="J66" s="504"/>
      <c r="K66" s="505"/>
      <c r="L66" s="484"/>
    </row>
    <row r="67" spans="1:12" s="474" customFormat="1" ht="12">
      <c r="A67" s="500"/>
      <c r="B67" s="506"/>
      <c r="C67" s="432"/>
      <c r="D67" s="501"/>
      <c r="E67" s="431"/>
      <c r="F67" s="501"/>
      <c r="G67" s="502"/>
      <c r="H67" s="503"/>
      <c r="I67" s="503"/>
      <c r="J67" s="504"/>
      <c r="K67" s="505"/>
      <c r="L67" s="484"/>
    </row>
    <row r="68" spans="1:12" s="474" customFormat="1" ht="12">
      <c r="A68" s="500"/>
      <c r="B68" s="506"/>
      <c r="C68" s="432"/>
      <c r="D68" s="501"/>
      <c r="E68" s="431"/>
      <c r="F68" s="501"/>
      <c r="G68" s="502"/>
      <c r="H68" s="503"/>
      <c r="I68" s="503"/>
      <c r="J68" s="504"/>
      <c r="K68" s="505"/>
      <c r="L68" s="484"/>
    </row>
    <row r="69" spans="1:12" s="474" customFormat="1" ht="12">
      <c r="A69" s="500"/>
      <c r="B69" s="506"/>
      <c r="C69" s="432"/>
      <c r="D69" s="501"/>
      <c r="E69" s="431"/>
      <c r="F69" s="501"/>
      <c r="G69" s="502"/>
      <c r="H69" s="503"/>
      <c r="I69" s="503"/>
      <c r="J69" s="504"/>
      <c r="K69" s="505"/>
      <c r="L69" s="484"/>
    </row>
    <row r="70" spans="1:12" s="474" customFormat="1" ht="12">
      <c r="A70" s="500"/>
      <c r="B70" s="506"/>
      <c r="C70" s="432"/>
      <c r="D70" s="501"/>
      <c r="E70" s="431"/>
      <c r="F70" s="501"/>
      <c r="G70" s="502"/>
      <c r="H70" s="503"/>
      <c r="I70" s="503"/>
      <c r="J70" s="504"/>
      <c r="K70" s="505"/>
      <c r="L70" s="484"/>
    </row>
    <row r="71" spans="1:12" s="474" customFormat="1" ht="12">
      <c r="A71" s="500"/>
      <c r="B71" s="506"/>
      <c r="C71" s="432"/>
      <c r="D71" s="501"/>
      <c r="E71" s="431"/>
      <c r="F71" s="501"/>
      <c r="G71" s="502"/>
      <c r="H71" s="503"/>
      <c r="I71" s="503"/>
      <c r="J71" s="504"/>
      <c r="K71" s="505"/>
      <c r="L71" s="484"/>
    </row>
    <row r="72" spans="1:12" s="474" customFormat="1" ht="12">
      <c r="A72" s="500"/>
      <c r="B72" s="506"/>
      <c r="C72" s="432"/>
      <c r="D72" s="501"/>
      <c r="E72" s="431"/>
      <c r="F72" s="501"/>
      <c r="G72" s="502"/>
      <c r="H72" s="503"/>
      <c r="I72" s="503"/>
      <c r="J72" s="504"/>
      <c r="K72" s="505"/>
      <c r="L72" s="484"/>
    </row>
    <row r="73" spans="1:12" s="474" customFormat="1" ht="12">
      <c r="A73" s="500"/>
      <c r="B73" s="506"/>
      <c r="C73" s="432"/>
      <c r="D73" s="501"/>
      <c r="E73" s="431"/>
      <c r="F73" s="501"/>
      <c r="G73" s="502"/>
      <c r="H73" s="503"/>
      <c r="I73" s="503"/>
      <c r="J73" s="504"/>
      <c r="K73" s="505"/>
      <c r="L73" s="484"/>
    </row>
    <row r="74" spans="1:12" s="474" customFormat="1" ht="12">
      <c r="A74" s="500"/>
      <c r="B74" s="506"/>
      <c r="C74" s="432"/>
      <c r="D74" s="501"/>
      <c r="E74" s="431"/>
      <c r="F74" s="501"/>
      <c r="G74" s="502"/>
      <c r="H74" s="503"/>
      <c r="I74" s="503"/>
      <c r="J74" s="504"/>
      <c r="K74" s="505"/>
      <c r="L74" s="484"/>
    </row>
    <row r="75" spans="1:12" s="474" customFormat="1" ht="12">
      <c r="A75" s="500"/>
      <c r="B75" s="506"/>
      <c r="C75" s="432"/>
      <c r="D75" s="501"/>
      <c r="E75" s="431"/>
      <c r="F75" s="501"/>
      <c r="G75" s="502"/>
      <c r="H75" s="503"/>
      <c r="I75" s="503"/>
      <c r="J75" s="504"/>
      <c r="K75" s="505"/>
      <c r="L75" s="484"/>
    </row>
    <row r="76" spans="1:12" s="474" customFormat="1" ht="11.25">
      <c r="A76" s="500"/>
      <c r="B76" s="506"/>
      <c r="C76" s="432"/>
      <c r="D76" s="501"/>
      <c r="E76" s="433"/>
      <c r="F76" s="501"/>
      <c r="G76" s="502"/>
      <c r="H76" s="503"/>
      <c r="I76" s="503"/>
      <c r="J76" s="504"/>
      <c r="K76" s="505"/>
      <c r="L76" s="484"/>
    </row>
    <row r="77" spans="1:12" s="474" customFormat="1" ht="11.25">
      <c r="A77" s="500"/>
      <c r="B77" s="506"/>
      <c r="C77" s="432"/>
      <c r="D77" s="501"/>
      <c r="E77" s="433"/>
      <c r="F77" s="501"/>
      <c r="G77" s="502"/>
      <c r="H77" s="503"/>
      <c r="I77" s="503"/>
      <c r="J77" s="504"/>
      <c r="K77" s="505"/>
      <c r="L77" s="484"/>
    </row>
    <row r="78" spans="1:12" s="517" customFormat="1" ht="11.25">
      <c r="A78" s="507"/>
      <c r="B78" s="508"/>
      <c r="C78" s="509"/>
      <c r="D78" s="510"/>
      <c r="E78" s="511"/>
      <c r="F78" s="512"/>
      <c r="G78" s="513"/>
      <c r="H78" s="514"/>
      <c r="I78" s="515"/>
      <c r="J78" s="516"/>
    </row>
    <row r="79" spans="1:12" s="518" customFormat="1" ht="18" customHeight="1">
      <c r="A79" s="533"/>
      <c r="B79" s="534"/>
      <c r="C79" s="535"/>
      <c r="D79" s="536"/>
      <c r="E79" s="1054" t="s">
        <v>1984</v>
      </c>
      <c r="F79" s="1054"/>
      <c r="G79" s="537" t="s">
        <v>1985</v>
      </c>
      <c r="H79" s="538">
        <f>SUM(H15:H78)</f>
        <v>96757.93</v>
      </c>
      <c r="I79" s="538">
        <f>SUM(I15:I78)</f>
        <v>0</v>
      </c>
      <c r="J79" s="539"/>
      <c r="L79" s="519">
        <f>SUM(L15:L78)</f>
        <v>0</v>
      </c>
    </row>
    <row r="80" spans="1:12" s="518" customFormat="1" ht="12" customHeight="1">
      <c r="A80" s="540"/>
      <c r="B80" s="541"/>
      <c r="C80" s="542"/>
      <c r="D80" s="543"/>
      <c r="E80" s="1055" t="s">
        <v>1986</v>
      </c>
      <c r="F80" s="1055"/>
      <c r="G80" s="544" t="s">
        <v>1985</v>
      </c>
      <c r="H80" s="519">
        <f>L79</f>
        <v>0</v>
      </c>
      <c r="I80" s="545" t="s">
        <v>854</v>
      </c>
      <c r="J80" s="546"/>
    </row>
    <row r="81" spans="1:10" s="518" customFormat="1" ht="15" customHeight="1">
      <c r="A81" s="547"/>
      <c r="B81" s="548"/>
      <c r="C81" s="549"/>
      <c r="D81" s="550"/>
      <c r="E81" s="1056" t="s">
        <v>1987</v>
      </c>
      <c r="F81" s="1056"/>
      <c r="G81" s="551" t="s">
        <v>1985</v>
      </c>
      <c r="H81" s="552">
        <f>H79-H80</f>
        <v>96757.93</v>
      </c>
      <c r="I81" s="1057">
        <f>ROUND(H81,0)</f>
        <v>96758</v>
      </c>
      <c r="J81" s="1058"/>
    </row>
    <row r="82" spans="1:10" s="474" customFormat="1" ht="38.25" customHeight="1">
      <c r="B82" s="1059" t="s">
        <v>1988</v>
      </c>
      <c r="C82" s="1059"/>
      <c r="D82" s="1059"/>
      <c r="E82" s="1059"/>
      <c r="F82" s="520"/>
      <c r="G82" s="520"/>
      <c r="H82" s="1060" t="s">
        <v>1989</v>
      </c>
      <c r="I82" s="1060"/>
      <c r="J82" s="1060"/>
    </row>
    <row r="83" spans="1:10" s="474" customFormat="1" ht="81.75" customHeight="1">
      <c r="B83" s="521"/>
      <c r="C83" s="522"/>
      <c r="D83" s="1061" t="s">
        <v>1990</v>
      </c>
      <c r="E83" s="1061"/>
      <c r="F83" s="1048" t="s">
        <v>1991</v>
      </c>
      <c r="G83" s="1048"/>
      <c r="H83" s="1048"/>
      <c r="I83" s="1048"/>
      <c r="J83" s="1048"/>
    </row>
    <row r="84" spans="1:10" s="474" customFormat="1" ht="3" customHeight="1">
      <c r="B84" s="521"/>
      <c r="C84" s="522"/>
      <c r="D84" s="1047"/>
      <c r="E84" s="1047"/>
      <c r="F84" s="522"/>
      <c r="G84" s="522"/>
      <c r="H84" s="522"/>
      <c r="I84" s="522"/>
      <c r="J84" s="522"/>
    </row>
    <row r="85" spans="1:10" s="474" customFormat="1" ht="37.5" customHeight="1">
      <c r="B85" s="521"/>
      <c r="C85" s="522"/>
      <c r="D85" s="1047" t="s">
        <v>1992</v>
      </c>
      <c r="E85" s="1047"/>
      <c r="F85" s="1048" t="s">
        <v>1993</v>
      </c>
      <c r="G85" s="1048"/>
      <c r="H85" s="1048"/>
      <c r="I85" s="1048"/>
      <c r="J85" s="1048"/>
    </row>
    <row r="86" spans="1:10" s="474" customFormat="1" ht="21.75" customHeight="1">
      <c r="B86" s="521"/>
      <c r="C86" s="522"/>
      <c r="D86" s="1047" t="s">
        <v>1994</v>
      </c>
      <c r="E86" s="1047"/>
      <c r="F86" s="1048" t="s">
        <v>1995</v>
      </c>
      <c r="G86" s="1048"/>
      <c r="H86" s="1048"/>
      <c r="I86" s="1048" t="s">
        <v>1996</v>
      </c>
      <c r="J86" s="1048"/>
    </row>
    <row r="87" spans="1:10" ht="12.75" customHeight="1">
      <c r="B87" s="523"/>
      <c r="C87" s="524"/>
      <c r="D87" s="1049"/>
      <c r="E87" s="1049"/>
      <c r="F87" s="1050"/>
      <c r="G87" s="1050"/>
      <c r="H87" s="1050"/>
      <c r="I87" s="1051"/>
      <c r="J87" s="1051"/>
    </row>
    <row r="88" spans="1:10" ht="15" customHeight="1">
      <c r="B88" s="523"/>
      <c r="C88" s="524"/>
      <c r="D88" s="525"/>
      <c r="E88" s="434" t="str">
        <f>'lead 25-26'!K32</f>
        <v>Assistant  Engineer</v>
      </c>
      <c r="F88" s="524"/>
      <c r="G88" s="524"/>
      <c r="H88" s="524"/>
      <c r="I88" s="526"/>
      <c r="J88" s="526"/>
    </row>
    <row r="89" spans="1:10" ht="12.75" customHeight="1">
      <c r="B89" s="523"/>
      <c r="C89" s="524"/>
      <c r="D89" s="525"/>
      <c r="E89" s="434" t="str">
        <f>'lead 25-26'!K33</f>
        <v>Mandal Praja parishad</v>
      </c>
      <c r="F89" s="524"/>
      <c r="G89" s="524"/>
      <c r="H89" s="524"/>
      <c r="I89" s="526"/>
      <c r="J89" s="526"/>
    </row>
    <row r="90" spans="1:10" ht="12.75" customHeight="1">
      <c r="B90" s="523"/>
      <c r="C90" s="524"/>
      <c r="D90" s="525"/>
      <c r="E90" s="434" t="str">
        <f>'lead 25-26'!K34</f>
        <v>Kanigiri</v>
      </c>
      <c r="F90" s="524"/>
      <c r="G90" s="524"/>
      <c r="H90" s="524"/>
      <c r="I90" s="526"/>
      <c r="J90" s="526"/>
    </row>
    <row r="91" spans="1:10" ht="12.75" customHeight="1">
      <c r="B91" s="523"/>
      <c r="C91" s="524"/>
      <c r="D91" s="525"/>
      <c r="E91" s="435"/>
      <c r="F91" s="524"/>
      <c r="G91" s="524"/>
      <c r="H91" s="524"/>
      <c r="I91" s="526"/>
      <c r="J91" s="526"/>
    </row>
    <row r="92" spans="1:10">
      <c r="B92" s="527"/>
      <c r="C92" s="528"/>
      <c r="D92" s="529"/>
      <c r="E92" s="528"/>
      <c r="F92" s="528"/>
      <c r="G92" s="528"/>
      <c r="H92" s="528"/>
      <c r="I92" s="528"/>
      <c r="J92" s="528"/>
    </row>
    <row r="93" spans="1:10">
      <c r="B93" s="527"/>
      <c r="C93" s="528"/>
      <c r="D93" s="529"/>
      <c r="E93" s="528"/>
      <c r="F93" s="528"/>
      <c r="G93" s="528"/>
      <c r="H93" s="528"/>
      <c r="I93" s="528"/>
      <c r="J93" s="528"/>
    </row>
    <row r="94" spans="1:10">
      <c r="B94" s="527"/>
      <c r="C94" s="528"/>
      <c r="D94" s="529"/>
      <c r="E94" s="528"/>
      <c r="F94" s="528"/>
      <c r="G94" s="528"/>
      <c r="H94" s="528"/>
      <c r="I94" s="528"/>
      <c r="J94" s="528"/>
    </row>
    <row r="95" spans="1:10">
      <c r="B95" s="527"/>
      <c r="C95" s="528"/>
      <c r="D95" s="529"/>
      <c r="E95" s="528"/>
      <c r="F95" s="528"/>
      <c r="G95" s="528"/>
      <c r="H95" s="528"/>
      <c r="I95" s="528"/>
      <c r="J95" s="528"/>
    </row>
    <row r="96" spans="1:10">
      <c r="B96" s="527"/>
      <c r="C96" s="528"/>
      <c r="D96" s="529"/>
      <c r="E96" s="528"/>
      <c r="F96" s="528"/>
      <c r="G96" s="528"/>
      <c r="H96" s="528"/>
      <c r="I96" s="528"/>
      <c r="J96" s="528"/>
    </row>
    <row r="97" spans="2:10">
      <c r="B97" s="527"/>
      <c r="C97" s="528"/>
      <c r="D97" s="529"/>
      <c r="E97" s="528"/>
      <c r="F97" s="528"/>
      <c r="G97" s="528"/>
      <c r="H97" s="528"/>
      <c r="I97" s="528"/>
      <c r="J97" s="528"/>
    </row>
    <row r="98" spans="2:10">
      <c r="B98" s="527"/>
      <c r="C98" s="528"/>
      <c r="D98" s="529"/>
      <c r="E98" s="528"/>
      <c r="F98" s="528"/>
      <c r="G98" s="528"/>
      <c r="H98" s="528"/>
      <c r="I98" s="528"/>
      <c r="J98" s="528"/>
    </row>
    <row r="99" spans="2:10">
      <c r="B99" s="527"/>
      <c r="C99" s="528"/>
      <c r="D99" s="529"/>
      <c r="E99" s="528"/>
      <c r="F99" s="528"/>
      <c r="G99" s="528"/>
      <c r="H99" s="528"/>
      <c r="I99" s="528"/>
      <c r="J99" s="528"/>
    </row>
    <row r="100" spans="2:10">
      <c r="B100" s="527"/>
      <c r="C100" s="528"/>
      <c r="D100" s="529"/>
      <c r="E100" s="528"/>
      <c r="F100" s="528"/>
      <c r="G100" s="528"/>
      <c r="H100" s="528"/>
      <c r="I100" s="528"/>
      <c r="J100" s="528"/>
    </row>
    <row r="101" spans="2:10">
      <c r="B101" s="527"/>
      <c r="C101" s="528"/>
      <c r="D101" s="529"/>
      <c r="E101" s="528"/>
      <c r="F101" s="528"/>
      <c r="G101" s="528"/>
      <c r="H101" s="528"/>
      <c r="I101" s="528"/>
      <c r="J101" s="528"/>
    </row>
    <row r="102" spans="2:10">
      <c r="B102" s="527"/>
      <c r="C102" s="528"/>
      <c r="D102" s="529"/>
      <c r="E102" s="528"/>
      <c r="F102" s="528"/>
      <c r="G102" s="528"/>
      <c r="H102" s="528"/>
      <c r="I102" s="528"/>
      <c r="J102" s="528"/>
    </row>
    <row r="103" spans="2:10">
      <c r="B103" s="527"/>
      <c r="C103" s="528"/>
      <c r="D103" s="529"/>
      <c r="E103" s="528"/>
      <c r="F103" s="528"/>
      <c r="G103" s="528"/>
      <c r="H103" s="528"/>
      <c r="I103" s="528"/>
      <c r="J103" s="528"/>
    </row>
    <row r="104" spans="2:10">
      <c r="B104" s="527"/>
      <c r="C104" s="528"/>
      <c r="D104" s="529"/>
      <c r="E104" s="528"/>
      <c r="F104" s="528"/>
      <c r="G104" s="528"/>
      <c r="H104" s="528"/>
      <c r="I104" s="528"/>
      <c r="J104" s="528"/>
    </row>
    <row r="105" spans="2:10">
      <c r="B105" s="527"/>
      <c r="C105" s="528"/>
      <c r="D105" s="529"/>
      <c r="E105" s="528"/>
      <c r="F105" s="528"/>
      <c r="G105" s="528"/>
      <c r="H105" s="528"/>
      <c r="I105" s="528"/>
      <c r="J105" s="528"/>
    </row>
    <row r="106" spans="2:10">
      <c r="B106" s="527"/>
      <c r="C106" s="528"/>
      <c r="D106" s="529"/>
      <c r="E106" s="528"/>
      <c r="F106" s="528"/>
      <c r="G106" s="528"/>
      <c r="H106" s="528"/>
      <c r="I106" s="528"/>
      <c r="J106" s="528"/>
    </row>
    <row r="107" spans="2:10">
      <c r="B107" s="527"/>
      <c r="C107" s="528"/>
      <c r="D107" s="529"/>
      <c r="E107" s="528"/>
      <c r="F107" s="528"/>
      <c r="G107" s="528"/>
      <c r="H107" s="528"/>
      <c r="I107" s="528"/>
      <c r="J107" s="528"/>
    </row>
    <row r="108" spans="2:10">
      <c r="B108" s="527"/>
      <c r="C108" s="528"/>
      <c r="D108" s="529"/>
      <c r="E108" s="528"/>
      <c r="F108" s="528"/>
      <c r="G108" s="528"/>
      <c r="H108" s="528"/>
      <c r="I108" s="528"/>
      <c r="J108" s="528"/>
    </row>
    <row r="109" spans="2:10">
      <c r="B109" s="527"/>
      <c r="C109" s="528"/>
      <c r="D109" s="529"/>
      <c r="E109" s="528"/>
      <c r="F109" s="528"/>
      <c r="G109" s="528"/>
      <c r="H109" s="528"/>
      <c r="I109" s="528"/>
      <c r="J109" s="528"/>
    </row>
    <row r="110" spans="2:10">
      <c r="B110" s="527"/>
      <c r="C110" s="528"/>
      <c r="D110" s="529"/>
      <c r="E110" s="528"/>
      <c r="F110" s="528"/>
      <c r="G110" s="528"/>
      <c r="H110" s="528"/>
      <c r="I110" s="528"/>
      <c r="J110" s="528"/>
    </row>
    <row r="111" spans="2:10">
      <c r="B111" s="527"/>
      <c r="C111" s="528"/>
      <c r="D111" s="529"/>
      <c r="E111" s="528"/>
      <c r="F111" s="528"/>
      <c r="G111" s="528"/>
      <c r="H111" s="528"/>
      <c r="I111" s="528"/>
      <c r="J111" s="528"/>
    </row>
    <row r="112" spans="2:10">
      <c r="B112" s="527"/>
      <c r="C112" s="528"/>
      <c r="D112" s="529"/>
      <c r="E112" s="528"/>
      <c r="F112" s="528"/>
      <c r="G112" s="528"/>
      <c r="H112" s="528"/>
      <c r="I112" s="528"/>
      <c r="J112" s="528"/>
    </row>
    <row r="113" spans="2:10">
      <c r="B113" s="527"/>
      <c r="C113" s="528"/>
      <c r="D113" s="529"/>
      <c r="E113" s="528"/>
      <c r="F113" s="528"/>
      <c r="G113" s="528"/>
      <c r="H113" s="528"/>
      <c r="I113" s="528"/>
      <c r="J113" s="528"/>
    </row>
    <row r="114" spans="2:10">
      <c r="B114" s="527"/>
      <c r="C114" s="528"/>
      <c r="D114" s="529"/>
      <c r="E114" s="528"/>
      <c r="F114" s="528"/>
      <c r="G114" s="528"/>
      <c r="H114" s="528"/>
      <c r="I114" s="528"/>
      <c r="J114" s="528"/>
    </row>
    <row r="115" spans="2:10">
      <c r="B115" s="527"/>
      <c r="C115" s="528"/>
      <c r="D115" s="529"/>
      <c r="E115" s="528"/>
      <c r="F115" s="528"/>
      <c r="G115" s="528"/>
      <c r="H115" s="528"/>
      <c r="I115" s="528"/>
      <c r="J115" s="528"/>
    </row>
    <row r="116" spans="2:10">
      <c r="B116" s="527"/>
      <c r="C116" s="528"/>
      <c r="D116" s="529"/>
      <c r="E116" s="528"/>
      <c r="F116" s="528"/>
      <c r="G116" s="528"/>
      <c r="H116" s="528"/>
      <c r="I116" s="528"/>
      <c r="J116" s="528"/>
    </row>
    <row r="117" spans="2:10">
      <c r="B117" s="527"/>
      <c r="C117" s="528"/>
      <c r="D117" s="529"/>
      <c r="E117" s="528"/>
      <c r="F117" s="528"/>
      <c r="G117" s="528"/>
      <c r="H117" s="528"/>
      <c r="I117" s="528"/>
      <c r="J117" s="528"/>
    </row>
    <row r="118" spans="2:10">
      <c r="B118" s="527"/>
      <c r="C118" s="528"/>
      <c r="D118" s="529"/>
      <c r="E118" s="528"/>
      <c r="F118" s="528"/>
      <c r="G118" s="528"/>
      <c r="H118" s="528"/>
      <c r="I118" s="528"/>
      <c r="J118" s="528"/>
    </row>
    <row r="119" spans="2:10">
      <c r="B119" s="527"/>
      <c r="C119" s="528"/>
      <c r="D119" s="529"/>
      <c r="E119" s="528"/>
      <c r="F119" s="528"/>
      <c r="G119" s="528"/>
      <c r="H119" s="528"/>
      <c r="I119" s="528"/>
      <c r="J119" s="528"/>
    </row>
    <row r="120" spans="2:10">
      <c r="B120" s="527"/>
      <c r="C120" s="528"/>
      <c r="D120" s="529"/>
      <c r="E120" s="528"/>
      <c r="F120" s="528"/>
      <c r="G120" s="528"/>
      <c r="H120" s="528"/>
      <c r="I120" s="528"/>
      <c r="J120" s="528"/>
    </row>
    <row r="121" spans="2:10">
      <c r="B121" s="527"/>
      <c r="C121" s="528"/>
      <c r="D121" s="529"/>
      <c r="E121" s="528"/>
      <c r="F121" s="528"/>
      <c r="G121" s="528"/>
      <c r="H121" s="528"/>
      <c r="I121" s="528"/>
      <c r="J121" s="528"/>
    </row>
    <row r="122" spans="2:10">
      <c r="B122" s="527"/>
      <c r="C122" s="528"/>
      <c r="D122" s="529"/>
      <c r="E122" s="528"/>
      <c r="F122" s="528"/>
      <c r="G122" s="528"/>
      <c r="H122" s="528"/>
      <c r="I122" s="528"/>
      <c r="J122" s="528"/>
    </row>
    <row r="123" spans="2:10">
      <c r="B123" s="527"/>
      <c r="C123" s="528"/>
      <c r="D123" s="529"/>
      <c r="E123" s="528"/>
      <c r="F123" s="528"/>
      <c r="G123" s="528"/>
      <c r="H123" s="528"/>
      <c r="I123" s="528"/>
      <c r="J123" s="528"/>
    </row>
    <row r="124" spans="2:10">
      <c r="B124" s="527"/>
      <c r="C124" s="528"/>
      <c r="D124" s="529"/>
      <c r="E124" s="528"/>
      <c r="F124" s="528"/>
      <c r="G124" s="528"/>
      <c r="H124" s="528"/>
      <c r="I124" s="528"/>
      <c r="J124" s="528"/>
    </row>
    <row r="125" spans="2:10">
      <c r="B125" s="527"/>
      <c r="C125" s="528"/>
      <c r="D125" s="529"/>
      <c r="E125" s="528"/>
      <c r="F125" s="528"/>
      <c r="G125" s="528"/>
      <c r="H125" s="528"/>
      <c r="I125" s="528"/>
      <c r="J125" s="528"/>
    </row>
    <row r="126" spans="2:10">
      <c r="B126" s="527"/>
      <c r="C126" s="528"/>
      <c r="D126" s="529"/>
      <c r="E126" s="528"/>
      <c r="F126" s="528"/>
      <c r="G126" s="528"/>
      <c r="H126" s="528"/>
      <c r="I126" s="528"/>
      <c r="J126" s="528"/>
    </row>
    <row r="127" spans="2:10">
      <c r="B127" s="527"/>
      <c r="C127" s="528"/>
      <c r="D127" s="529"/>
      <c r="E127" s="528"/>
      <c r="F127" s="528"/>
      <c r="G127" s="528"/>
      <c r="H127" s="528"/>
      <c r="I127" s="528"/>
      <c r="J127" s="528"/>
    </row>
    <row r="128" spans="2:10">
      <c r="B128" s="527"/>
      <c r="C128" s="528"/>
      <c r="D128" s="529"/>
      <c r="E128" s="528"/>
      <c r="F128" s="528"/>
      <c r="G128" s="528"/>
      <c r="H128" s="528"/>
      <c r="I128" s="528"/>
      <c r="J128" s="528"/>
    </row>
    <row r="129" spans="2:10">
      <c r="B129" s="527"/>
      <c r="C129" s="528"/>
      <c r="D129" s="529"/>
      <c r="E129" s="528"/>
      <c r="F129" s="528"/>
      <c r="G129" s="528"/>
      <c r="H129" s="528"/>
      <c r="I129" s="528"/>
      <c r="J129" s="528"/>
    </row>
    <row r="130" spans="2:10">
      <c r="B130" s="527"/>
      <c r="C130" s="528"/>
      <c r="D130" s="529"/>
      <c r="E130" s="528"/>
      <c r="F130" s="528"/>
      <c r="G130" s="528"/>
      <c r="H130" s="528"/>
      <c r="I130" s="528"/>
      <c r="J130" s="528"/>
    </row>
    <row r="131" spans="2:10">
      <c r="B131" s="527"/>
      <c r="C131" s="528"/>
      <c r="D131" s="529"/>
      <c r="E131" s="528"/>
      <c r="F131" s="528"/>
      <c r="G131" s="528"/>
      <c r="H131" s="528"/>
      <c r="I131" s="528"/>
      <c r="J131" s="528"/>
    </row>
    <row r="132" spans="2:10">
      <c r="B132" s="527"/>
      <c r="C132" s="528"/>
      <c r="D132" s="529"/>
      <c r="E132" s="528"/>
      <c r="F132" s="528"/>
      <c r="G132" s="528"/>
      <c r="H132" s="528"/>
      <c r="I132" s="528"/>
      <c r="J132" s="528"/>
    </row>
    <row r="133" spans="2:10">
      <c r="B133" s="527"/>
      <c r="C133" s="528"/>
      <c r="D133" s="529"/>
      <c r="E133" s="528"/>
      <c r="F133" s="528"/>
      <c r="G133" s="528"/>
      <c r="H133" s="528"/>
      <c r="I133" s="528"/>
      <c r="J133" s="528"/>
    </row>
    <row r="134" spans="2:10">
      <c r="B134" s="527"/>
      <c r="C134" s="528"/>
      <c r="D134" s="529"/>
      <c r="E134" s="528"/>
      <c r="F134" s="528"/>
      <c r="G134" s="528"/>
      <c r="H134" s="528"/>
      <c r="I134" s="528"/>
      <c r="J134" s="528"/>
    </row>
    <row r="135" spans="2:10">
      <c r="B135" s="527"/>
      <c r="C135" s="528"/>
      <c r="D135" s="529"/>
      <c r="E135" s="528"/>
      <c r="F135" s="528"/>
      <c r="G135" s="528"/>
      <c r="H135" s="528"/>
      <c r="I135" s="528"/>
      <c r="J135" s="528"/>
    </row>
    <row r="136" spans="2:10">
      <c r="B136" s="527"/>
      <c r="C136" s="528"/>
      <c r="D136" s="529"/>
      <c r="E136" s="528"/>
      <c r="F136" s="528"/>
      <c r="G136" s="528"/>
      <c r="H136" s="528"/>
      <c r="I136" s="528"/>
      <c r="J136" s="528"/>
    </row>
    <row r="137" spans="2:10">
      <c r="B137" s="527"/>
      <c r="C137" s="528"/>
      <c r="D137" s="529"/>
      <c r="E137" s="528"/>
      <c r="F137" s="528"/>
      <c r="G137" s="528"/>
      <c r="H137" s="528"/>
      <c r="I137" s="528"/>
      <c r="J137" s="528"/>
    </row>
    <row r="138" spans="2:10">
      <c r="B138" s="527"/>
      <c r="C138" s="528"/>
      <c r="D138" s="529"/>
      <c r="E138" s="528"/>
      <c r="F138" s="528"/>
      <c r="G138" s="528"/>
      <c r="H138" s="528"/>
      <c r="I138" s="528"/>
      <c r="J138" s="528"/>
    </row>
    <row r="139" spans="2:10">
      <c r="B139" s="527"/>
      <c r="C139" s="528"/>
      <c r="D139" s="529"/>
      <c r="E139" s="528"/>
      <c r="F139" s="528"/>
      <c r="G139" s="528"/>
      <c r="H139" s="528"/>
      <c r="I139" s="528"/>
      <c r="J139" s="528"/>
    </row>
    <row r="140" spans="2:10">
      <c r="B140" s="527"/>
      <c r="C140" s="528"/>
      <c r="D140" s="529"/>
      <c r="E140" s="528"/>
      <c r="F140" s="528"/>
      <c r="G140" s="528"/>
      <c r="H140" s="528"/>
      <c r="I140" s="528"/>
      <c r="J140" s="528"/>
    </row>
    <row r="141" spans="2:10">
      <c r="B141" s="527"/>
      <c r="C141" s="528"/>
      <c r="D141" s="529"/>
      <c r="E141" s="528"/>
      <c r="F141" s="528"/>
      <c r="G141" s="528"/>
      <c r="H141" s="528"/>
      <c r="I141" s="528"/>
      <c r="J141" s="528"/>
    </row>
    <row r="142" spans="2:10">
      <c r="B142" s="527"/>
      <c r="C142" s="528"/>
      <c r="D142" s="529"/>
      <c r="E142" s="528"/>
      <c r="F142" s="528"/>
      <c r="G142" s="528"/>
      <c r="H142" s="528"/>
      <c r="I142" s="528"/>
      <c r="J142" s="528"/>
    </row>
    <row r="143" spans="2:10">
      <c r="B143" s="527"/>
      <c r="C143" s="528"/>
      <c r="D143" s="529"/>
      <c r="E143" s="528"/>
      <c r="F143" s="528"/>
      <c r="G143" s="528"/>
      <c r="H143" s="528"/>
      <c r="I143" s="528"/>
      <c r="J143" s="528"/>
    </row>
    <row r="144" spans="2:10">
      <c r="B144" s="527"/>
      <c r="C144" s="528"/>
      <c r="D144" s="529"/>
      <c r="E144" s="528"/>
      <c r="F144" s="528"/>
      <c r="G144" s="528"/>
      <c r="H144" s="528"/>
      <c r="I144" s="528"/>
      <c r="J144" s="528"/>
    </row>
    <row r="145" spans="2:10">
      <c r="B145" s="527"/>
      <c r="C145" s="528"/>
      <c r="D145" s="529"/>
      <c r="E145" s="528"/>
      <c r="F145" s="528"/>
      <c r="G145" s="528"/>
      <c r="H145" s="528"/>
      <c r="I145" s="528"/>
      <c r="J145" s="528"/>
    </row>
    <row r="146" spans="2:10">
      <c r="B146" s="527"/>
      <c r="C146" s="528"/>
      <c r="D146" s="529"/>
      <c r="E146" s="528"/>
      <c r="F146" s="528"/>
      <c r="G146" s="528"/>
      <c r="H146" s="528"/>
      <c r="I146" s="528"/>
      <c r="J146" s="528"/>
    </row>
    <row r="147" spans="2:10">
      <c r="B147" s="527"/>
      <c r="C147" s="528"/>
      <c r="D147" s="529"/>
      <c r="E147" s="528"/>
      <c r="F147" s="528"/>
      <c r="G147" s="528"/>
      <c r="H147" s="528"/>
      <c r="I147" s="528"/>
      <c r="J147" s="528"/>
    </row>
    <row r="148" spans="2:10">
      <c r="B148" s="527"/>
      <c r="C148" s="528"/>
      <c r="D148" s="529"/>
      <c r="E148" s="528"/>
      <c r="F148" s="528"/>
      <c r="G148" s="528"/>
      <c r="H148" s="528"/>
      <c r="I148" s="528"/>
      <c r="J148" s="528"/>
    </row>
    <row r="149" spans="2:10">
      <c r="B149" s="527"/>
      <c r="C149" s="528"/>
      <c r="D149" s="529"/>
      <c r="E149" s="528"/>
      <c r="F149" s="528"/>
      <c r="G149" s="528"/>
      <c r="H149" s="528"/>
      <c r="I149" s="528"/>
      <c r="J149" s="528"/>
    </row>
    <row r="150" spans="2:10">
      <c r="B150" s="527"/>
      <c r="C150" s="528"/>
      <c r="D150" s="529"/>
      <c r="E150" s="528"/>
      <c r="F150" s="528"/>
      <c r="G150" s="528"/>
      <c r="H150" s="528"/>
      <c r="I150" s="528"/>
      <c r="J150" s="528"/>
    </row>
    <row r="151" spans="2:10">
      <c r="B151" s="527"/>
      <c r="C151" s="528"/>
      <c r="D151" s="529"/>
      <c r="E151" s="528"/>
      <c r="F151" s="528"/>
      <c r="G151" s="528"/>
      <c r="H151" s="528"/>
      <c r="I151" s="528"/>
      <c r="J151" s="528"/>
    </row>
    <row r="152" spans="2:10">
      <c r="B152" s="527"/>
      <c r="C152" s="528"/>
      <c r="D152" s="529"/>
      <c r="E152" s="528"/>
      <c r="F152" s="528"/>
      <c r="G152" s="528"/>
      <c r="H152" s="528"/>
      <c r="I152" s="528"/>
      <c r="J152" s="528"/>
    </row>
    <row r="153" spans="2:10">
      <c r="B153" s="527"/>
      <c r="C153" s="528"/>
      <c r="D153" s="529"/>
      <c r="E153" s="528"/>
      <c r="F153" s="528"/>
      <c r="G153" s="528"/>
      <c r="H153" s="528"/>
      <c r="I153" s="528"/>
      <c r="J153" s="528"/>
    </row>
    <row r="154" spans="2:10">
      <c r="B154" s="527"/>
      <c r="C154" s="528"/>
      <c r="D154" s="529"/>
      <c r="E154" s="528"/>
      <c r="F154" s="528"/>
      <c r="G154" s="528"/>
      <c r="H154" s="528"/>
      <c r="I154" s="528"/>
      <c r="J154" s="528"/>
    </row>
    <row r="155" spans="2:10">
      <c r="B155" s="527"/>
      <c r="C155" s="528"/>
      <c r="D155" s="529"/>
      <c r="E155" s="528"/>
      <c r="F155" s="528"/>
      <c r="G155" s="528"/>
      <c r="H155" s="528"/>
      <c r="I155" s="528"/>
      <c r="J155" s="528"/>
    </row>
    <row r="156" spans="2:10">
      <c r="B156" s="527"/>
      <c r="C156" s="528"/>
      <c r="D156" s="529"/>
      <c r="E156" s="528"/>
      <c r="F156" s="528"/>
      <c r="G156" s="528"/>
      <c r="H156" s="528"/>
      <c r="I156" s="528"/>
      <c r="J156" s="528"/>
    </row>
    <row r="157" spans="2:10">
      <c r="B157" s="527"/>
      <c r="C157" s="528"/>
      <c r="D157" s="529"/>
      <c r="E157" s="528"/>
      <c r="F157" s="528"/>
      <c r="G157" s="528"/>
      <c r="H157" s="528"/>
      <c r="I157" s="528"/>
      <c r="J157" s="528"/>
    </row>
    <row r="158" spans="2:10">
      <c r="B158" s="527"/>
      <c r="C158" s="528"/>
      <c r="D158" s="529"/>
      <c r="E158" s="528"/>
      <c r="F158" s="528"/>
      <c r="G158" s="528"/>
      <c r="H158" s="528"/>
      <c r="I158" s="528"/>
      <c r="J158" s="528"/>
    </row>
    <row r="159" spans="2:10">
      <c r="B159" s="527"/>
      <c r="C159" s="528"/>
      <c r="D159" s="529"/>
      <c r="E159" s="528"/>
      <c r="F159" s="528"/>
      <c r="G159" s="528"/>
      <c r="H159" s="528"/>
      <c r="I159" s="528"/>
      <c r="J159" s="528"/>
    </row>
    <row r="160" spans="2:10">
      <c r="B160" s="527"/>
      <c r="C160" s="528"/>
      <c r="D160" s="529"/>
      <c r="E160" s="528"/>
      <c r="F160" s="528"/>
      <c r="G160" s="528"/>
      <c r="H160" s="528"/>
      <c r="I160" s="528"/>
      <c r="J160" s="528"/>
    </row>
    <row r="161" spans="2:10">
      <c r="B161" s="527"/>
      <c r="C161" s="528"/>
      <c r="D161" s="529"/>
      <c r="E161" s="528"/>
      <c r="F161" s="528"/>
      <c r="G161" s="528"/>
      <c r="H161" s="528"/>
      <c r="I161" s="528"/>
      <c r="J161" s="528"/>
    </row>
    <row r="162" spans="2:10">
      <c r="B162" s="527"/>
      <c r="C162" s="528"/>
      <c r="D162" s="529"/>
      <c r="E162" s="528"/>
      <c r="F162" s="528"/>
      <c r="G162" s="528"/>
      <c r="H162" s="528"/>
      <c r="I162" s="528"/>
      <c r="J162" s="528"/>
    </row>
    <row r="163" spans="2:10">
      <c r="B163" s="527"/>
      <c r="C163" s="528"/>
      <c r="D163" s="529"/>
      <c r="E163" s="528"/>
      <c r="F163" s="528"/>
      <c r="G163" s="528"/>
      <c r="H163" s="528"/>
      <c r="I163" s="528"/>
      <c r="J163" s="528"/>
    </row>
    <row r="164" spans="2:10">
      <c r="B164" s="527"/>
      <c r="C164" s="528"/>
      <c r="D164" s="529"/>
      <c r="E164" s="528"/>
      <c r="F164" s="528"/>
      <c r="G164" s="528"/>
      <c r="H164" s="528"/>
      <c r="I164" s="528"/>
      <c r="J164" s="528"/>
    </row>
    <row r="165" spans="2:10">
      <c r="B165" s="527"/>
      <c r="C165" s="528"/>
      <c r="D165" s="529"/>
      <c r="E165" s="528"/>
      <c r="F165" s="528"/>
      <c r="G165" s="528"/>
      <c r="H165" s="528"/>
      <c r="I165" s="528"/>
      <c r="J165" s="528"/>
    </row>
    <row r="166" spans="2:10">
      <c r="B166" s="527"/>
      <c r="C166" s="528"/>
      <c r="D166" s="529"/>
      <c r="E166" s="528"/>
      <c r="F166" s="528"/>
      <c r="G166" s="528"/>
      <c r="H166" s="528"/>
      <c r="I166" s="528"/>
      <c r="J166" s="528"/>
    </row>
    <row r="167" spans="2:10">
      <c r="B167" s="527"/>
      <c r="C167" s="528"/>
      <c r="D167" s="529"/>
      <c r="E167" s="528"/>
      <c r="F167" s="528"/>
      <c r="G167" s="528"/>
      <c r="H167" s="528"/>
      <c r="I167" s="528"/>
      <c r="J167" s="528"/>
    </row>
    <row r="168" spans="2:10">
      <c r="B168" s="527"/>
      <c r="C168" s="528"/>
      <c r="D168" s="529"/>
      <c r="E168" s="528"/>
      <c r="F168" s="528"/>
      <c r="G168" s="528"/>
      <c r="H168" s="528"/>
      <c r="I168" s="528"/>
      <c r="J168" s="528"/>
    </row>
    <row r="169" spans="2:10">
      <c r="B169" s="527"/>
      <c r="C169" s="528"/>
      <c r="D169" s="529"/>
      <c r="E169" s="528"/>
      <c r="F169" s="528"/>
      <c r="G169" s="528"/>
      <c r="H169" s="528"/>
      <c r="I169" s="528"/>
      <c r="J169" s="528"/>
    </row>
    <row r="170" spans="2:10">
      <c r="B170" s="527"/>
      <c r="C170" s="528"/>
      <c r="D170" s="529"/>
      <c r="E170" s="528"/>
      <c r="F170" s="528"/>
      <c r="G170" s="528"/>
      <c r="H170" s="528"/>
      <c r="I170" s="528"/>
      <c r="J170" s="528"/>
    </row>
    <row r="171" spans="2:10">
      <c r="B171" s="527"/>
      <c r="C171" s="528"/>
      <c r="D171" s="529"/>
      <c r="E171" s="528"/>
      <c r="F171" s="528"/>
      <c r="G171" s="528"/>
      <c r="H171" s="528"/>
      <c r="I171" s="528"/>
      <c r="J171" s="528"/>
    </row>
    <row r="172" spans="2:10">
      <c r="B172" s="527"/>
      <c r="C172" s="528"/>
      <c r="D172" s="529"/>
      <c r="E172" s="528"/>
      <c r="F172" s="528"/>
      <c r="G172" s="528"/>
      <c r="H172" s="528"/>
      <c r="I172" s="528"/>
      <c r="J172" s="528"/>
    </row>
    <row r="173" spans="2:10">
      <c r="B173" s="527"/>
      <c r="C173" s="528"/>
      <c r="D173" s="529"/>
      <c r="E173" s="528"/>
      <c r="F173" s="528"/>
      <c r="G173" s="528"/>
      <c r="H173" s="528"/>
      <c r="I173" s="528"/>
      <c r="J173" s="528"/>
    </row>
    <row r="174" spans="2:10">
      <c r="B174" s="527"/>
      <c r="C174" s="528"/>
      <c r="D174" s="529"/>
      <c r="E174" s="528"/>
      <c r="F174" s="528"/>
      <c r="G174" s="528"/>
      <c r="H174" s="528"/>
      <c r="I174" s="528"/>
      <c r="J174" s="528"/>
    </row>
    <row r="175" spans="2:10">
      <c r="B175" s="527"/>
      <c r="C175" s="528"/>
      <c r="D175" s="529"/>
      <c r="E175" s="528"/>
      <c r="F175" s="528"/>
      <c r="G175" s="528"/>
      <c r="H175" s="528"/>
      <c r="I175" s="528"/>
      <c r="J175" s="528"/>
    </row>
    <row r="176" spans="2:10">
      <c r="B176" s="527"/>
      <c r="C176" s="528"/>
      <c r="D176" s="529"/>
      <c r="E176" s="528"/>
      <c r="F176" s="528"/>
      <c r="G176" s="528"/>
      <c r="H176" s="528"/>
      <c r="I176" s="528"/>
      <c r="J176" s="528"/>
    </row>
    <row r="177" spans="2:10">
      <c r="B177" s="527"/>
      <c r="C177" s="528"/>
      <c r="D177" s="529"/>
      <c r="E177" s="528"/>
      <c r="F177" s="528"/>
      <c r="G177" s="528"/>
      <c r="H177" s="528"/>
      <c r="I177" s="528"/>
      <c r="J177" s="528"/>
    </row>
    <row r="178" spans="2:10">
      <c r="B178" s="527"/>
      <c r="C178" s="528"/>
      <c r="D178" s="529"/>
      <c r="E178" s="528"/>
      <c r="F178" s="528"/>
      <c r="G178" s="528"/>
      <c r="H178" s="528"/>
      <c r="I178" s="528"/>
      <c r="J178" s="528"/>
    </row>
    <row r="179" spans="2:10">
      <c r="B179" s="527"/>
      <c r="C179" s="528"/>
      <c r="D179" s="529"/>
      <c r="E179" s="528"/>
      <c r="F179" s="528"/>
      <c r="G179" s="528"/>
      <c r="H179" s="528"/>
      <c r="I179" s="528"/>
      <c r="J179" s="528"/>
    </row>
    <row r="180" spans="2:10">
      <c r="B180" s="527"/>
      <c r="C180" s="528"/>
      <c r="D180" s="529"/>
      <c r="E180" s="528"/>
      <c r="F180" s="528"/>
      <c r="G180" s="528"/>
      <c r="H180" s="528"/>
      <c r="I180" s="528"/>
      <c r="J180" s="528"/>
    </row>
    <row r="181" spans="2:10">
      <c r="B181" s="527"/>
      <c r="C181" s="528"/>
      <c r="D181" s="529"/>
      <c r="E181" s="528"/>
      <c r="F181" s="528"/>
      <c r="G181" s="528"/>
      <c r="H181" s="528"/>
      <c r="I181" s="528"/>
      <c r="J181" s="528"/>
    </row>
    <row r="182" spans="2:10">
      <c r="B182" s="527"/>
      <c r="C182" s="528"/>
      <c r="D182" s="529"/>
      <c r="E182" s="528"/>
      <c r="F182" s="528"/>
      <c r="G182" s="528"/>
      <c r="H182" s="528"/>
      <c r="I182" s="528"/>
      <c r="J182" s="528"/>
    </row>
    <row r="183" spans="2:10">
      <c r="B183" s="527"/>
      <c r="C183" s="528"/>
      <c r="D183" s="529"/>
      <c r="E183" s="528"/>
      <c r="F183" s="528"/>
      <c r="G183" s="528"/>
      <c r="H183" s="528"/>
      <c r="I183" s="528"/>
      <c r="J183" s="528"/>
    </row>
    <row r="184" spans="2:10">
      <c r="B184" s="527"/>
      <c r="C184" s="528"/>
      <c r="D184" s="529"/>
      <c r="E184" s="528"/>
      <c r="F184" s="528"/>
      <c r="G184" s="528"/>
      <c r="H184" s="528"/>
      <c r="I184" s="528"/>
      <c r="J184" s="528"/>
    </row>
    <row r="185" spans="2:10">
      <c r="B185" s="527"/>
      <c r="C185" s="528"/>
      <c r="D185" s="529"/>
      <c r="E185" s="528"/>
      <c r="F185" s="528"/>
      <c r="G185" s="528"/>
      <c r="H185" s="528"/>
      <c r="I185" s="528"/>
      <c r="J185" s="528"/>
    </row>
    <row r="186" spans="2:10">
      <c r="B186" s="527"/>
      <c r="C186" s="528"/>
      <c r="D186" s="529"/>
      <c r="E186" s="528"/>
      <c r="F186" s="528"/>
      <c r="G186" s="528"/>
      <c r="H186" s="528"/>
      <c r="I186" s="528"/>
      <c r="J186" s="528"/>
    </row>
    <row r="187" spans="2:10">
      <c r="B187" s="527"/>
      <c r="C187" s="528"/>
      <c r="D187" s="529"/>
      <c r="E187" s="528"/>
      <c r="F187" s="528"/>
      <c r="G187" s="528"/>
      <c r="H187" s="528"/>
      <c r="I187" s="528"/>
      <c r="J187" s="528"/>
    </row>
    <row r="188" spans="2:10">
      <c r="B188" s="527"/>
      <c r="C188" s="528"/>
      <c r="D188" s="529"/>
      <c r="E188" s="528"/>
      <c r="F188" s="528"/>
      <c r="G188" s="528"/>
      <c r="H188" s="528"/>
      <c r="I188" s="528"/>
      <c r="J188" s="528"/>
    </row>
    <row r="189" spans="2:10">
      <c r="B189" s="527"/>
      <c r="C189" s="528"/>
      <c r="D189" s="529"/>
      <c r="E189" s="528"/>
      <c r="F189" s="528"/>
      <c r="G189" s="528"/>
      <c r="H189" s="528"/>
      <c r="I189" s="528"/>
      <c r="J189" s="528"/>
    </row>
    <row r="190" spans="2:10">
      <c r="B190" s="527"/>
      <c r="C190" s="528"/>
      <c r="D190" s="529"/>
      <c r="E190" s="528"/>
      <c r="F190" s="528"/>
      <c r="G190" s="528"/>
      <c r="H190" s="528"/>
      <c r="I190" s="528"/>
      <c r="J190" s="528"/>
    </row>
    <row r="191" spans="2:10">
      <c r="B191" s="527"/>
      <c r="C191" s="528"/>
      <c r="D191" s="529"/>
      <c r="E191" s="528"/>
      <c r="F191" s="528"/>
      <c r="G191" s="528"/>
      <c r="H191" s="528"/>
      <c r="I191" s="528"/>
      <c r="J191" s="528"/>
    </row>
    <row r="192" spans="2:10">
      <c r="B192" s="527"/>
      <c r="C192" s="528"/>
      <c r="D192" s="529"/>
      <c r="E192" s="528"/>
      <c r="F192" s="528"/>
      <c r="G192" s="528"/>
      <c r="H192" s="528"/>
      <c r="I192" s="528"/>
      <c r="J192" s="528"/>
    </row>
    <row r="193" spans="2:10">
      <c r="B193" s="527"/>
      <c r="C193" s="528"/>
      <c r="D193" s="529"/>
      <c r="E193" s="528"/>
      <c r="F193" s="528"/>
      <c r="G193" s="528"/>
      <c r="H193" s="528"/>
      <c r="I193" s="528"/>
      <c r="J193" s="528"/>
    </row>
    <row r="194" spans="2:10">
      <c r="B194" s="527"/>
      <c r="C194" s="528"/>
      <c r="D194" s="529"/>
      <c r="E194" s="528"/>
      <c r="F194" s="528"/>
      <c r="G194" s="528"/>
      <c r="H194" s="528"/>
      <c r="I194" s="528"/>
      <c r="J194" s="528"/>
    </row>
    <row r="195" spans="2:10">
      <c r="B195" s="527"/>
      <c r="C195" s="528"/>
      <c r="D195" s="529"/>
      <c r="E195" s="528"/>
      <c r="F195" s="528"/>
      <c r="G195" s="528"/>
      <c r="H195" s="528"/>
      <c r="I195" s="528"/>
      <c r="J195" s="528"/>
    </row>
    <row r="196" spans="2:10">
      <c r="B196" s="527"/>
      <c r="C196" s="528"/>
      <c r="D196" s="529"/>
      <c r="E196" s="528"/>
      <c r="F196" s="528"/>
      <c r="G196" s="528"/>
      <c r="H196" s="528"/>
      <c r="I196" s="528"/>
      <c r="J196" s="528"/>
    </row>
    <row r="197" spans="2:10">
      <c r="B197" s="527"/>
      <c r="C197" s="528"/>
      <c r="D197" s="529"/>
      <c r="E197" s="528"/>
      <c r="F197" s="528"/>
      <c r="G197" s="528"/>
      <c r="H197" s="528"/>
      <c r="I197" s="528"/>
      <c r="J197" s="528"/>
    </row>
    <row r="198" spans="2:10">
      <c r="B198" s="527"/>
      <c r="C198" s="528"/>
      <c r="D198" s="529"/>
      <c r="E198" s="528"/>
      <c r="F198" s="528"/>
      <c r="G198" s="528"/>
      <c r="H198" s="528"/>
      <c r="I198" s="528"/>
      <c r="J198" s="528"/>
    </row>
    <row r="199" spans="2:10">
      <c r="B199" s="527"/>
      <c r="C199" s="528"/>
      <c r="D199" s="529"/>
      <c r="E199" s="528"/>
      <c r="F199" s="528"/>
      <c r="G199" s="528"/>
      <c r="H199" s="528"/>
      <c r="I199" s="528"/>
      <c r="J199" s="528"/>
    </row>
    <row r="200" spans="2:10">
      <c r="B200" s="527"/>
      <c r="C200" s="528"/>
      <c r="D200" s="529"/>
      <c r="E200" s="528"/>
      <c r="F200" s="528"/>
      <c r="G200" s="528"/>
      <c r="H200" s="528"/>
      <c r="I200" s="528"/>
      <c r="J200" s="528"/>
    </row>
    <row r="201" spans="2:10">
      <c r="B201" s="527"/>
      <c r="C201" s="528"/>
      <c r="D201" s="529"/>
      <c r="E201" s="528"/>
      <c r="F201" s="528"/>
      <c r="G201" s="528"/>
      <c r="H201" s="528"/>
      <c r="I201" s="528"/>
      <c r="J201" s="528"/>
    </row>
    <row r="202" spans="2:10">
      <c r="B202" s="527"/>
      <c r="C202" s="528"/>
      <c r="D202" s="529"/>
      <c r="E202" s="528"/>
      <c r="F202" s="528"/>
      <c r="G202" s="528"/>
      <c r="H202" s="528"/>
      <c r="I202" s="528"/>
      <c r="J202" s="528"/>
    </row>
    <row r="203" spans="2:10">
      <c r="B203" s="527"/>
      <c r="C203" s="528"/>
      <c r="D203" s="529"/>
      <c r="E203" s="528"/>
      <c r="F203" s="528"/>
      <c r="G203" s="528"/>
      <c r="H203" s="528"/>
      <c r="I203" s="528"/>
      <c r="J203" s="528"/>
    </row>
    <row r="204" spans="2:10">
      <c r="B204" s="527"/>
      <c r="C204" s="528"/>
      <c r="D204" s="529"/>
      <c r="E204" s="528"/>
      <c r="F204" s="528"/>
      <c r="G204" s="528"/>
      <c r="H204" s="528"/>
      <c r="I204" s="528"/>
      <c r="J204" s="528"/>
    </row>
    <row r="205" spans="2:10">
      <c r="B205" s="527"/>
      <c r="C205" s="528"/>
      <c r="D205" s="529"/>
      <c r="E205" s="528"/>
      <c r="F205" s="528"/>
      <c r="G205" s="528"/>
      <c r="H205" s="528"/>
      <c r="I205" s="528"/>
      <c r="J205" s="528"/>
    </row>
    <row r="206" spans="2:10">
      <c r="B206" s="527"/>
      <c r="C206" s="528"/>
      <c r="D206" s="529"/>
      <c r="E206" s="528"/>
      <c r="F206" s="528"/>
      <c r="G206" s="528"/>
      <c r="H206" s="528"/>
      <c r="I206" s="528"/>
      <c r="J206" s="528"/>
    </row>
    <row r="207" spans="2:10">
      <c r="B207" s="527"/>
      <c r="C207" s="528"/>
      <c r="D207" s="529"/>
      <c r="E207" s="528"/>
      <c r="F207" s="528"/>
      <c r="G207" s="528"/>
      <c r="H207" s="528"/>
      <c r="I207" s="528"/>
      <c r="J207" s="528"/>
    </row>
    <row r="208" spans="2:10">
      <c r="B208" s="527"/>
      <c r="C208" s="528"/>
      <c r="D208" s="529"/>
      <c r="E208" s="528"/>
      <c r="F208" s="528"/>
      <c r="G208" s="528"/>
      <c r="H208" s="528"/>
      <c r="I208" s="528"/>
      <c r="J208" s="528"/>
    </row>
    <row r="209" spans="2:10">
      <c r="B209" s="527"/>
      <c r="C209" s="528"/>
      <c r="D209" s="529"/>
      <c r="E209" s="528"/>
      <c r="F209" s="528"/>
      <c r="G209" s="528"/>
      <c r="H209" s="528"/>
      <c r="I209" s="528"/>
      <c r="J209" s="528"/>
    </row>
    <row r="210" spans="2:10">
      <c r="B210" s="527"/>
      <c r="C210" s="528"/>
      <c r="D210" s="529"/>
      <c r="E210" s="528"/>
      <c r="F210" s="528"/>
      <c r="G210" s="528"/>
      <c r="H210" s="528"/>
      <c r="I210" s="528"/>
      <c r="J210" s="528"/>
    </row>
    <row r="211" spans="2:10">
      <c r="B211" s="527"/>
      <c r="C211" s="528"/>
      <c r="D211" s="529"/>
      <c r="E211" s="528"/>
      <c r="F211" s="528"/>
      <c r="G211" s="528"/>
      <c r="H211" s="528"/>
      <c r="I211" s="528"/>
      <c r="J211" s="528"/>
    </row>
    <row r="212" spans="2:10">
      <c r="B212" s="527"/>
      <c r="C212" s="528"/>
      <c r="D212" s="529"/>
      <c r="E212" s="528"/>
      <c r="F212" s="528"/>
      <c r="G212" s="528"/>
      <c r="H212" s="528"/>
      <c r="I212" s="528"/>
      <c r="J212" s="528"/>
    </row>
    <row r="213" spans="2:10">
      <c r="B213" s="527"/>
      <c r="C213" s="528"/>
      <c r="D213" s="529"/>
      <c r="E213" s="528"/>
      <c r="F213" s="528"/>
      <c r="G213" s="528"/>
      <c r="H213" s="528"/>
      <c r="I213" s="528"/>
      <c r="J213" s="528"/>
    </row>
    <row r="214" spans="2:10">
      <c r="B214" s="527"/>
      <c r="C214" s="528"/>
      <c r="D214" s="529"/>
      <c r="E214" s="528"/>
      <c r="F214" s="528"/>
      <c r="G214" s="528"/>
      <c r="H214" s="528"/>
      <c r="I214" s="528"/>
      <c r="J214" s="528"/>
    </row>
    <row r="215" spans="2:10">
      <c r="B215" s="527"/>
      <c r="C215" s="528"/>
      <c r="D215" s="529"/>
      <c r="E215" s="528"/>
      <c r="F215" s="528"/>
      <c r="G215" s="528"/>
      <c r="H215" s="528"/>
      <c r="I215" s="528"/>
      <c r="J215" s="528"/>
    </row>
    <row r="216" spans="2:10">
      <c r="B216" s="527"/>
      <c r="C216" s="528"/>
      <c r="D216" s="529"/>
      <c r="E216" s="528"/>
      <c r="F216" s="528"/>
      <c r="G216" s="528"/>
      <c r="H216" s="528"/>
      <c r="I216" s="528"/>
      <c r="J216" s="528"/>
    </row>
    <row r="217" spans="2:10">
      <c r="B217" s="527"/>
      <c r="C217" s="528"/>
      <c r="D217" s="529"/>
      <c r="E217" s="528"/>
      <c r="F217" s="528"/>
      <c r="G217" s="528"/>
      <c r="H217" s="528"/>
      <c r="I217" s="528"/>
      <c r="J217" s="528"/>
    </row>
    <row r="218" spans="2:10">
      <c r="B218" s="527"/>
      <c r="C218" s="528"/>
      <c r="D218" s="529"/>
      <c r="E218" s="528"/>
      <c r="F218" s="528"/>
      <c r="G218" s="528"/>
      <c r="H218" s="528"/>
      <c r="I218" s="528"/>
      <c r="J218" s="528"/>
    </row>
    <row r="219" spans="2:10">
      <c r="B219" s="527"/>
      <c r="C219" s="528"/>
      <c r="D219" s="529"/>
      <c r="E219" s="528"/>
      <c r="F219" s="528"/>
      <c r="G219" s="528"/>
      <c r="H219" s="528"/>
      <c r="I219" s="528"/>
      <c r="J219" s="528"/>
    </row>
    <row r="220" spans="2:10">
      <c r="B220" s="527"/>
      <c r="C220" s="528"/>
      <c r="D220" s="529"/>
      <c r="E220" s="528"/>
      <c r="F220" s="528"/>
      <c r="G220" s="528"/>
      <c r="H220" s="528"/>
      <c r="I220" s="528"/>
      <c r="J220" s="528"/>
    </row>
    <row r="221" spans="2:10">
      <c r="B221" s="527"/>
      <c r="C221" s="528"/>
      <c r="D221" s="529"/>
      <c r="E221" s="528"/>
      <c r="F221" s="528"/>
      <c r="G221" s="528"/>
      <c r="H221" s="528"/>
      <c r="I221" s="528"/>
      <c r="J221" s="528"/>
    </row>
    <row r="222" spans="2:10">
      <c r="B222" s="527"/>
      <c r="C222" s="528"/>
      <c r="D222" s="529"/>
      <c r="E222" s="528"/>
      <c r="F222" s="528"/>
      <c r="G222" s="528"/>
      <c r="H222" s="528"/>
      <c r="I222" s="528"/>
      <c r="J222" s="528"/>
    </row>
    <row r="223" spans="2:10">
      <c r="B223" s="527"/>
      <c r="C223" s="528"/>
      <c r="D223" s="529"/>
      <c r="E223" s="528"/>
      <c r="F223" s="528"/>
      <c r="G223" s="528"/>
      <c r="H223" s="528"/>
      <c r="I223" s="528"/>
      <c r="J223" s="528"/>
    </row>
    <row r="224" spans="2:10">
      <c r="B224" s="527"/>
      <c r="C224" s="528"/>
      <c r="D224" s="529"/>
      <c r="E224" s="528"/>
      <c r="F224" s="528"/>
      <c r="G224" s="528"/>
      <c r="H224" s="528"/>
      <c r="I224" s="528"/>
      <c r="J224" s="528"/>
    </row>
    <row r="225" spans="2:10">
      <c r="B225" s="527"/>
      <c r="C225" s="528"/>
      <c r="D225" s="529"/>
      <c r="E225" s="528"/>
      <c r="F225" s="528"/>
      <c r="G225" s="528"/>
      <c r="H225" s="528"/>
      <c r="I225" s="528"/>
      <c r="J225" s="528"/>
    </row>
    <row r="226" spans="2:10">
      <c r="B226" s="527"/>
      <c r="C226" s="528"/>
      <c r="D226" s="529"/>
      <c r="E226" s="528"/>
      <c r="F226" s="528"/>
      <c r="G226" s="528"/>
      <c r="H226" s="528"/>
      <c r="I226" s="528"/>
      <c r="J226" s="528"/>
    </row>
    <row r="227" spans="2:10">
      <c r="B227" s="527"/>
      <c r="C227" s="528"/>
      <c r="D227" s="529"/>
      <c r="E227" s="528"/>
      <c r="F227" s="528"/>
      <c r="G227" s="528"/>
      <c r="H227" s="528"/>
      <c r="I227" s="528"/>
      <c r="J227" s="528"/>
    </row>
    <row r="228" spans="2:10">
      <c r="B228" s="527"/>
      <c r="C228" s="528"/>
      <c r="D228" s="529"/>
      <c r="E228" s="528"/>
      <c r="F228" s="528"/>
      <c r="G228" s="528"/>
      <c r="H228" s="528"/>
      <c r="I228" s="528"/>
      <c r="J228" s="528"/>
    </row>
    <row r="229" spans="2:10">
      <c r="B229" s="527"/>
      <c r="C229" s="528"/>
      <c r="D229" s="529"/>
      <c r="E229" s="528"/>
      <c r="F229" s="528"/>
      <c r="G229" s="528"/>
      <c r="H229" s="528"/>
      <c r="I229" s="528"/>
      <c r="J229" s="528"/>
    </row>
    <row r="230" spans="2:10">
      <c r="B230" s="527"/>
      <c r="C230" s="528"/>
      <c r="D230" s="529"/>
      <c r="E230" s="528"/>
      <c r="F230" s="528"/>
      <c r="G230" s="528"/>
      <c r="H230" s="528"/>
      <c r="I230" s="528"/>
      <c r="J230" s="528"/>
    </row>
    <row r="231" spans="2:10">
      <c r="B231" s="527"/>
      <c r="C231" s="528"/>
      <c r="D231" s="529"/>
      <c r="E231" s="528"/>
      <c r="F231" s="528"/>
      <c r="G231" s="528"/>
      <c r="H231" s="528"/>
      <c r="I231" s="528"/>
      <c r="J231" s="528"/>
    </row>
    <row r="232" spans="2:10">
      <c r="B232" s="527"/>
      <c r="C232" s="528"/>
      <c r="D232" s="529"/>
      <c r="E232" s="528"/>
      <c r="F232" s="528"/>
      <c r="G232" s="528"/>
      <c r="H232" s="528"/>
      <c r="I232" s="528"/>
      <c r="J232" s="528"/>
    </row>
    <row r="233" spans="2:10">
      <c r="B233" s="527"/>
      <c r="C233" s="528"/>
      <c r="D233" s="529"/>
      <c r="E233" s="528"/>
      <c r="F233" s="528"/>
      <c r="G233" s="528"/>
      <c r="H233" s="528"/>
      <c r="I233" s="528"/>
      <c r="J233" s="528"/>
    </row>
    <row r="234" spans="2:10">
      <c r="B234" s="527"/>
      <c r="C234" s="528"/>
      <c r="D234" s="529"/>
      <c r="E234" s="528"/>
      <c r="F234" s="528"/>
      <c r="G234" s="528"/>
      <c r="H234" s="528"/>
      <c r="I234" s="528"/>
      <c r="J234" s="528"/>
    </row>
    <row r="235" spans="2:10">
      <c r="B235" s="527"/>
      <c r="C235" s="528"/>
      <c r="D235" s="529"/>
      <c r="E235" s="528"/>
      <c r="F235" s="528"/>
      <c r="G235" s="528"/>
      <c r="H235" s="528"/>
      <c r="I235" s="528"/>
      <c r="J235" s="528"/>
    </row>
    <row r="236" spans="2:10">
      <c r="B236" s="527"/>
      <c r="C236" s="528"/>
      <c r="D236" s="529"/>
      <c r="E236" s="528"/>
      <c r="F236" s="528"/>
      <c r="G236" s="528"/>
      <c r="H236" s="528"/>
      <c r="I236" s="528"/>
      <c r="J236" s="528"/>
    </row>
    <row r="237" spans="2:10">
      <c r="B237" s="527"/>
      <c r="C237" s="528"/>
      <c r="D237" s="529"/>
      <c r="E237" s="528"/>
      <c r="F237" s="528"/>
      <c r="G237" s="528"/>
      <c r="H237" s="528"/>
      <c r="I237" s="528"/>
      <c r="J237" s="528"/>
    </row>
    <row r="238" spans="2:10">
      <c r="B238" s="527"/>
      <c r="C238" s="528"/>
      <c r="D238" s="529"/>
      <c r="E238" s="528"/>
      <c r="F238" s="528"/>
      <c r="G238" s="528"/>
      <c r="H238" s="528"/>
      <c r="I238" s="528"/>
      <c r="J238" s="528"/>
    </row>
    <row r="239" spans="2:10">
      <c r="B239" s="527"/>
      <c r="C239" s="528"/>
      <c r="D239" s="529"/>
      <c r="E239" s="528"/>
      <c r="F239" s="528"/>
      <c r="G239" s="528"/>
      <c r="H239" s="528"/>
      <c r="I239" s="528"/>
      <c r="J239" s="528"/>
    </row>
    <row r="240" spans="2:10">
      <c r="B240" s="527"/>
      <c r="C240" s="528"/>
      <c r="D240" s="529"/>
      <c r="E240" s="528"/>
      <c r="F240" s="528"/>
      <c r="G240" s="528"/>
      <c r="H240" s="528"/>
      <c r="I240" s="528"/>
      <c r="J240" s="528"/>
    </row>
    <row r="241" spans="2:10">
      <c r="B241" s="527"/>
      <c r="C241" s="528"/>
      <c r="D241" s="529"/>
      <c r="E241" s="528"/>
      <c r="F241" s="528"/>
      <c r="G241" s="528"/>
      <c r="H241" s="528"/>
      <c r="I241" s="528"/>
      <c r="J241" s="528"/>
    </row>
    <row r="242" spans="2:10">
      <c r="B242" s="527"/>
      <c r="C242" s="528"/>
      <c r="D242" s="529"/>
      <c r="E242" s="528"/>
      <c r="F242" s="528"/>
      <c r="G242" s="528"/>
      <c r="H242" s="528"/>
      <c r="I242" s="528"/>
      <c r="J242" s="528"/>
    </row>
    <row r="243" spans="2:10">
      <c r="B243" s="527"/>
      <c r="C243" s="528"/>
      <c r="D243" s="529"/>
      <c r="E243" s="528"/>
      <c r="F243" s="528"/>
      <c r="G243" s="528"/>
      <c r="H243" s="528"/>
      <c r="I243" s="528"/>
      <c r="J243" s="528"/>
    </row>
    <row r="244" spans="2:10">
      <c r="B244" s="527"/>
      <c r="C244" s="528"/>
      <c r="D244" s="529"/>
      <c r="E244" s="528"/>
      <c r="F244" s="528"/>
      <c r="G244" s="528"/>
      <c r="H244" s="528"/>
      <c r="I244" s="528"/>
      <c r="J244" s="528"/>
    </row>
    <row r="245" spans="2:10">
      <c r="B245" s="527"/>
      <c r="C245" s="528"/>
      <c r="D245" s="529"/>
      <c r="E245" s="528"/>
      <c r="F245" s="528"/>
      <c r="G245" s="528"/>
      <c r="H245" s="528"/>
      <c r="I245" s="528"/>
      <c r="J245" s="528"/>
    </row>
    <row r="246" spans="2:10">
      <c r="B246" s="527"/>
      <c r="C246" s="528"/>
      <c r="D246" s="529"/>
      <c r="E246" s="528"/>
      <c r="F246" s="528"/>
      <c r="G246" s="528"/>
      <c r="H246" s="528"/>
      <c r="I246" s="528"/>
      <c r="J246" s="528"/>
    </row>
    <row r="247" spans="2:10">
      <c r="B247" s="527"/>
      <c r="C247" s="528"/>
      <c r="D247" s="529"/>
      <c r="E247" s="528"/>
      <c r="F247" s="528"/>
      <c r="G247" s="528"/>
      <c r="H247" s="528"/>
      <c r="I247" s="528"/>
      <c r="J247" s="528"/>
    </row>
    <row r="248" spans="2:10">
      <c r="B248" s="527"/>
      <c r="C248" s="528"/>
      <c r="D248" s="529"/>
      <c r="E248" s="528"/>
      <c r="F248" s="528"/>
      <c r="G248" s="528"/>
      <c r="H248" s="528"/>
      <c r="I248" s="528"/>
      <c r="J248" s="528"/>
    </row>
    <row r="249" spans="2:10">
      <c r="B249" s="527"/>
      <c r="C249" s="528"/>
      <c r="D249" s="529"/>
      <c r="E249" s="528"/>
      <c r="F249" s="528"/>
      <c r="G249" s="528"/>
      <c r="H249" s="528"/>
      <c r="I249" s="528"/>
      <c r="J249" s="528"/>
    </row>
    <row r="250" spans="2:10">
      <c r="B250" s="527"/>
      <c r="C250" s="528"/>
      <c r="D250" s="529"/>
      <c r="E250" s="528"/>
      <c r="F250" s="528"/>
      <c r="G250" s="528"/>
      <c r="H250" s="528"/>
      <c r="I250" s="528"/>
      <c r="J250" s="528"/>
    </row>
    <row r="251" spans="2:10">
      <c r="B251" s="527"/>
      <c r="C251" s="528"/>
      <c r="D251" s="529"/>
      <c r="E251" s="528"/>
      <c r="F251" s="528"/>
      <c r="G251" s="528"/>
      <c r="H251" s="528"/>
      <c r="I251" s="528"/>
      <c r="J251" s="528"/>
    </row>
    <row r="252" spans="2:10">
      <c r="B252" s="527"/>
      <c r="C252" s="528"/>
      <c r="D252" s="529"/>
      <c r="E252" s="528"/>
      <c r="F252" s="528"/>
      <c r="G252" s="528"/>
      <c r="H252" s="528"/>
      <c r="I252" s="528"/>
      <c r="J252" s="528"/>
    </row>
    <row r="253" spans="2:10">
      <c r="B253" s="527"/>
      <c r="C253" s="528"/>
      <c r="D253" s="529"/>
      <c r="E253" s="528"/>
      <c r="F253" s="528"/>
      <c r="G253" s="528"/>
      <c r="H253" s="528"/>
      <c r="I253" s="528"/>
      <c r="J253" s="528"/>
    </row>
    <row r="254" spans="2:10">
      <c r="B254" s="527"/>
      <c r="C254" s="528"/>
      <c r="D254" s="529"/>
      <c r="E254" s="528"/>
      <c r="F254" s="528"/>
      <c r="G254" s="528"/>
      <c r="H254" s="528"/>
      <c r="I254" s="528"/>
      <c r="J254" s="528"/>
    </row>
    <row r="255" spans="2:10">
      <c r="B255" s="527"/>
      <c r="C255" s="528"/>
      <c r="D255" s="529"/>
      <c r="E255" s="528"/>
      <c r="F255" s="528"/>
      <c r="G255" s="528"/>
      <c r="H255" s="528"/>
      <c r="I255" s="528"/>
      <c r="J255" s="528"/>
    </row>
    <row r="256" spans="2:10">
      <c r="B256" s="527"/>
      <c r="C256" s="528"/>
      <c r="D256" s="529"/>
      <c r="E256" s="528"/>
      <c r="F256" s="528"/>
      <c r="G256" s="528"/>
      <c r="H256" s="528"/>
      <c r="I256" s="528"/>
      <c r="J256" s="528"/>
    </row>
    <row r="257" spans="2:10">
      <c r="B257" s="527"/>
      <c r="C257" s="528"/>
      <c r="D257" s="529"/>
      <c r="E257" s="528"/>
      <c r="F257" s="528"/>
      <c r="G257" s="528"/>
      <c r="H257" s="528"/>
      <c r="I257" s="528"/>
      <c r="J257" s="528"/>
    </row>
    <row r="258" spans="2:10">
      <c r="B258" s="527"/>
      <c r="C258" s="528"/>
      <c r="D258" s="529"/>
      <c r="E258" s="528"/>
      <c r="F258" s="528"/>
      <c r="G258" s="528"/>
      <c r="H258" s="528"/>
      <c r="I258" s="528"/>
      <c r="J258" s="528"/>
    </row>
    <row r="259" spans="2:10">
      <c r="B259" s="527"/>
      <c r="C259" s="528"/>
      <c r="D259" s="529"/>
      <c r="E259" s="528"/>
      <c r="F259" s="528"/>
      <c r="G259" s="528"/>
      <c r="H259" s="528"/>
      <c r="I259" s="528"/>
      <c r="J259" s="528"/>
    </row>
    <row r="260" spans="2:10">
      <c r="B260" s="527"/>
      <c r="C260" s="528"/>
      <c r="D260" s="529"/>
      <c r="E260" s="528"/>
      <c r="F260" s="528"/>
      <c r="G260" s="528"/>
      <c r="H260" s="528"/>
      <c r="I260" s="528"/>
      <c r="J260" s="528"/>
    </row>
    <row r="261" spans="2:10">
      <c r="B261" s="527"/>
      <c r="C261" s="528"/>
      <c r="D261" s="529"/>
      <c r="E261" s="528"/>
      <c r="F261" s="528"/>
      <c r="G261" s="528"/>
      <c r="H261" s="528"/>
      <c r="I261" s="528"/>
      <c r="J261" s="528"/>
    </row>
    <row r="262" spans="2:10">
      <c r="B262" s="527"/>
      <c r="C262" s="528"/>
      <c r="D262" s="529"/>
      <c r="E262" s="528"/>
      <c r="F262" s="528"/>
      <c r="G262" s="528"/>
      <c r="H262" s="528"/>
      <c r="I262" s="528"/>
      <c r="J262" s="528"/>
    </row>
    <row r="263" spans="2:10">
      <c r="B263" s="527"/>
      <c r="C263" s="528"/>
      <c r="D263" s="529"/>
      <c r="E263" s="528"/>
      <c r="F263" s="528"/>
      <c r="G263" s="528"/>
      <c r="H263" s="528"/>
      <c r="I263" s="528"/>
      <c r="J263" s="528"/>
    </row>
    <row r="264" spans="2:10">
      <c r="B264" s="527"/>
      <c r="C264" s="528"/>
      <c r="D264" s="529"/>
      <c r="E264" s="528"/>
      <c r="F264" s="528"/>
      <c r="G264" s="528"/>
      <c r="H264" s="528"/>
      <c r="I264" s="528"/>
      <c r="J264" s="528"/>
    </row>
    <row r="265" spans="2:10">
      <c r="B265" s="527"/>
      <c r="C265" s="528"/>
      <c r="D265" s="529"/>
      <c r="E265" s="528"/>
      <c r="F265" s="528"/>
      <c r="G265" s="528"/>
      <c r="H265" s="528"/>
      <c r="I265" s="528"/>
      <c r="J265" s="528"/>
    </row>
    <row r="266" spans="2:10">
      <c r="B266" s="527"/>
      <c r="C266" s="528"/>
      <c r="D266" s="529"/>
      <c r="E266" s="528"/>
      <c r="F266" s="528"/>
      <c r="G266" s="528"/>
      <c r="H266" s="528"/>
      <c r="I266" s="528"/>
      <c r="J266" s="528"/>
    </row>
    <row r="267" spans="2:10">
      <c r="B267" s="527"/>
      <c r="C267" s="528"/>
      <c r="D267" s="529"/>
      <c r="E267" s="528"/>
      <c r="F267" s="528"/>
      <c r="G267" s="528"/>
      <c r="H267" s="528"/>
      <c r="I267" s="528"/>
      <c r="J267" s="528"/>
    </row>
    <row r="268" spans="2:10">
      <c r="B268" s="527"/>
      <c r="C268" s="528"/>
      <c r="D268" s="529"/>
      <c r="E268" s="528"/>
      <c r="F268" s="528"/>
      <c r="G268" s="528"/>
      <c r="H268" s="528"/>
      <c r="I268" s="528"/>
      <c r="J268" s="528"/>
    </row>
    <row r="269" spans="2:10">
      <c r="B269" s="527"/>
      <c r="C269" s="528"/>
      <c r="D269" s="529"/>
      <c r="E269" s="528"/>
      <c r="F269" s="528"/>
      <c r="G269" s="528"/>
      <c r="H269" s="528"/>
      <c r="I269" s="528"/>
      <c r="J269" s="528"/>
    </row>
    <row r="270" spans="2:10">
      <c r="B270" s="527"/>
      <c r="C270" s="528"/>
      <c r="D270" s="529"/>
      <c r="E270" s="528"/>
      <c r="F270" s="528"/>
      <c r="G270" s="528"/>
      <c r="H270" s="528"/>
      <c r="I270" s="528"/>
      <c r="J270" s="528"/>
    </row>
    <row r="271" spans="2:10">
      <c r="B271" s="527"/>
      <c r="C271" s="528"/>
      <c r="D271" s="529"/>
      <c r="E271" s="528"/>
      <c r="F271" s="528"/>
      <c r="G271" s="528"/>
      <c r="H271" s="528"/>
      <c r="I271" s="528"/>
      <c r="J271" s="528"/>
    </row>
    <row r="272" spans="2:10">
      <c r="B272" s="527"/>
      <c r="C272" s="528"/>
      <c r="D272" s="529"/>
      <c r="E272" s="528"/>
      <c r="F272" s="528"/>
      <c r="G272" s="528"/>
      <c r="H272" s="528"/>
      <c r="I272" s="528"/>
      <c r="J272" s="528"/>
    </row>
    <row r="273" spans="2:10">
      <c r="B273" s="527"/>
      <c r="C273" s="528"/>
      <c r="D273" s="529"/>
      <c r="E273" s="528"/>
      <c r="F273" s="528"/>
      <c r="G273" s="528"/>
      <c r="H273" s="528"/>
      <c r="I273" s="528"/>
      <c r="J273" s="528"/>
    </row>
    <row r="274" spans="2:10">
      <c r="B274" s="527"/>
      <c r="C274" s="528"/>
      <c r="D274" s="529"/>
      <c r="E274" s="528"/>
      <c r="F274" s="528"/>
      <c r="G274" s="528"/>
      <c r="H274" s="528"/>
      <c r="I274" s="528"/>
      <c r="J274" s="528"/>
    </row>
    <row r="275" spans="2:10">
      <c r="B275" s="527"/>
      <c r="C275" s="528"/>
      <c r="D275" s="529"/>
      <c r="E275" s="528"/>
      <c r="F275" s="528"/>
      <c r="G275" s="528"/>
      <c r="H275" s="528"/>
      <c r="I275" s="528"/>
      <c r="J275" s="528"/>
    </row>
    <row r="276" spans="2:10">
      <c r="B276" s="527"/>
      <c r="C276" s="528"/>
      <c r="D276" s="529"/>
      <c r="E276" s="528"/>
      <c r="F276" s="528"/>
      <c r="G276" s="528"/>
      <c r="H276" s="528"/>
      <c r="I276" s="528"/>
      <c r="J276" s="528"/>
    </row>
    <row r="277" spans="2:10">
      <c r="B277" s="527"/>
      <c r="C277" s="528"/>
      <c r="D277" s="529"/>
      <c r="E277" s="528"/>
      <c r="F277" s="528"/>
      <c r="G277" s="528"/>
      <c r="H277" s="528"/>
      <c r="I277" s="528"/>
      <c r="J277" s="528"/>
    </row>
    <row r="278" spans="2:10">
      <c r="B278" s="527"/>
      <c r="C278" s="528"/>
      <c r="D278" s="529"/>
      <c r="E278" s="528"/>
      <c r="F278" s="528"/>
      <c r="G278" s="528"/>
      <c r="H278" s="528"/>
      <c r="I278" s="528"/>
      <c r="J278" s="528"/>
    </row>
    <row r="279" spans="2:10">
      <c r="B279" s="527"/>
      <c r="C279" s="528"/>
      <c r="D279" s="529"/>
      <c r="E279" s="528"/>
      <c r="F279" s="528"/>
      <c r="G279" s="528"/>
      <c r="H279" s="528"/>
      <c r="I279" s="528"/>
      <c r="J279" s="528"/>
    </row>
    <row r="280" spans="2:10">
      <c r="B280" s="527"/>
      <c r="C280" s="528"/>
      <c r="D280" s="529"/>
      <c r="E280" s="528"/>
      <c r="F280" s="528"/>
      <c r="G280" s="528"/>
      <c r="H280" s="528"/>
      <c r="I280" s="528"/>
      <c r="J280" s="528"/>
    </row>
    <row r="281" spans="2:10">
      <c r="B281" s="527"/>
      <c r="C281" s="528"/>
      <c r="D281" s="529"/>
      <c r="E281" s="528"/>
      <c r="F281" s="528"/>
      <c r="G281" s="528"/>
      <c r="H281" s="528"/>
      <c r="I281" s="528"/>
      <c r="J281" s="528"/>
    </row>
    <row r="282" spans="2:10">
      <c r="B282" s="527"/>
      <c r="C282" s="528"/>
      <c r="D282" s="529"/>
      <c r="E282" s="528"/>
      <c r="F282" s="528"/>
      <c r="G282" s="528"/>
      <c r="H282" s="528"/>
      <c r="I282" s="528"/>
      <c r="J282" s="528"/>
    </row>
    <row r="283" spans="2:10">
      <c r="B283" s="527"/>
      <c r="C283" s="528"/>
      <c r="D283" s="529"/>
      <c r="E283" s="528"/>
      <c r="F283" s="528"/>
      <c r="G283" s="528"/>
      <c r="H283" s="528"/>
      <c r="I283" s="528"/>
      <c r="J283" s="528"/>
    </row>
    <row r="284" spans="2:10">
      <c r="B284" s="527"/>
      <c r="C284" s="528"/>
      <c r="D284" s="529"/>
      <c r="E284" s="528"/>
      <c r="F284" s="528"/>
      <c r="G284" s="528"/>
      <c r="H284" s="528"/>
      <c r="I284" s="528"/>
      <c r="J284" s="528"/>
    </row>
    <row r="285" spans="2:10">
      <c r="B285" s="527"/>
      <c r="C285" s="528"/>
      <c r="D285" s="529"/>
      <c r="E285" s="528"/>
      <c r="F285" s="528"/>
      <c r="G285" s="528"/>
      <c r="H285" s="528"/>
      <c r="I285" s="528"/>
      <c r="J285" s="528"/>
    </row>
    <row r="286" spans="2:10">
      <c r="B286" s="527"/>
      <c r="C286" s="528"/>
      <c r="D286" s="529"/>
      <c r="E286" s="528"/>
      <c r="F286" s="528"/>
      <c r="G286" s="528"/>
      <c r="H286" s="528"/>
      <c r="I286" s="528"/>
      <c r="J286" s="528"/>
    </row>
    <row r="287" spans="2:10">
      <c r="B287" s="527"/>
      <c r="C287" s="528"/>
      <c r="D287" s="529"/>
      <c r="E287" s="528"/>
      <c r="F287" s="528"/>
      <c r="G287" s="528"/>
      <c r="H287" s="528"/>
      <c r="I287" s="528"/>
      <c r="J287" s="528"/>
    </row>
    <row r="288" spans="2:10">
      <c r="B288" s="527"/>
      <c r="C288" s="528"/>
      <c r="D288" s="529"/>
      <c r="E288" s="528"/>
      <c r="F288" s="528"/>
      <c r="G288" s="528"/>
      <c r="H288" s="528"/>
      <c r="I288" s="528"/>
      <c r="J288" s="528"/>
    </row>
    <row r="289" spans="2:10">
      <c r="B289" s="527"/>
      <c r="C289" s="528"/>
      <c r="D289" s="529"/>
      <c r="E289" s="528"/>
      <c r="F289" s="528"/>
      <c r="G289" s="528"/>
      <c r="H289" s="528"/>
      <c r="I289" s="528"/>
      <c r="J289" s="528"/>
    </row>
    <row r="290" spans="2:10">
      <c r="B290" s="527"/>
      <c r="C290" s="528"/>
      <c r="D290" s="529"/>
      <c r="E290" s="528"/>
      <c r="F290" s="528"/>
      <c r="G290" s="528"/>
      <c r="H290" s="528"/>
      <c r="I290" s="528"/>
      <c r="J290" s="528"/>
    </row>
    <row r="291" spans="2:10">
      <c r="B291" s="527"/>
      <c r="C291" s="528"/>
      <c r="D291" s="529"/>
      <c r="E291" s="528"/>
      <c r="F291" s="528"/>
      <c r="G291" s="528"/>
      <c r="H291" s="528"/>
      <c r="I291" s="528"/>
      <c r="J291" s="528"/>
    </row>
    <row r="292" spans="2:10">
      <c r="B292" s="527"/>
      <c r="C292" s="528"/>
      <c r="D292" s="529"/>
      <c r="E292" s="528"/>
      <c r="F292" s="528"/>
      <c r="G292" s="528"/>
      <c r="H292" s="528"/>
      <c r="I292" s="528"/>
      <c r="J292" s="528"/>
    </row>
    <row r="293" spans="2:10">
      <c r="B293" s="527"/>
      <c r="C293" s="528"/>
      <c r="D293" s="529"/>
      <c r="E293" s="528"/>
      <c r="F293" s="528"/>
      <c r="G293" s="528"/>
      <c r="H293" s="528"/>
      <c r="I293" s="528"/>
      <c r="J293" s="528"/>
    </row>
    <row r="294" spans="2:10">
      <c r="B294" s="527"/>
      <c r="C294" s="528"/>
      <c r="D294" s="529"/>
      <c r="E294" s="528"/>
      <c r="F294" s="528"/>
      <c r="G294" s="528"/>
      <c r="H294" s="528"/>
      <c r="I294" s="528"/>
      <c r="J294" s="528"/>
    </row>
    <row r="295" spans="2:10">
      <c r="B295" s="527"/>
      <c r="C295" s="528"/>
      <c r="D295" s="529"/>
      <c r="E295" s="528"/>
      <c r="F295" s="528"/>
      <c r="G295" s="528"/>
      <c r="H295" s="528"/>
      <c r="I295" s="528"/>
      <c r="J295" s="528"/>
    </row>
    <row r="296" spans="2:10">
      <c r="B296" s="527"/>
      <c r="C296" s="528"/>
      <c r="D296" s="529"/>
      <c r="E296" s="528"/>
      <c r="F296" s="528"/>
      <c r="G296" s="528"/>
      <c r="H296" s="528"/>
      <c r="I296" s="528"/>
      <c r="J296" s="528"/>
    </row>
    <row r="297" spans="2:10">
      <c r="B297" s="527"/>
      <c r="C297" s="528"/>
      <c r="D297" s="529"/>
      <c r="E297" s="528"/>
      <c r="F297" s="528"/>
      <c r="G297" s="528"/>
      <c r="H297" s="528"/>
      <c r="I297" s="528"/>
      <c r="J297" s="528"/>
    </row>
    <row r="298" spans="2:10">
      <c r="B298" s="527"/>
      <c r="C298" s="528"/>
      <c r="D298" s="529"/>
      <c r="E298" s="528"/>
      <c r="F298" s="528"/>
      <c r="G298" s="528"/>
      <c r="H298" s="528"/>
      <c r="I298" s="528"/>
      <c r="J298" s="528"/>
    </row>
    <row r="299" spans="2:10">
      <c r="B299" s="527"/>
      <c r="C299" s="528"/>
      <c r="D299" s="529"/>
      <c r="E299" s="528"/>
      <c r="F299" s="528"/>
      <c r="G299" s="528"/>
      <c r="H299" s="528"/>
      <c r="I299" s="528"/>
      <c r="J299" s="528"/>
    </row>
    <row r="300" spans="2:10">
      <c r="B300" s="527"/>
      <c r="C300" s="528"/>
      <c r="D300" s="529"/>
      <c r="E300" s="528"/>
      <c r="F300" s="528"/>
      <c r="G300" s="528"/>
      <c r="H300" s="528"/>
      <c r="I300" s="528"/>
      <c r="J300" s="528"/>
    </row>
    <row r="301" spans="2:10">
      <c r="B301" s="527"/>
      <c r="C301" s="528"/>
      <c r="D301" s="529"/>
      <c r="E301" s="528"/>
      <c r="F301" s="528"/>
      <c r="G301" s="528"/>
      <c r="H301" s="528"/>
      <c r="I301" s="528"/>
      <c r="J301" s="528"/>
    </row>
    <row r="302" spans="2:10">
      <c r="B302" s="527"/>
      <c r="C302" s="528"/>
      <c r="D302" s="529"/>
      <c r="E302" s="528"/>
      <c r="F302" s="528"/>
      <c r="G302" s="528"/>
      <c r="H302" s="528"/>
      <c r="I302" s="528"/>
      <c r="J302" s="528"/>
    </row>
    <row r="303" spans="2:10">
      <c r="B303" s="527"/>
      <c r="C303" s="528"/>
      <c r="D303" s="529"/>
      <c r="E303" s="528"/>
      <c r="F303" s="528"/>
      <c r="G303" s="528"/>
      <c r="H303" s="528"/>
      <c r="I303" s="528"/>
      <c r="J303" s="528"/>
    </row>
    <row r="304" spans="2:10">
      <c r="B304" s="527"/>
      <c r="C304" s="528"/>
      <c r="D304" s="529"/>
      <c r="E304" s="528"/>
      <c r="F304" s="528"/>
      <c r="G304" s="528"/>
      <c r="H304" s="528"/>
      <c r="I304" s="528"/>
      <c r="J304" s="528"/>
    </row>
    <row r="305" spans="2:10">
      <c r="B305" s="527"/>
      <c r="C305" s="528"/>
      <c r="D305" s="529"/>
      <c r="E305" s="528"/>
      <c r="F305" s="528"/>
      <c r="G305" s="528"/>
      <c r="H305" s="528"/>
      <c r="I305" s="528"/>
      <c r="J305" s="528"/>
    </row>
    <row r="306" spans="2:10">
      <c r="B306" s="527"/>
      <c r="C306" s="528"/>
      <c r="D306" s="529"/>
      <c r="E306" s="528"/>
      <c r="F306" s="528"/>
      <c r="G306" s="528"/>
      <c r="H306" s="528"/>
      <c r="I306" s="528"/>
      <c r="J306" s="528"/>
    </row>
    <row r="307" spans="2:10">
      <c r="B307" s="527"/>
      <c r="C307" s="528"/>
      <c r="D307" s="529"/>
      <c r="E307" s="528"/>
      <c r="F307" s="528"/>
      <c r="G307" s="528"/>
      <c r="H307" s="528"/>
      <c r="I307" s="528"/>
      <c r="J307" s="528"/>
    </row>
    <row r="308" spans="2:10">
      <c r="B308" s="523"/>
      <c r="C308" s="524"/>
      <c r="D308" s="530"/>
      <c r="E308" s="524"/>
      <c r="F308" s="524"/>
      <c r="G308" s="524"/>
      <c r="H308" s="524"/>
      <c r="I308" s="524"/>
      <c r="J308" s="524"/>
    </row>
    <row r="309" spans="2:10">
      <c r="B309" s="523"/>
      <c r="C309" s="524"/>
      <c r="D309" s="530"/>
      <c r="E309" s="524"/>
      <c r="F309" s="524"/>
      <c r="G309" s="524"/>
      <c r="H309" s="524"/>
      <c r="I309" s="524"/>
      <c r="J309" s="524"/>
    </row>
    <row r="310" spans="2:10">
      <c r="B310" s="523"/>
      <c r="C310" s="524"/>
      <c r="D310" s="530"/>
      <c r="E310" s="524"/>
      <c r="F310" s="524"/>
      <c r="G310" s="524"/>
      <c r="H310" s="524"/>
      <c r="I310" s="524"/>
      <c r="J310" s="524"/>
    </row>
    <row r="311" spans="2:10">
      <c r="B311" s="523"/>
      <c r="C311" s="524"/>
      <c r="D311" s="530"/>
      <c r="E311" s="524"/>
      <c r="F311" s="524"/>
      <c r="G311" s="524"/>
      <c r="H311" s="524"/>
      <c r="I311" s="524"/>
      <c r="J311" s="524"/>
    </row>
    <row r="312" spans="2:10">
      <c r="B312" s="523"/>
      <c r="C312" s="524"/>
      <c r="D312" s="530"/>
      <c r="E312" s="524"/>
      <c r="F312" s="524"/>
      <c r="G312" s="524"/>
      <c r="H312" s="524"/>
      <c r="I312" s="524"/>
      <c r="J312" s="524"/>
    </row>
    <row r="313" spans="2:10">
      <c r="B313" s="523"/>
      <c r="C313" s="524"/>
      <c r="D313" s="530"/>
      <c r="E313" s="524"/>
      <c r="F313" s="524"/>
      <c r="G313" s="524"/>
      <c r="H313" s="524"/>
      <c r="I313" s="524"/>
      <c r="J313" s="524"/>
    </row>
    <row r="314" spans="2:10">
      <c r="B314" s="523"/>
      <c r="C314" s="524"/>
      <c r="D314" s="530"/>
      <c r="E314" s="524"/>
      <c r="F314" s="524"/>
      <c r="G314" s="524"/>
      <c r="H314" s="524"/>
      <c r="I314" s="524"/>
      <c r="J314" s="524"/>
    </row>
    <row r="315" spans="2:10">
      <c r="B315" s="523"/>
      <c r="C315" s="524"/>
      <c r="D315" s="530"/>
      <c r="E315" s="524"/>
      <c r="F315" s="524"/>
      <c r="G315" s="524"/>
      <c r="H315" s="524"/>
      <c r="I315" s="524"/>
      <c r="J315" s="524"/>
    </row>
    <row r="316" spans="2:10">
      <c r="B316" s="523"/>
      <c r="C316" s="524"/>
      <c r="D316" s="530"/>
      <c r="E316" s="524"/>
      <c r="F316" s="524"/>
      <c r="G316" s="524"/>
      <c r="H316" s="524"/>
      <c r="I316" s="524"/>
      <c r="J316" s="524"/>
    </row>
    <row r="317" spans="2:10">
      <c r="B317" s="523"/>
      <c r="C317" s="524"/>
      <c r="D317" s="530"/>
      <c r="E317" s="524"/>
      <c r="F317" s="524"/>
      <c r="G317" s="524"/>
      <c r="H317" s="524"/>
      <c r="I317" s="524"/>
      <c r="J317" s="524"/>
    </row>
    <row r="318" spans="2:10">
      <c r="B318" s="523"/>
      <c r="C318" s="524"/>
      <c r="D318" s="530"/>
      <c r="E318" s="524"/>
      <c r="F318" s="524"/>
      <c r="G318" s="524"/>
      <c r="H318" s="524"/>
      <c r="I318" s="524"/>
      <c r="J318" s="524"/>
    </row>
    <row r="319" spans="2:10">
      <c r="B319" s="523"/>
      <c r="C319" s="524"/>
      <c r="D319" s="530"/>
      <c r="E319" s="524"/>
      <c r="F319" s="524"/>
      <c r="G319" s="524"/>
      <c r="H319" s="524"/>
      <c r="I319" s="524"/>
      <c r="J319" s="524"/>
    </row>
    <row r="320" spans="2:10">
      <c r="B320" s="523"/>
      <c r="C320" s="524"/>
      <c r="D320" s="530"/>
      <c r="E320" s="524"/>
      <c r="F320" s="524"/>
      <c r="G320" s="524"/>
      <c r="H320" s="524"/>
      <c r="I320" s="524"/>
      <c r="J320" s="524"/>
    </row>
    <row r="321" spans="2:10">
      <c r="B321" s="523"/>
      <c r="C321" s="524"/>
      <c r="D321" s="530"/>
      <c r="E321" s="524"/>
      <c r="F321" s="524"/>
      <c r="G321" s="524"/>
      <c r="H321" s="524"/>
      <c r="I321" s="524"/>
      <c r="J321" s="524"/>
    </row>
    <row r="322" spans="2:10">
      <c r="B322" s="523"/>
      <c r="C322" s="524"/>
      <c r="D322" s="530"/>
      <c r="E322" s="524"/>
      <c r="F322" s="524"/>
      <c r="G322" s="524"/>
      <c r="H322" s="524"/>
      <c r="I322" s="524"/>
      <c r="J322" s="524"/>
    </row>
    <row r="323" spans="2:10">
      <c r="B323" s="523"/>
      <c r="C323" s="524"/>
      <c r="D323" s="530"/>
      <c r="E323" s="524"/>
      <c r="F323" s="524"/>
      <c r="G323" s="524"/>
      <c r="H323" s="524"/>
      <c r="I323" s="524"/>
      <c r="J323" s="524"/>
    </row>
    <row r="324" spans="2:10">
      <c r="B324" s="523"/>
      <c r="C324" s="524"/>
      <c r="D324" s="530"/>
      <c r="E324" s="524"/>
      <c r="F324" s="524"/>
      <c r="G324" s="524"/>
      <c r="H324" s="524"/>
      <c r="I324" s="524"/>
      <c r="J324" s="524"/>
    </row>
    <row r="325" spans="2:10">
      <c r="B325" s="523"/>
      <c r="C325" s="524"/>
      <c r="D325" s="530"/>
      <c r="E325" s="524"/>
      <c r="F325" s="524"/>
      <c r="G325" s="524"/>
      <c r="H325" s="524"/>
      <c r="I325" s="524"/>
      <c r="J325" s="524"/>
    </row>
    <row r="326" spans="2:10">
      <c r="B326" s="523"/>
      <c r="C326" s="524"/>
      <c r="D326" s="530"/>
      <c r="E326" s="524"/>
      <c r="F326" s="524"/>
      <c r="G326" s="524"/>
      <c r="H326" s="524"/>
      <c r="I326" s="524"/>
      <c r="J326" s="524"/>
    </row>
    <row r="327" spans="2:10">
      <c r="B327" s="523"/>
      <c r="C327" s="524"/>
      <c r="D327" s="530"/>
      <c r="E327" s="524"/>
      <c r="F327" s="524"/>
      <c r="G327" s="524"/>
      <c r="H327" s="524"/>
      <c r="I327" s="524"/>
      <c r="J327" s="524"/>
    </row>
    <row r="328" spans="2:10">
      <c r="B328" s="523"/>
      <c r="C328" s="524"/>
      <c r="D328" s="530"/>
      <c r="E328" s="524"/>
      <c r="F328" s="524"/>
      <c r="G328" s="524"/>
      <c r="H328" s="524"/>
      <c r="I328" s="524"/>
      <c r="J328" s="524"/>
    </row>
    <row r="329" spans="2:10">
      <c r="B329" s="523"/>
      <c r="C329" s="524"/>
      <c r="D329" s="530"/>
      <c r="E329" s="524"/>
      <c r="F329" s="524"/>
      <c r="G329" s="524"/>
      <c r="H329" s="524"/>
      <c r="I329" s="524"/>
      <c r="J329" s="524"/>
    </row>
    <row r="330" spans="2:10">
      <c r="B330" s="523"/>
      <c r="C330" s="524"/>
      <c r="D330" s="530"/>
      <c r="E330" s="524"/>
      <c r="F330" s="524"/>
      <c r="G330" s="524"/>
      <c r="H330" s="524"/>
      <c r="I330" s="524"/>
      <c r="J330" s="524"/>
    </row>
    <row r="331" spans="2:10">
      <c r="B331" s="523"/>
      <c r="C331" s="524"/>
      <c r="D331" s="530"/>
      <c r="E331" s="524"/>
      <c r="F331" s="524"/>
      <c r="G331" s="524"/>
      <c r="H331" s="524"/>
      <c r="I331" s="524"/>
      <c r="J331" s="524"/>
    </row>
    <row r="332" spans="2:10">
      <c r="B332" s="523"/>
      <c r="C332" s="524"/>
      <c r="D332" s="530"/>
      <c r="E332" s="524"/>
      <c r="F332" s="524"/>
      <c r="G332" s="524"/>
      <c r="H332" s="524"/>
      <c r="I332" s="524"/>
      <c r="J332" s="524"/>
    </row>
    <row r="333" spans="2:10">
      <c r="B333" s="523"/>
      <c r="C333" s="524"/>
      <c r="D333" s="530"/>
      <c r="E333" s="524"/>
      <c r="F333" s="524"/>
      <c r="G333" s="524"/>
      <c r="H333" s="524"/>
      <c r="I333" s="524"/>
      <c r="J333" s="524"/>
    </row>
    <row r="334" spans="2:10">
      <c r="B334" s="523"/>
      <c r="C334" s="524"/>
      <c r="D334" s="530"/>
      <c r="E334" s="524"/>
      <c r="F334" s="524"/>
      <c r="G334" s="524"/>
      <c r="H334" s="524"/>
      <c r="I334" s="524"/>
      <c r="J334" s="524"/>
    </row>
    <row r="335" spans="2:10">
      <c r="B335" s="523"/>
      <c r="C335" s="524"/>
      <c r="D335" s="530"/>
      <c r="E335" s="524"/>
      <c r="F335" s="524"/>
      <c r="G335" s="524"/>
      <c r="H335" s="524"/>
      <c r="I335" s="524"/>
      <c r="J335" s="524"/>
    </row>
    <row r="336" spans="2:10">
      <c r="B336" s="523"/>
      <c r="C336" s="524"/>
      <c r="D336" s="530"/>
      <c r="E336" s="524"/>
      <c r="F336" s="524"/>
      <c r="G336" s="524"/>
      <c r="H336" s="524"/>
      <c r="I336" s="524"/>
      <c r="J336" s="524"/>
    </row>
    <row r="337" spans="2:10">
      <c r="B337" s="523"/>
      <c r="C337" s="524"/>
      <c r="D337" s="530"/>
      <c r="E337" s="524"/>
      <c r="F337" s="524"/>
      <c r="G337" s="524"/>
      <c r="H337" s="524"/>
      <c r="I337" s="524"/>
      <c r="J337" s="524"/>
    </row>
    <row r="338" spans="2:10">
      <c r="B338" s="523"/>
      <c r="C338" s="524"/>
      <c r="D338" s="530"/>
      <c r="E338" s="524"/>
      <c r="F338" s="524"/>
      <c r="G338" s="524"/>
      <c r="H338" s="524"/>
      <c r="I338" s="524"/>
      <c r="J338" s="524"/>
    </row>
    <row r="339" spans="2:10">
      <c r="B339" s="523"/>
      <c r="C339" s="524"/>
      <c r="D339" s="530"/>
      <c r="E339" s="524"/>
      <c r="F339" s="524"/>
      <c r="G339" s="524"/>
      <c r="H339" s="524"/>
      <c r="I339" s="524"/>
      <c r="J339" s="524"/>
    </row>
    <row r="340" spans="2:10">
      <c r="B340" s="523"/>
      <c r="C340" s="524"/>
      <c r="D340" s="530"/>
      <c r="E340" s="524"/>
      <c r="F340" s="524"/>
      <c r="G340" s="524"/>
      <c r="H340" s="524"/>
      <c r="I340" s="524"/>
      <c r="J340" s="524"/>
    </row>
    <row r="341" spans="2:10">
      <c r="B341" s="523"/>
      <c r="C341" s="524"/>
      <c r="D341" s="530"/>
      <c r="E341" s="524"/>
      <c r="F341" s="524"/>
      <c r="G341" s="524"/>
      <c r="H341" s="524"/>
      <c r="I341" s="524"/>
      <c r="J341" s="524"/>
    </row>
    <row r="342" spans="2:10">
      <c r="B342" s="523"/>
      <c r="C342" s="524"/>
      <c r="D342" s="530"/>
      <c r="E342" s="524"/>
      <c r="F342" s="524"/>
      <c r="G342" s="524"/>
      <c r="H342" s="524"/>
      <c r="I342" s="524"/>
      <c r="J342" s="524"/>
    </row>
    <row r="343" spans="2:10">
      <c r="B343" s="523"/>
      <c r="C343" s="524"/>
      <c r="D343" s="530"/>
      <c r="E343" s="524"/>
      <c r="F343" s="524"/>
      <c r="G343" s="524"/>
      <c r="H343" s="524"/>
      <c r="I343" s="524"/>
      <c r="J343" s="524"/>
    </row>
    <row r="344" spans="2:10">
      <c r="B344" s="523"/>
      <c r="C344" s="524"/>
      <c r="D344" s="530"/>
      <c r="E344" s="524"/>
      <c r="F344" s="524"/>
      <c r="G344" s="524"/>
      <c r="H344" s="524"/>
      <c r="I344" s="524"/>
      <c r="J344" s="524"/>
    </row>
    <row r="345" spans="2:10">
      <c r="B345" s="523"/>
      <c r="C345" s="524"/>
      <c r="D345" s="530"/>
      <c r="E345" s="524"/>
      <c r="F345" s="524"/>
      <c r="G345" s="524"/>
      <c r="H345" s="524"/>
      <c r="I345" s="524"/>
      <c r="J345" s="524"/>
    </row>
    <row r="346" spans="2:10">
      <c r="B346" s="523"/>
      <c r="C346" s="524"/>
      <c r="D346" s="530"/>
      <c r="E346" s="524"/>
      <c r="F346" s="524"/>
      <c r="G346" s="524"/>
      <c r="H346" s="524"/>
      <c r="I346" s="524"/>
      <c r="J346" s="524"/>
    </row>
    <row r="347" spans="2:10">
      <c r="B347" s="523"/>
      <c r="C347" s="524"/>
      <c r="D347" s="530"/>
      <c r="E347" s="524"/>
      <c r="F347" s="524"/>
      <c r="G347" s="524"/>
      <c r="H347" s="524"/>
      <c r="I347" s="524"/>
      <c r="J347" s="524"/>
    </row>
  </sheetData>
  <mergeCells count="42">
    <mergeCell ref="B10:D10"/>
    <mergeCell ref="E10:F10"/>
    <mergeCell ref="H10:I10"/>
    <mergeCell ref="A1:J1"/>
    <mergeCell ref="B2:D2"/>
    <mergeCell ref="G2:J2"/>
    <mergeCell ref="B3:D3"/>
    <mergeCell ref="G3:J3"/>
    <mergeCell ref="B4:J4"/>
    <mergeCell ref="B5:J5"/>
    <mergeCell ref="B6:J6"/>
    <mergeCell ref="B7:J7"/>
    <mergeCell ref="B8:J8"/>
    <mergeCell ref="B9:J9"/>
    <mergeCell ref="B11:D11"/>
    <mergeCell ref="E11:F11"/>
    <mergeCell ref="H11:I11"/>
    <mergeCell ref="A13:A14"/>
    <mergeCell ref="B13:D13"/>
    <mergeCell ref="E13:E14"/>
    <mergeCell ref="F13:F14"/>
    <mergeCell ref="G13:G14"/>
    <mergeCell ref="H13:I13"/>
    <mergeCell ref="D85:E85"/>
    <mergeCell ref="F85:J85"/>
    <mergeCell ref="J13:J14"/>
    <mergeCell ref="B14:C14"/>
    <mergeCell ref="E79:F79"/>
    <mergeCell ref="E80:F80"/>
    <mergeCell ref="E81:F81"/>
    <mergeCell ref="I81:J81"/>
    <mergeCell ref="B82:E82"/>
    <mergeCell ref="H82:J82"/>
    <mergeCell ref="D83:E83"/>
    <mergeCell ref="F83:J83"/>
    <mergeCell ref="D84:E84"/>
    <mergeCell ref="D86:E86"/>
    <mergeCell ref="F86:H86"/>
    <mergeCell ref="I86:J86"/>
    <mergeCell ref="D87:E87"/>
    <mergeCell ref="F87:G87"/>
    <mergeCell ref="H87:J87"/>
  </mergeCells>
  <printOptions horizontalCentered="1"/>
  <pageMargins left="0.24" right="0.21" top="0.27" bottom="0.27559055118110198" header="0.23" footer="0.27559055118110198"/>
  <pageSetup paperSize="9" orientation="portrait" r:id="rId1"/>
  <headerFooter alignWithMargins="0"/>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100-000000000000}">
  <sheetPr>
    <tabColor rgb="FF00B050"/>
  </sheetPr>
  <dimension ref="A1:K315"/>
  <sheetViews>
    <sheetView topLeftCell="A16" workbookViewId="0">
      <selection activeCell="E22" sqref="E22:G22"/>
    </sheetView>
  </sheetViews>
  <sheetFormatPr defaultRowHeight="12.75"/>
  <cols>
    <col min="1" max="1" width="2.85546875" style="441" customWidth="1"/>
    <col min="2" max="2" width="9.7109375" style="441" customWidth="1"/>
    <col min="3" max="3" width="9.5703125" style="441" customWidth="1"/>
    <col min="4" max="4" width="25.5703125" style="441" customWidth="1"/>
    <col min="5" max="5" width="4.42578125" style="441" hidden="1" customWidth="1"/>
    <col min="6" max="6" width="5.5703125" style="441" hidden="1" customWidth="1"/>
    <col min="7" max="7" width="7.42578125" style="441" customWidth="1"/>
    <col min="8" max="8" width="4.85546875" style="441" customWidth="1"/>
    <col min="9" max="9" width="8.5703125" style="441" customWidth="1"/>
    <col min="10" max="10" width="10.140625" style="441" customWidth="1"/>
    <col min="11" max="11" width="7.5703125" style="441" customWidth="1"/>
    <col min="12" max="16384" width="9.140625" style="441"/>
  </cols>
  <sheetData>
    <row r="1" spans="1:11" ht="18" customHeight="1">
      <c r="A1" s="1087" t="s">
        <v>1997</v>
      </c>
      <c r="B1" s="1087"/>
      <c r="C1" s="1087"/>
      <c r="D1" s="1087"/>
      <c r="E1" s="436"/>
      <c r="F1" s="436"/>
      <c r="G1" s="437" t="s">
        <v>1998</v>
      </c>
      <c r="H1" s="438" t="s">
        <v>1999</v>
      </c>
      <c r="I1" s="439" t="s">
        <v>1998</v>
      </c>
      <c r="J1" s="440" t="s">
        <v>1999</v>
      </c>
      <c r="K1" s="440"/>
    </row>
    <row r="2" spans="1:11">
      <c r="B2" s="1078" t="s">
        <v>2000</v>
      </c>
      <c r="C2" s="1078"/>
      <c r="D2" s="1078"/>
      <c r="E2" s="442"/>
      <c r="F2" s="442"/>
      <c r="G2" s="437"/>
      <c r="H2" s="443"/>
      <c r="I2" s="440"/>
      <c r="J2" s="440"/>
      <c r="K2" s="440"/>
    </row>
    <row r="3" spans="1:11" ht="21" customHeight="1">
      <c r="B3" s="1078" t="s">
        <v>2001</v>
      </c>
      <c r="C3" s="1078"/>
      <c r="D3" s="1078"/>
      <c r="E3" s="1078"/>
      <c r="F3" s="1078"/>
      <c r="G3" s="1088"/>
      <c r="H3" s="443"/>
      <c r="I3" s="440"/>
      <c r="J3" s="440"/>
      <c r="K3" s="440"/>
    </row>
    <row r="4" spans="1:11">
      <c r="B4" s="440"/>
      <c r="C4" s="440" t="s">
        <v>2002</v>
      </c>
      <c r="D4" s="440" t="s">
        <v>2003</v>
      </c>
      <c r="E4" s="440"/>
      <c r="F4" s="440"/>
      <c r="G4" s="437"/>
      <c r="H4" s="443"/>
      <c r="I4" s="440"/>
      <c r="J4" s="440"/>
      <c r="K4" s="440"/>
    </row>
    <row r="5" spans="1:11" ht="15" customHeight="1">
      <c r="B5" s="440"/>
      <c r="C5" s="1078" t="s">
        <v>2004</v>
      </c>
      <c r="D5" s="1078"/>
      <c r="E5" s="442"/>
      <c r="F5" s="442"/>
      <c r="G5" s="437"/>
      <c r="H5" s="443"/>
      <c r="I5" s="440"/>
      <c r="J5" s="440"/>
      <c r="K5" s="440"/>
    </row>
    <row r="6" spans="1:11" ht="15.75" customHeight="1">
      <c r="B6" s="440"/>
      <c r="C6" s="1078" t="s">
        <v>2005</v>
      </c>
      <c r="D6" s="1078"/>
      <c r="E6" s="442"/>
      <c r="F6" s="442"/>
      <c r="G6" s="437"/>
      <c r="H6" s="443"/>
      <c r="I6" s="440"/>
      <c r="J6" s="440"/>
      <c r="K6" s="440"/>
    </row>
    <row r="7" spans="1:11">
      <c r="B7" s="440"/>
      <c r="C7" s="440"/>
      <c r="D7" s="440"/>
      <c r="E7" s="440"/>
      <c r="F7" s="440"/>
      <c r="G7" s="437"/>
      <c r="H7" s="443"/>
      <c r="I7" s="440"/>
      <c r="J7" s="440"/>
      <c r="K7" s="440"/>
    </row>
    <row r="8" spans="1:11" ht="18" customHeight="1">
      <c r="A8" s="1089" t="s">
        <v>2006</v>
      </c>
      <c r="B8" s="1089"/>
      <c r="C8" s="444" t="s">
        <v>2007</v>
      </c>
      <c r="D8" s="444"/>
      <c r="E8" s="440"/>
      <c r="F8" s="440"/>
      <c r="G8" s="440"/>
      <c r="H8" s="443"/>
      <c r="I8" s="440"/>
      <c r="J8" s="440"/>
      <c r="K8" s="440"/>
    </row>
    <row r="9" spans="1:11" ht="13.5" customHeight="1">
      <c r="A9" s="1089"/>
      <c r="B9" s="1089"/>
      <c r="C9" s="1077" t="s">
        <v>2008</v>
      </c>
      <c r="D9" s="1077"/>
      <c r="E9" s="442"/>
      <c r="F9" s="442"/>
      <c r="G9" s="440"/>
      <c r="H9" s="443"/>
      <c r="I9" s="440"/>
      <c r="J9" s="440"/>
      <c r="K9" s="440"/>
    </row>
    <row r="10" spans="1:11" ht="12.75" customHeight="1">
      <c r="A10" s="1089"/>
      <c r="B10" s="1089"/>
      <c r="C10" s="1077" t="s">
        <v>2009</v>
      </c>
      <c r="D10" s="1077"/>
      <c r="E10" s="442"/>
      <c r="F10" s="442"/>
      <c r="G10" s="440"/>
      <c r="H10" s="443"/>
      <c r="I10" s="440"/>
      <c r="J10" s="440"/>
      <c r="K10" s="440"/>
    </row>
    <row r="11" spans="1:11">
      <c r="A11" s="445"/>
      <c r="B11" s="446"/>
      <c r="C11" s="447" t="s">
        <v>2010</v>
      </c>
      <c r="D11" s="447"/>
      <c r="E11" s="439"/>
      <c r="F11" s="439"/>
      <c r="G11" s="439"/>
      <c r="H11" s="438"/>
      <c r="I11" s="439"/>
      <c r="J11" s="439"/>
      <c r="K11" s="439"/>
    </row>
    <row r="12" spans="1:11" ht="14.25" customHeight="1">
      <c r="A12" s="448" t="s">
        <v>2011</v>
      </c>
      <c r="B12" s="440"/>
      <c r="C12" s="440"/>
      <c r="D12" s="440" t="s">
        <v>2012</v>
      </c>
      <c r="E12" s="440"/>
      <c r="F12" s="440"/>
      <c r="G12" s="440"/>
      <c r="H12" s="440"/>
      <c r="I12" s="440"/>
      <c r="J12" s="440"/>
      <c r="K12" s="440"/>
    </row>
    <row r="13" spans="1:11" ht="12" customHeight="1">
      <c r="A13" s="448" t="s">
        <v>2013</v>
      </c>
      <c r="B13" s="440"/>
      <c r="C13" s="440"/>
      <c r="D13" s="440"/>
      <c r="E13" s="440"/>
      <c r="F13" s="440"/>
      <c r="G13" s="440"/>
      <c r="H13" s="440"/>
      <c r="I13" s="440"/>
      <c r="J13" s="440"/>
      <c r="K13" s="440"/>
    </row>
    <row r="14" spans="1:11">
      <c r="B14" s="440"/>
      <c r="C14" s="440"/>
      <c r="D14" s="440"/>
      <c r="E14" s="440"/>
      <c r="F14" s="440"/>
      <c r="G14" s="440"/>
      <c r="H14" s="440"/>
      <c r="I14" s="440"/>
      <c r="J14" s="440"/>
      <c r="K14" s="440"/>
    </row>
    <row r="15" spans="1:11" ht="22.5" customHeight="1">
      <c r="B15" s="440"/>
      <c r="C15" s="1078" t="s">
        <v>2014</v>
      </c>
      <c r="D15" s="1078"/>
      <c r="E15" s="442"/>
      <c r="F15" s="442"/>
      <c r="G15" s="440"/>
      <c r="H15" s="440"/>
      <c r="I15" s="440"/>
      <c r="J15" s="440"/>
      <c r="K15" s="440"/>
    </row>
    <row r="16" spans="1:11">
      <c r="B16" s="440"/>
      <c r="C16" s="440"/>
      <c r="D16" s="440"/>
      <c r="E16" s="440"/>
      <c r="F16" s="440"/>
      <c r="G16" s="440"/>
      <c r="H16" s="440"/>
      <c r="I16" s="440"/>
      <c r="J16" s="440"/>
      <c r="K16" s="440"/>
    </row>
    <row r="17" spans="1:11">
      <c r="A17" s="441" t="s">
        <v>2015</v>
      </c>
      <c r="B17" s="440"/>
      <c r="C17" s="440"/>
      <c r="D17" s="440"/>
      <c r="E17" s="440"/>
      <c r="F17" s="440"/>
      <c r="G17" s="440"/>
      <c r="H17" s="440"/>
      <c r="I17" s="440"/>
      <c r="J17" s="440"/>
      <c r="K17" s="440"/>
    </row>
    <row r="18" spans="1:11" ht="27" customHeight="1">
      <c r="B18" s="440"/>
      <c r="C18" s="440"/>
      <c r="E18" s="1078" t="s">
        <v>2016</v>
      </c>
      <c r="F18" s="1078"/>
      <c r="G18" s="1078"/>
      <c r="H18" s="1078"/>
      <c r="I18" s="1078"/>
      <c r="J18" s="1078"/>
      <c r="K18" s="440"/>
    </row>
    <row r="19" spans="1:11" ht="12" customHeight="1">
      <c r="B19" s="440"/>
      <c r="C19" s="440"/>
      <c r="D19" s="440"/>
      <c r="E19" s="1078" t="s">
        <v>2017</v>
      </c>
      <c r="F19" s="1078"/>
      <c r="G19" s="1078"/>
      <c r="H19" s="1078"/>
      <c r="I19" s="1078"/>
      <c r="J19" s="1078"/>
      <c r="K19" s="1078"/>
    </row>
    <row r="20" spans="1:11" ht="6.75" customHeight="1">
      <c r="B20" s="440"/>
      <c r="C20" s="440"/>
      <c r="E20" s="449"/>
      <c r="F20" s="449"/>
      <c r="G20" s="449"/>
      <c r="H20" s="449"/>
      <c r="I20" s="449"/>
      <c r="J20" s="449"/>
      <c r="K20" s="442"/>
    </row>
    <row r="21" spans="1:11" ht="16.5" customHeight="1">
      <c r="B21" s="440"/>
      <c r="C21" s="440"/>
      <c r="D21" s="442"/>
      <c r="E21" s="1078" t="s">
        <v>2017</v>
      </c>
      <c r="F21" s="1078"/>
      <c r="G21" s="1078"/>
      <c r="H21" s="1078"/>
      <c r="I21" s="1078"/>
      <c r="J21" s="1078"/>
      <c r="K21" s="1078"/>
    </row>
    <row r="22" spans="1:11">
      <c r="A22" s="1090"/>
      <c r="B22" s="1090"/>
      <c r="C22" s="440"/>
      <c r="D22" s="440"/>
      <c r="E22" s="440"/>
      <c r="F22" s="440"/>
      <c r="G22" s="440"/>
      <c r="H22" s="440"/>
      <c r="I22" s="440"/>
      <c r="J22" s="440"/>
      <c r="K22" s="440"/>
    </row>
    <row r="23" spans="1:11" ht="15" customHeight="1">
      <c r="A23" s="450"/>
      <c r="B23" s="450"/>
      <c r="C23" s="440"/>
      <c r="D23" s="440"/>
      <c r="E23" s="1078" t="s">
        <v>2018</v>
      </c>
      <c r="F23" s="1078"/>
      <c r="G23" s="440"/>
      <c r="H23" s="440"/>
      <c r="I23" s="440"/>
      <c r="J23" s="440"/>
      <c r="K23" s="440"/>
    </row>
    <row r="24" spans="1:11">
      <c r="A24" s="450"/>
      <c r="B24" s="450"/>
      <c r="C24" s="440"/>
      <c r="D24" s="440"/>
      <c r="E24" s="440"/>
      <c r="F24" s="440"/>
      <c r="G24" s="440"/>
      <c r="H24" s="440"/>
      <c r="I24" s="440"/>
      <c r="J24" s="440"/>
      <c r="K24" s="440"/>
    </row>
    <row r="25" spans="1:11">
      <c r="A25" s="1084" t="s">
        <v>2019</v>
      </c>
      <c r="B25" s="1084"/>
      <c r="C25" s="440"/>
      <c r="D25" s="442" t="s">
        <v>2020</v>
      </c>
      <c r="E25" s="1078" t="s">
        <v>2017</v>
      </c>
      <c r="F25" s="1078"/>
      <c r="G25" s="1078"/>
      <c r="H25" s="1078"/>
      <c r="I25" s="1078"/>
      <c r="J25" s="1078"/>
      <c r="K25" s="1078"/>
    </row>
    <row r="26" spans="1:11" ht="8.25" customHeight="1">
      <c r="A26" s="450"/>
      <c r="B26" s="450"/>
      <c r="C26" s="440"/>
      <c r="D26" s="440"/>
      <c r="E26" s="440"/>
      <c r="F26" s="440"/>
      <c r="G26" s="440"/>
      <c r="H26" s="440"/>
      <c r="I26" s="440"/>
      <c r="J26" s="440"/>
      <c r="K26" s="440"/>
    </row>
    <row r="27" spans="1:11">
      <c r="A27" s="450"/>
      <c r="B27" s="450"/>
      <c r="C27" s="440"/>
      <c r="D27" s="440"/>
      <c r="E27" s="1078" t="s">
        <v>2017</v>
      </c>
      <c r="F27" s="1078"/>
      <c r="G27" s="1078"/>
      <c r="H27" s="1078"/>
      <c r="I27" s="1078"/>
      <c r="J27" s="1078"/>
      <c r="K27" s="1078"/>
    </row>
    <row r="28" spans="1:11">
      <c r="A28" s="450"/>
      <c r="B28" s="450"/>
      <c r="C28" s="440"/>
      <c r="D28" s="440"/>
      <c r="E28" s="440"/>
      <c r="F28" s="440"/>
      <c r="G28" s="440"/>
      <c r="H28" s="440"/>
      <c r="I28" s="440"/>
      <c r="J28" s="440"/>
      <c r="K28" s="440"/>
    </row>
    <row r="29" spans="1:11">
      <c r="A29" s="1084" t="s">
        <v>2021</v>
      </c>
      <c r="B29" s="1084"/>
      <c r="C29" s="440"/>
      <c r="D29" s="442" t="s">
        <v>2022</v>
      </c>
      <c r="E29" s="1078" t="s">
        <v>2017</v>
      </c>
      <c r="F29" s="1078"/>
      <c r="G29" s="1078"/>
      <c r="H29" s="1078"/>
      <c r="I29" s="1078"/>
      <c r="J29" s="1078"/>
      <c r="K29" s="1078"/>
    </row>
    <row r="30" spans="1:11" ht="6.75" customHeight="1">
      <c r="B30" s="440"/>
      <c r="C30" s="440"/>
      <c r="D30" s="440"/>
      <c r="E30" s="440"/>
      <c r="F30" s="440"/>
      <c r="G30" s="440"/>
      <c r="H30" s="440"/>
      <c r="I30" s="440"/>
      <c r="J30" s="440"/>
      <c r="K30" s="440"/>
    </row>
    <row r="31" spans="1:11">
      <c r="B31" s="440"/>
      <c r="C31" s="440"/>
      <c r="D31" s="442"/>
      <c r="E31" s="1078" t="s">
        <v>2017</v>
      </c>
      <c r="F31" s="1078"/>
      <c r="G31" s="1078"/>
      <c r="H31" s="1078"/>
      <c r="I31" s="1078"/>
      <c r="J31" s="1078"/>
      <c r="K31" s="1078"/>
    </row>
    <row r="32" spans="1:11" ht="23.25" customHeight="1">
      <c r="B32" s="440"/>
      <c r="C32" s="440"/>
      <c r="D32" s="440"/>
      <c r="E32" s="442"/>
      <c r="F32" s="442"/>
      <c r="G32" s="1078" t="s">
        <v>2023</v>
      </c>
      <c r="H32" s="1078"/>
      <c r="I32" s="1078"/>
      <c r="J32" s="1078" t="s">
        <v>2024</v>
      </c>
      <c r="K32" s="1078"/>
    </row>
    <row r="33" spans="1:11" ht="11.25" customHeight="1">
      <c r="A33" s="445"/>
      <c r="B33" s="1085"/>
      <c r="C33" s="1086"/>
      <c r="D33" s="1086"/>
      <c r="E33" s="1086"/>
      <c r="F33" s="1086"/>
      <c r="G33" s="1086"/>
      <c r="H33" s="1086"/>
      <c r="I33" s="1086"/>
      <c r="J33" s="1086"/>
      <c r="K33" s="439"/>
    </row>
    <row r="34" spans="1:11" ht="17.25" customHeight="1">
      <c r="B34" s="440"/>
      <c r="C34" s="440"/>
      <c r="D34" s="440"/>
      <c r="E34" s="440"/>
      <c r="F34" s="440"/>
      <c r="G34" s="440"/>
      <c r="H34" s="440"/>
      <c r="I34" s="1078" t="s">
        <v>2025</v>
      </c>
      <c r="J34" s="1078"/>
      <c r="K34" s="442"/>
    </row>
    <row r="35" spans="1:11">
      <c r="B35" s="440"/>
      <c r="C35" s="440"/>
      <c r="D35" s="440"/>
      <c r="E35" s="440"/>
      <c r="F35" s="440"/>
      <c r="G35" s="440"/>
      <c r="H35" s="440"/>
      <c r="I35" s="1078" t="s">
        <v>2026</v>
      </c>
      <c r="J35" s="1078"/>
      <c r="K35" s="1078"/>
    </row>
    <row r="36" spans="1:11">
      <c r="B36" s="440"/>
      <c r="C36" s="440"/>
      <c r="D36" s="440"/>
      <c r="E36" s="440"/>
      <c r="F36" s="440"/>
      <c r="G36" s="440"/>
      <c r="H36" s="440"/>
      <c r="I36" s="1078" t="s">
        <v>2027</v>
      </c>
      <c r="J36" s="1078"/>
      <c r="K36" s="1078"/>
    </row>
    <row r="37" spans="1:11">
      <c r="B37" s="440"/>
      <c r="C37" s="440"/>
      <c r="D37" s="440"/>
      <c r="E37" s="440"/>
      <c r="F37" s="440"/>
      <c r="G37" s="440"/>
      <c r="H37" s="440"/>
      <c r="I37" s="1078" t="s">
        <v>2028</v>
      </c>
      <c r="J37" s="1078"/>
      <c r="K37" s="1078"/>
    </row>
    <row r="38" spans="1:11" ht="23.25" customHeight="1">
      <c r="B38" s="440"/>
      <c r="C38" s="440"/>
      <c r="D38" s="1078" t="s">
        <v>2029</v>
      </c>
      <c r="E38" s="1078"/>
      <c r="F38" s="444"/>
      <c r="G38" s="442" t="s">
        <v>2030</v>
      </c>
      <c r="H38" s="440"/>
      <c r="I38" s="440"/>
      <c r="J38" s="1079" t="s">
        <v>2031</v>
      </c>
      <c r="K38" s="1079"/>
    </row>
    <row r="39" spans="1:11" ht="13.5" customHeight="1">
      <c r="A39" s="445"/>
      <c r="B39" s="439"/>
      <c r="C39" s="439"/>
      <c r="D39" s="1080" t="s">
        <v>2032</v>
      </c>
      <c r="E39" s="1080"/>
      <c r="F39" s="1080"/>
      <c r="G39" s="1080"/>
      <c r="H39" s="1080"/>
      <c r="I39" s="1080"/>
      <c r="J39" s="439"/>
      <c r="K39" s="439"/>
    </row>
    <row r="40" spans="1:11" ht="22.5" customHeight="1">
      <c r="A40" s="451"/>
      <c r="B40" s="1081" t="s">
        <v>2033</v>
      </c>
      <c r="C40" s="1081"/>
      <c r="D40" s="1081"/>
      <c r="E40" s="1081"/>
      <c r="F40" s="1081"/>
      <c r="G40" s="1081"/>
      <c r="H40" s="1081"/>
      <c r="I40" s="1081"/>
      <c r="J40" s="1081"/>
      <c r="K40" s="452"/>
    </row>
    <row r="41" spans="1:11" ht="18" customHeight="1">
      <c r="B41" s="440"/>
      <c r="C41" s="1082" t="s">
        <v>2034</v>
      </c>
      <c r="D41" s="1082"/>
      <c r="E41" s="1082"/>
      <c r="F41" s="1082"/>
      <c r="G41" s="1082"/>
      <c r="H41" s="440"/>
      <c r="I41" s="440"/>
      <c r="J41" s="440"/>
      <c r="K41" s="440"/>
    </row>
    <row r="42" spans="1:11" ht="14.25" customHeight="1">
      <c r="B42" s="442"/>
      <c r="C42" s="1078" t="s">
        <v>2035</v>
      </c>
      <c r="D42" s="1078"/>
      <c r="E42" s="1078"/>
      <c r="F42" s="1078"/>
      <c r="G42" s="1078"/>
      <c r="H42" s="1078"/>
      <c r="I42" s="1078"/>
      <c r="J42" s="1078"/>
      <c r="K42" s="440"/>
    </row>
    <row r="43" spans="1:11" ht="12.75" customHeight="1">
      <c r="B43" s="1078" t="s">
        <v>2036</v>
      </c>
      <c r="C43" s="1078"/>
      <c r="D43" s="1078"/>
      <c r="E43" s="1078"/>
      <c r="F43" s="1078"/>
      <c r="G43" s="1078"/>
      <c r="H43" s="1078"/>
      <c r="I43" s="1078"/>
      <c r="J43" s="1078"/>
      <c r="K43" s="440"/>
    </row>
    <row r="44" spans="1:11" ht="20.25" customHeight="1">
      <c r="B44" s="442"/>
      <c r="C44" s="1078" t="s">
        <v>2037</v>
      </c>
      <c r="D44" s="1078"/>
      <c r="E44" s="1078"/>
      <c r="F44" s="1078"/>
      <c r="G44" s="1078"/>
      <c r="H44" s="1078"/>
      <c r="I44" s="1078"/>
      <c r="J44" s="1078"/>
      <c r="K44" s="440"/>
    </row>
    <row r="45" spans="1:11" ht="23.25" customHeight="1">
      <c r="B45" s="1083" t="s">
        <v>2038</v>
      </c>
      <c r="C45" s="1083"/>
      <c r="D45" s="1083"/>
      <c r="E45" s="1083"/>
      <c r="F45" s="1083"/>
      <c r="G45" s="1083"/>
      <c r="H45" s="1083"/>
      <c r="I45" s="1083"/>
      <c r="J45" s="1083"/>
      <c r="K45" s="440"/>
    </row>
    <row r="46" spans="1:11" ht="12.75" customHeight="1">
      <c r="B46" s="1078" t="s">
        <v>2039</v>
      </c>
      <c r="C46" s="1078"/>
      <c r="D46" s="1078"/>
      <c r="E46" s="1078"/>
      <c r="F46" s="1078"/>
      <c r="G46" s="1078"/>
      <c r="H46" s="1078"/>
      <c r="I46" s="1078"/>
      <c r="J46" s="1078"/>
      <c r="K46" s="440"/>
    </row>
    <row r="47" spans="1:11" ht="18" customHeight="1">
      <c r="B47" s="442"/>
      <c r="C47" s="1078" t="s">
        <v>2040</v>
      </c>
      <c r="D47" s="1078"/>
      <c r="E47" s="1078"/>
      <c r="F47" s="1078"/>
      <c r="G47" s="1078"/>
      <c r="H47" s="1078"/>
      <c r="I47" s="1078"/>
      <c r="J47" s="1078"/>
      <c r="K47" s="440"/>
    </row>
    <row r="48" spans="1:11">
      <c r="B48" s="1078" t="s">
        <v>2041</v>
      </c>
      <c r="C48" s="1078"/>
      <c r="D48" s="1078"/>
      <c r="E48" s="1078"/>
      <c r="F48" s="1078"/>
      <c r="G48" s="1078"/>
      <c r="H48" s="1078"/>
      <c r="I48" s="1078"/>
      <c r="J48" s="1078"/>
      <c r="K48" s="440"/>
    </row>
    <row r="49" spans="2:11" ht="18.75" customHeight="1">
      <c r="B49" s="442"/>
      <c r="C49" s="1078" t="s">
        <v>2042</v>
      </c>
      <c r="D49" s="1078"/>
      <c r="E49" s="1078"/>
      <c r="F49" s="1078"/>
      <c r="G49" s="1078"/>
      <c r="H49" s="1078"/>
      <c r="I49" s="1078"/>
      <c r="J49" s="1078"/>
      <c r="K49" s="440"/>
    </row>
    <row r="50" spans="2:11">
      <c r="B50" s="1078" t="s">
        <v>2043</v>
      </c>
      <c r="C50" s="1078"/>
      <c r="D50" s="1078"/>
      <c r="E50" s="1078"/>
      <c r="F50" s="1078"/>
      <c r="G50" s="1078"/>
      <c r="H50" s="1078"/>
      <c r="I50" s="1078"/>
      <c r="J50" s="1078"/>
      <c r="K50" s="440"/>
    </row>
    <row r="51" spans="2:11" ht="19.5" customHeight="1">
      <c r="B51" s="442"/>
      <c r="C51" s="1078" t="s">
        <v>2044</v>
      </c>
      <c r="D51" s="1078"/>
      <c r="E51" s="1078"/>
      <c r="F51" s="1078"/>
      <c r="G51" s="1078"/>
      <c r="H51" s="1078"/>
      <c r="I51" s="1078"/>
      <c r="J51" s="1078"/>
      <c r="K51" s="440"/>
    </row>
    <row r="52" spans="2:11">
      <c r="B52" s="1078" t="s">
        <v>2045</v>
      </c>
      <c r="C52" s="1078"/>
      <c r="D52" s="1078"/>
      <c r="E52" s="1078"/>
      <c r="F52" s="1078"/>
      <c r="G52" s="1078"/>
      <c r="H52" s="1078"/>
      <c r="I52" s="1078"/>
      <c r="J52" s="1078"/>
      <c r="K52" s="440"/>
    </row>
    <row r="53" spans="2:11" ht="19.5" customHeight="1">
      <c r="B53" s="442"/>
      <c r="C53" s="1078" t="s">
        <v>2046</v>
      </c>
      <c r="D53" s="1078"/>
      <c r="E53" s="1078"/>
      <c r="F53" s="1078"/>
      <c r="G53" s="1078"/>
      <c r="H53" s="1078"/>
      <c r="I53" s="1078"/>
      <c r="J53" s="1078"/>
      <c r="K53" s="440"/>
    </row>
    <row r="54" spans="2:11" ht="19.5" customHeight="1">
      <c r="B54" s="1078" t="s">
        <v>2047</v>
      </c>
      <c r="C54" s="1078"/>
      <c r="D54" s="1078"/>
      <c r="E54" s="1078"/>
      <c r="F54" s="1078"/>
      <c r="G54" s="1078"/>
      <c r="H54" s="1078"/>
      <c r="I54" s="1078"/>
      <c r="J54" s="1078"/>
      <c r="K54" s="440"/>
    </row>
    <row r="55" spans="2:11" ht="14.25" customHeight="1">
      <c r="B55" s="442"/>
      <c r="C55" s="1078" t="s">
        <v>2048</v>
      </c>
      <c r="D55" s="1078"/>
      <c r="E55" s="1078"/>
      <c r="F55" s="1078"/>
      <c r="G55" s="1078"/>
      <c r="H55" s="1078"/>
      <c r="I55" s="1078"/>
      <c r="J55" s="1078"/>
      <c r="K55" s="440"/>
    </row>
    <row r="56" spans="2:11" ht="21" customHeight="1">
      <c r="B56" s="1077" t="s">
        <v>2049</v>
      </c>
      <c r="C56" s="1077"/>
      <c r="D56" s="1077"/>
      <c r="E56" s="1077"/>
      <c r="F56" s="1077"/>
      <c r="G56" s="1077"/>
      <c r="H56" s="1077"/>
      <c r="I56" s="1077"/>
      <c r="J56" s="1077"/>
      <c r="K56" s="440"/>
    </row>
    <row r="57" spans="2:11" ht="21.75" customHeight="1">
      <c r="B57" s="1078" t="s">
        <v>2050</v>
      </c>
      <c r="C57" s="1078"/>
      <c r="D57" s="1078"/>
      <c r="E57" s="1078"/>
      <c r="F57" s="1078"/>
      <c r="G57" s="1078"/>
      <c r="H57" s="1078"/>
      <c r="I57" s="1078"/>
      <c r="J57" s="1078"/>
      <c r="K57" s="440"/>
    </row>
    <row r="58" spans="2:11">
      <c r="B58" s="442"/>
      <c r="C58" s="1078" t="s">
        <v>2051</v>
      </c>
      <c r="D58" s="1078"/>
      <c r="E58" s="1078"/>
      <c r="F58" s="1078"/>
      <c r="G58" s="1078"/>
      <c r="H58" s="1078"/>
      <c r="I58" s="1078"/>
      <c r="J58" s="1078"/>
      <c r="K58" s="440"/>
    </row>
    <row r="59" spans="2:11" ht="21.75" customHeight="1">
      <c r="B59" s="1077" t="s">
        <v>2052</v>
      </c>
      <c r="C59" s="1077"/>
      <c r="D59" s="1077"/>
      <c r="E59" s="1077"/>
      <c r="F59" s="1077"/>
      <c r="G59" s="1077"/>
      <c r="H59" s="1077"/>
      <c r="I59" s="1077"/>
      <c r="J59" s="1077"/>
      <c r="K59" s="440"/>
    </row>
    <row r="60" spans="2:11">
      <c r="B60" s="440"/>
      <c r="C60" s="440"/>
      <c r="D60" s="440"/>
      <c r="E60" s="440"/>
      <c r="F60" s="440"/>
      <c r="G60" s="440"/>
      <c r="H60" s="440"/>
      <c r="I60" s="440"/>
      <c r="J60" s="440"/>
      <c r="K60" s="440"/>
    </row>
    <row r="61" spans="2:11">
      <c r="B61" s="440"/>
      <c r="C61" s="440"/>
      <c r="D61" s="440"/>
      <c r="E61" s="440"/>
      <c r="F61" s="440"/>
      <c r="G61" s="440"/>
      <c r="H61" s="440"/>
      <c r="I61" s="440"/>
      <c r="J61" s="440"/>
      <c r="K61" s="440"/>
    </row>
    <row r="62" spans="2:11">
      <c r="B62" s="440"/>
      <c r="C62" s="440"/>
      <c r="D62" s="440"/>
      <c r="E62" s="440"/>
      <c r="F62" s="440"/>
      <c r="G62" s="440"/>
      <c r="H62" s="440"/>
      <c r="I62" s="440"/>
      <c r="J62" s="440"/>
      <c r="K62" s="440"/>
    </row>
    <row r="63" spans="2:11">
      <c r="B63" s="440"/>
      <c r="C63" s="440"/>
      <c r="D63" s="440"/>
      <c r="E63" s="440"/>
      <c r="F63" s="440"/>
      <c r="G63" s="440"/>
      <c r="H63" s="440"/>
      <c r="I63" s="440"/>
      <c r="J63" s="440"/>
      <c r="K63" s="440"/>
    </row>
    <row r="64" spans="2:11">
      <c r="B64" s="440"/>
      <c r="C64" s="440"/>
      <c r="D64" s="440"/>
      <c r="E64" s="440"/>
      <c r="F64" s="440"/>
      <c r="G64" s="440"/>
      <c r="H64" s="440"/>
      <c r="I64" s="440"/>
      <c r="J64" s="440"/>
      <c r="K64" s="440"/>
    </row>
    <row r="65" spans="2:11">
      <c r="B65" s="440"/>
      <c r="C65" s="440"/>
      <c r="D65" s="440"/>
      <c r="E65" s="440"/>
      <c r="F65" s="440"/>
      <c r="G65" s="440"/>
      <c r="H65" s="440"/>
      <c r="I65" s="440"/>
      <c r="J65" s="440"/>
      <c r="K65" s="440"/>
    </row>
    <row r="66" spans="2:11">
      <c r="B66" s="440"/>
      <c r="C66" s="440"/>
      <c r="D66" s="440"/>
      <c r="E66" s="440"/>
      <c r="F66" s="440"/>
      <c r="G66" s="440"/>
      <c r="H66" s="440"/>
      <c r="I66" s="440"/>
      <c r="J66" s="440"/>
      <c r="K66" s="440"/>
    </row>
    <row r="67" spans="2:11">
      <c r="B67" s="440"/>
      <c r="C67" s="440"/>
      <c r="D67" s="440"/>
      <c r="E67" s="440"/>
      <c r="F67" s="440"/>
      <c r="G67" s="440"/>
      <c r="H67" s="440"/>
      <c r="I67" s="440"/>
      <c r="J67" s="440"/>
      <c r="K67" s="440"/>
    </row>
    <row r="68" spans="2:11">
      <c r="B68" s="440"/>
      <c r="C68" s="440"/>
      <c r="D68" s="440"/>
      <c r="E68" s="440"/>
      <c r="F68" s="440"/>
      <c r="G68" s="440"/>
      <c r="H68" s="440"/>
      <c r="I68" s="440"/>
      <c r="J68" s="440"/>
      <c r="K68" s="440"/>
    </row>
    <row r="69" spans="2:11">
      <c r="B69" s="440"/>
      <c r="C69" s="440"/>
      <c r="D69" s="440"/>
      <c r="E69" s="440"/>
      <c r="F69" s="440"/>
      <c r="G69" s="440"/>
      <c r="H69" s="440"/>
      <c r="I69" s="440"/>
      <c r="J69" s="440"/>
      <c r="K69" s="440"/>
    </row>
    <row r="70" spans="2:11">
      <c r="B70" s="440"/>
      <c r="C70" s="440"/>
      <c r="D70" s="440"/>
      <c r="E70" s="440"/>
      <c r="F70" s="440"/>
      <c r="G70" s="440"/>
      <c r="H70" s="440"/>
      <c r="I70" s="440"/>
      <c r="J70" s="440"/>
      <c r="K70" s="440"/>
    </row>
    <row r="71" spans="2:11">
      <c r="B71" s="440"/>
      <c r="C71" s="440"/>
      <c r="D71" s="440"/>
      <c r="E71" s="440"/>
      <c r="F71" s="440"/>
      <c r="G71" s="440"/>
      <c r="H71" s="440"/>
      <c r="I71" s="440"/>
      <c r="J71" s="440"/>
      <c r="K71" s="440"/>
    </row>
    <row r="72" spans="2:11">
      <c r="B72" s="440"/>
      <c r="C72" s="440"/>
      <c r="D72" s="440"/>
      <c r="E72" s="440"/>
      <c r="F72" s="440"/>
      <c r="G72" s="440"/>
      <c r="H72" s="440"/>
      <c r="I72" s="440"/>
      <c r="J72" s="440"/>
      <c r="K72" s="440"/>
    </row>
    <row r="73" spans="2:11">
      <c r="B73" s="440"/>
      <c r="C73" s="440"/>
      <c r="D73" s="440"/>
      <c r="E73" s="440"/>
      <c r="F73" s="440"/>
      <c r="G73" s="440"/>
      <c r="H73" s="440"/>
      <c r="I73" s="440"/>
      <c r="J73" s="440"/>
      <c r="K73" s="440"/>
    </row>
    <row r="74" spans="2:11">
      <c r="B74" s="440"/>
      <c r="C74" s="440"/>
      <c r="D74" s="440"/>
      <c r="E74" s="440"/>
      <c r="F74" s="440"/>
      <c r="G74" s="440"/>
      <c r="H74" s="440"/>
      <c r="I74" s="440"/>
      <c r="J74" s="440"/>
      <c r="K74" s="440"/>
    </row>
    <row r="75" spans="2:11">
      <c r="B75" s="440"/>
      <c r="C75" s="440"/>
      <c r="D75" s="440"/>
      <c r="E75" s="440"/>
      <c r="F75" s="440"/>
      <c r="G75" s="440"/>
      <c r="H75" s="440"/>
      <c r="I75" s="440"/>
      <c r="J75" s="440"/>
      <c r="K75" s="440"/>
    </row>
    <row r="76" spans="2:11">
      <c r="B76" s="440"/>
      <c r="C76" s="440"/>
      <c r="D76" s="440"/>
      <c r="E76" s="440"/>
      <c r="F76" s="440"/>
      <c r="G76" s="440"/>
      <c r="H76" s="440"/>
      <c r="I76" s="440"/>
      <c r="J76" s="440"/>
      <c r="K76" s="440"/>
    </row>
    <row r="77" spans="2:11">
      <c r="B77" s="440"/>
      <c r="C77" s="440"/>
      <c r="D77" s="440"/>
      <c r="E77" s="440"/>
      <c r="F77" s="440"/>
      <c r="G77" s="440"/>
      <c r="H77" s="440"/>
      <c r="I77" s="440"/>
      <c r="J77" s="440"/>
      <c r="K77" s="440"/>
    </row>
    <row r="78" spans="2:11">
      <c r="B78" s="440"/>
      <c r="C78" s="440"/>
      <c r="D78" s="440"/>
      <c r="E78" s="440"/>
      <c r="F78" s="440"/>
      <c r="G78" s="440"/>
      <c r="H78" s="440"/>
      <c r="I78" s="440"/>
      <c r="J78" s="440"/>
      <c r="K78" s="440"/>
    </row>
    <row r="79" spans="2:11">
      <c r="B79" s="440"/>
      <c r="C79" s="440"/>
      <c r="D79" s="440"/>
      <c r="E79" s="440"/>
      <c r="F79" s="440"/>
      <c r="G79" s="440"/>
      <c r="H79" s="440"/>
      <c r="I79" s="440"/>
      <c r="J79" s="440"/>
      <c r="K79" s="440"/>
    </row>
    <row r="80" spans="2:11">
      <c r="B80" s="440"/>
      <c r="C80" s="440"/>
      <c r="D80" s="440"/>
      <c r="E80" s="440"/>
      <c r="F80" s="440"/>
      <c r="G80" s="440"/>
      <c r="H80" s="440"/>
      <c r="I80" s="440"/>
      <c r="J80" s="440"/>
      <c r="K80" s="440"/>
    </row>
    <row r="81" spans="2:11">
      <c r="B81" s="440"/>
      <c r="C81" s="440"/>
      <c r="D81" s="440"/>
      <c r="E81" s="440"/>
      <c r="F81" s="440"/>
      <c r="G81" s="440"/>
      <c r="H81" s="440"/>
      <c r="I81" s="440"/>
      <c r="J81" s="440"/>
      <c r="K81" s="440"/>
    </row>
    <row r="82" spans="2:11">
      <c r="B82" s="440"/>
      <c r="C82" s="440"/>
      <c r="D82" s="440"/>
      <c r="E82" s="440"/>
      <c r="F82" s="440"/>
      <c r="G82" s="440"/>
      <c r="H82" s="440"/>
      <c r="I82" s="440"/>
      <c r="J82" s="440"/>
      <c r="K82" s="440"/>
    </row>
    <row r="83" spans="2:11">
      <c r="B83" s="440"/>
      <c r="C83" s="440"/>
      <c r="D83" s="440"/>
      <c r="E83" s="440"/>
      <c r="F83" s="440"/>
      <c r="G83" s="440"/>
      <c r="H83" s="440"/>
      <c r="I83" s="440"/>
      <c r="J83" s="440"/>
      <c r="K83" s="440"/>
    </row>
    <row r="84" spans="2:11">
      <c r="B84" s="440"/>
      <c r="C84" s="440"/>
      <c r="D84" s="440"/>
      <c r="E84" s="440"/>
      <c r="F84" s="440"/>
      <c r="G84" s="440"/>
      <c r="H84" s="440"/>
      <c r="I84" s="440"/>
      <c r="J84" s="440"/>
      <c r="K84" s="440"/>
    </row>
    <row r="85" spans="2:11">
      <c r="B85" s="440"/>
      <c r="C85" s="440"/>
      <c r="D85" s="440"/>
      <c r="E85" s="440"/>
      <c r="F85" s="440"/>
      <c r="G85" s="440"/>
      <c r="H85" s="440"/>
      <c r="I85" s="440"/>
      <c r="J85" s="440"/>
      <c r="K85" s="440"/>
    </row>
    <row r="86" spans="2:11">
      <c r="B86" s="440"/>
      <c r="C86" s="440"/>
      <c r="D86" s="440"/>
      <c r="E86" s="440"/>
      <c r="F86" s="440"/>
      <c r="G86" s="440"/>
      <c r="H86" s="440"/>
      <c r="I86" s="440"/>
      <c r="J86" s="440"/>
      <c r="K86" s="440"/>
    </row>
    <row r="87" spans="2:11">
      <c r="B87" s="440"/>
      <c r="C87" s="440"/>
      <c r="D87" s="440"/>
      <c r="E87" s="440"/>
      <c r="F87" s="440"/>
      <c r="G87" s="440"/>
      <c r="H87" s="440"/>
      <c r="I87" s="440"/>
      <c r="J87" s="440"/>
      <c r="K87" s="440"/>
    </row>
    <row r="88" spans="2:11">
      <c r="B88" s="440"/>
      <c r="C88" s="440"/>
      <c r="D88" s="440"/>
      <c r="E88" s="440"/>
      <c r="F88" s="440"/>
      <c r="G88" s="440"/>
      <c r="H88" s="440"/>
      <c r="I88" s="440"/>
      <c r="J88" s="440"/>
      <c r="K88" s="440"/>
    </row>
    <row r="89" spans="2:11">
      <c r="B89" s="440"/>
      <c r="C89" s="440"/>
      <c r="D89" s="440"/>
      <c r="E89" s="440"/>
      <c r="F89" s="440"/>
      <c r="G89" s="440"/>
      <c r="H89" s="440"/>
      <c r="I89" s="440"/>
      <c r="J89" s="440"/>
      <c r="K89" s="440"/>
    </row>
    <row r="90" spans="2:11">
      <c r="B90" s="440"/>
      <c r="C90" s="440"/>
      <c r="D90" s="440"/>
      <c r="E90" s="440"/>
      <c r="F90" s="440"/>
      <c r="G90" s="440"/>
      <c r="H90" s="440"/>
      <c r="I90" s="440"/>
      <c r="J90" s="440"/>
      <c r="K90" s="440"/>
    </row>
    <row r="91" spans="2:11">
      <c r="B91" s="440"/>
      <c r="C91" s="440"/>
      <c r="D91" s="440"/>
      <c r="E91" s="440"/>
      <c r="F91" s="440"/>
      <c r="G91" s="440"/>
      <c r="H91" s="440"/>
      <c r="I91" s="440"/>
      <c r="J91" s="440"/>
      <c r="K91" s="440"/>
    </row>
    <row r="92" spans="2:11">
      <c r="B92" s="440"/>
      <c r="C92" s="440"/>
      <c r="D92" s="440"/>
      <c r="E92" s="440"/>
      <c r="F92" s="440"/>
      <c r="G92" s="440"/>
      <c r="H92" s="440"/>
      <c r="I92" s="440"/>
      <c r="J92" s="440"/>
      <c r="K92" s="440"/>
    </row>
    <row r="93" spans="2:11">
      <c r="B93" s="440"/>
      <c r="C93" s="440"/>
      <c r="D93" s="440"/>
      <c r="E93" s="440"/>
      <c r="F93" s="440"/>
      <c r="G93" s="440"/>
      <c r="H93" s="440"/>
      <c r="I93" s="440"/>
      <c r="J93" s="440"/>
      <c r="K93" s="440"/>
    </row>
    <row r="94" spans="2:11">
      <c r="B94" s="440"/>
      <c r="C94" s="440"/>
      <c r="D94" s="440"/>
      <c r="E94" s="440"/>
      <c r="F94" s="440"/>
      <c r="G94" s="440"/>
      <c r="H94" s="440"/>
      <c r="I94" s="440"/>
      <c r="J94" s="440"/>
      <c r="K94" s="440"/>
    </row>
    <row r="95" spans="2:11">
      <c r="B95" s="440"/>
      <c r="C95" s="440"/>
      <c r="D95" s="440"/>
      <c r="E95" s="440"/>
      <c r="F95" s="440"/>
      <c r="G95" s="440"/>
      <c r="H95" s="440"/>
      <c r="I95" s="440"/>
      <c r="J95" s="440"/>
      <c r="K95" s="440"/>
    </row>
    <row r="96" spans="2:11">
      <c r="B96" s="440"/>
      <c r="C96" s="440"/>
      <c r="D96" s="440"/>
      <c r="E96" s="440"/>
      <c r="F96" s="440"/>
      <c r="G96" s="440"/>
      <c r="H96" s="440"/>
      <c r="I96" s="440"/>
      <c r="J96" s="440"/>
      <c r="K96" s="440"/>
    </row>
    <row r="97" spans="2:11">
      <c r="B97" s="440"/>
      <c r="C97" s="440"/>
      <c r="D97" s="440"/>
      <c r="E97" s="440"/>
      <c r="F97" s="440"/>
      <c r="G97" s="440"/>
      <c r="H97" s="440"/>
      <c r="I97" s="440"/>
      <c r="J97" s="440"/>
      <c r="K97" s="440"/>
    </row>
    <row r="98" spans="2:11">
      <c r="B98" s="440"/>
      <c r="C98" s="440"/>
      <c r="D98" s="440"/>
      <c r="E98" s="440"/>
      <c r="F98" s="440"/>
      <c r="G98" s="440"/>
      <c r="H98" s="440"/>
      <c r="I98" s="440"/>
      <c r="J98" s="440"/>
      <c r="K98" s="440"/>
    </row>
    <row r="99" spans="2:11">
      <c r="B99" s="440"/>
      <c r="C99" s="440"/>
      <c r="D99" s="440"/>
      <c r="E99" s="440"/>
      <c r="F99" s="440"/>
      <c r="G99" s="440"/>
      <c r="H99" s="440"/>
      <c r="I99" s="440"/>
      <c r="J99" s="440"/>
      <c r="K99" s="440"/>
    </row>
    <row r="100" spans="2:11">
      <c r="B100" s="440"/>
      <c r="C100" s="440"/>
      <c r="D100" s="440"/>
      <c r="E100" s="440"/>
      <c r="F100" s="440"/>
      <c r="G100" s="440"/>
      <c r="H100" s="440"/>
      <c r="I100" s="440"/>
      <c r="J100" s="440"/>
      <c r="K100" s="440"/>
    </row>
    <row r="101" spans="2:11">
      <c r="B101" s="440"/>
      <c r="C101" s="440"/>
      <c r="D101" s="440"/>
      <c r="E101" s="440"/>
      <c r="F101" s="440"/>
      <c r="G101" s="440"/>
      <c r="H101" s="440"/>
      <c r="I101" s="440"/>
      <c r="J101" s="440"/>
      <c r="K101" s="440"/>
    </row>
    <row r="102" spans="2:11">
      <c r="B102" s="440"/>
      <c r="C102" s="440"/>
      <c r="D102" s="440"/>
      <c r="E102" s="440"/>
      <c r="F102" s="440"/>
      <c r="G102" s="440"/>
      <c r="H102" s="440"/>
      <c r="I102" s="440"/>
      <c r="J102" s="440"/>
      <c r="K102" s="440"/>
    </row>
    <row r="103" spans="2:11">
      <c r="B103" s="440"/>
      <c r="C103" s="440"/>
      <c r="D103" s="440"/>
      <c r="E103" s="440"/>
      <c r="F103" s="440"/>
      <c r="G103" s="440"/>
      <c r="H103" s="440"/>
      <c r="I103" s="440"/>
      <c r="J103" s="440"/>
      <c r="K103" s="440"/>
    </row>
    <row r="104" spans="2:11">
      <c r="B104" s="440"/>
      <c r="C104" s="440"/>
      <c r="D104" s="440"/>
      <c r="E104" s="440"/>
      <c r="F104" s="440"/>
      <c r="G104" s="440"/>
      <c r="H104" s="440"/>
      <c r="I104" s="440"/>
      <c r="J104" s="440"/>
      <c r="K104" s="440"/>
    </row>
    <row r="105" spans="2:11">
      <c r="B105" s="440"/>
      <c r="C105" s="440"/>
      <c r="D105" s="440"/>
      <c r="E105" s="440"/>
      <c r="F105" s="440"/>
      <c r="G105" s="440"/>
      <c r="H105" s="440"/>
      <c r="I105" s="440"/>
      <c r="J105" s="440"/>
      <c r="K105" s="440"/>
    </row>
    <row r="106" spans="2:11">
      <c r="B106" s="440"/>
      <c r="C106" s="440"/>
      <c r="D106" s="440"/>
      <c r="E106" s="440"/>
      <c r="F106" s="440"/>
      <c r="G106" s="440"/>
      <c r="H106" s="440"/>
      <c r="I106" s="440"/>
      <c r="J106" s="440"/>
      <c r="K106" s="440"/>
    </row>
    <row r="107" spans="2:11">
      <c r="B107" s="440"/>
      <c r="C107" s="440"/>
      <c r="D107" s="440"/>
      <c r="E107" s="440"/>
      <c r="F107" s="440"/>
      <c r="G107" s="440"/>
      <c r="H107" s="440"/>
      <c r="I107" s="440"/>
      <c r="J107" s="440"/>
      <c r="K107" s="440"/>
    </row>
    <row r="108" spans="2:11">
      <c r="B108" s="440"/>
      <c r="C108" s="440"/>
      <c r="D108" s="440"/>
      <c r="E108" s="440"/>
      <c r="F108" s="440"/>
      <c r="G108" s="440"/>
      <c r="H108" s="440"/>
      <c r="I108" s="440"/>
      <c r="J108" s="440"/>
      <c r="K108" s="440"/>
    </row>
    <row r="109" spans="2:11">
      <c r="B109" s="440"/>
      <c r="C109" s="440"/>
      <c r="D109" s="440"/>
      <c r="E109" s="440"/>
      <c r="F109" s="440"/>
      <c r="G109" s="440"/>
      <c r="H109" s="440"/>
      <c r="I109" s="440"/>
      <c r="J109" s="440"/>
      <c r="K109" s="440"/>
    </row>
    <row r="110" spans="2:11">
      <c r="B110" s="440"/>
      <c r="C110" s="440"/>
      <c r="D110" s="440"/>
      <c r="E110" s="440"/>
      <c r="F110" s="440"/>
      <c r="G110" s="440"/>
      <c r="H110" s="440"/>
      <c r="I110" s="440"/>
      <c r="J110" s="440"/>
      <c r="K110" s="440"/>
    </row>
    <row r="111" spans="2:11">
      <c r="B111" s="440"/>
      <c r="C111" s="440"/>
      <c r="D111" s="440"/>
      <c r="E111" s="440"/>
      <c r="F111" s="440"/>
      <c r="G111" s="440"/>
      <c r="H111" s="440"/>
      <c r="I111" s="440"/>
      <c r="J111" s="440"/>
      <c r="K111" s="440"/>
    </row>
    <row r="112" spans="2:11">
      <c r="B112" s="440"/>
      <c r="C112" s="440"/>
      <c r="D112" s="440"/>
      <c r="E112" s="440"/>
      <c r="F112" s="440"/>
      <c r="G112" s="440"/>
      <c r="H112" s="440"/>
      <c r="I112" s="440"/>
      <c r="J112" s="440"/>
      <c r="K112" s="440"/>
    </row>
    <row r="113" spans="2:11">
      <c r="B113" s="440"/>
      <c r="C113" s="440"/>
      <c r="D113" s="440"/>
      <c r="E113" s="440"/>
      <c r="F113" s="440"/>
      <c r="G113" s="440"/>
      <c r="H113" s="440"/>
      <c r="I113" s="440"/>
      <c r="J113" s="440"/>
      <c r="K113" s="440"/>
    </row>
    <row r="114" spans="2:11">
      <c r="B114" s="440"/>
      <c r="C114" s="440"/>
      <c r="D114" s="440"/>
      <c r="E114" s="440"/>
      <c r="F114" s="440"/>
      <c r="G114" s="440"/>
      <c r="H114" s="440"/>
      <c r="I114" s="440"/>
      <c r="J114" s="440"/>
      <c r="K114" s="440"/>
    </row>
    <row r="115" spans="2:11">
      <c r="B115" s="440"/>
      <c r="C115" s="440"/>
      <c r="D115" s="440"/>
      <c r="E115" s="440"/>
      <c r="F115" s="440"/>
      <c r="G115" s="440"/>
      <c r="H115" s="440"/>
      <c r="I115" s="440"/>
      <c r="J115" s="440"/>
      <c r="K115" s="440"/>
    </row>
    <row r="116" spans="2:11">
      <c r="B116" s="440"/>
      <c r="C116" s="440"/>
      <c r="D116" s="440"/>
      <c r="E116" s="440"/>
      <c r="F116" s="440"/>
      <c r="G116" s="440"/>
      <c r="H116" s="440"/>
      <c r="I116" s="440"/>
      <c r="J116" s="440"/>
      <c r="K116" s="440"/>
    </row>
    <row r="117" spans="2:11">
      <c r="B117" s="440"/>
      <c r="C117" s="440"/>
      <c r="D117" s="440"/>
      <c r="E117" s="440"/>
      <c r="F117" s="440"/>
      <c r="G117" s="440"/>
      <c r="H117" s="440"/>
      <c r="I117" s="440"/>
      <c r="J117" s="440"/>
      <c r="K117" s="440"/>
    </row>
    <row r="118" spans="2:11">
      <c r="B118" s="440"/>
      <c r="C118" s="440"/>
      <c r="D118" s="440"/>
      <c r="E118" s="440"/>
      <c r="F118" s="440"/>
      <c r="G118" s="440"/>
      <c r="H118" s="440"/>
      <c r="I118" s="440"/>
      <c r="J118" s="440"/>
      <c r="K118" s="440"/>
    </row>
    <row r="119" spans="2:11">
      <c r="B119" s="440"/>
      <c r="C119" s="440"/>
      <c r="D119" s="440"/>
      <c r="E119" s="440"/>
      <c r="F119" s="440"/>
      <c r="G119" s="440"/>
      <c r="H119" s="440"/>
      <c r="I119" s="440"/>
      <c r="J119" s="440"/>
      <c r="K119" s="440"/>
    </row>
    <row r="120" spans="2:11">
      <c r="B120" s="440"/>
      <c r="C120" s="440"/>
      <c r="D120" s="440"/>
      <c r="E120" s="440"/>
      <c r="F120" s="440"/>
      <c r="G120" s="440"/>
      <c r="H120" s="440"/>
      <c r="I120" s="440"/>
      <c r="J120" s="440"/>
      <c r="K120" s="440"/>
    </row>
    <row r="121" spans="2:11">
      <c r="B121" s="440"/>
      <c r="C121" s="440"/>
      <c r="D121" s="440"/>
      <c r="E121" s="440"/>
      <c r="F121" s="440"/>
      <c r="G121" s="440"/>
      <c r="H121" s="440"/>
      <c r="I121" s="440"/>
      <c r="J121" s="440"/>
      <c r="K121" s="440"/>
    </row>
    <row r="122" spans="2:11">
      <c r="B122" s="440"/>
      <c r="C122" s="440"/>
      <c r="D122" s="440"/>
      <c r="E122" s="440"/>
      <c r="F122" s="440"/>
      <c r="G122" s="440"/>
      <c r="H122" s="440"/>
      <c r="I122" s="440"/>
      <c r="J122" s="440"/>
      <c r="K122" s="440"/>
    </row>
    <row r="123" spans="2:11">
      <c r="B123" s="440"/>
      <c r="C123" s="440"/>
      <c r="D123" s="440"/>
      <c r="E123" s="440"/>
      <c r="F123" s="440"/>
      <c r="G123" s="440"/>
      <c r="H123" s="440"/>
      <c r="I123" s="440"/>
      <c r="J123" s="440"/>
      <c r="K123" s="440"/>
    </row>
    <row r="124" spans="2:11">
      <c r="B124" s="440"/>
      <c r="C124" s="440"/>
      <c r="D124" s="440"/>
      <c r="E124" s="440"/>
      <c r="F124" s="440"/>
      <c r="G124" s="440"/>
      <c r="H124" s="440"/>
      <c r="I124" s="440"/>
      <c r="J124" s="440"/>
      <c r="K124" s="440"/>
    </row>
    <row r="125" spans="2:11">
      <c r="B125" s="440"/>
      <c r="C125" s="440"/>
      <c r="D125" s="440"/>
      <c r="E125" s="440"/>
      <c r="F125" s="440"/>
      <c r="G125" s="440"/>
      <c r="H125" s="440"/>
      <c r="I125" s="440"/>
      <c r="J125" s="440"/>
      <c r="K125" s="440"/>
    </row>
    <row r="126" spans="2:11">
      <c r="B126" s="440"/>
      <c r="C126" s="440"/>
      <c r="D126" s="440"/>
      <c r="E126" s="440"/>
      <c r="F126" s="440"/>
      <c r="G126" s="440"/>
      <c r="H126" s="440"/>
      <c r="I126" s="440"/>
      <c r="J126" s="440"/>
      <c r="K126" s="440"/>
    </row>
    <row r="127" spans="2:11">
      <c r="B127" s="440"/>
      <c r="C127" s="440"/>
      <c r="D127" s="440"/>
      <c r="E127" s="440"/>
      <c r="F127" s="440"/>
      <c r="G127" s="440"/>
      <c r="H127" s="440"/>
      <c r="I127" s="440"/>
      <c r="J127" s="440"/>
      <c r="K127" s="440"/>
    </row>
    <row r="128" spans="2:11">
      <c r="B128" s="440"/>
      <c r="C128" s="440"/>
      <c r="D128" s="440"/>
      <c r="E128" s="440"/>
      <c r="F128" s="440"/>
      <c r="G128" s="440"/>
      <c r="H128" s="440"/>
      <c r="I128" s="440"/>
      <c r="J128" s="440"/>
      <c r="K128" s="440"/>
    </row>
    <row r="129" spans="2:11">
      <c r="B129" s="440"/>
      <c r="C129" s="440"/>
      <c r="D129" s="440"/>
      <c r="E129" s="440"/>
      <c r="F129" s="440"/>
      <c r="G129" s="440"/>
      <c r="H129" s="440"/>
      <c r="I129" s="440"/>
      <c r="J129" s="440"/>
      <c r="K129" s="440"/>
    </row>
    <row r="130" spans="2:11">
      <c r="B130" s="440"/>
      <c r="C130" s="440"/>
      <c r="D130" s="440"/>
      <c r="E130" s="440"/>
      <c r="F130" s="440"/>
      <c r="G130" s="440"/>
      <c r="H130" s="440"/>
      <c r="I130" s="440"/>
      <c r="J130" s="440"/>
      <c r="K130" s="440"/>
    </row>
    <row r="131" spans="2:11">
      <c r="B131" s="440"/>
      <c r="C131" s="440"/>
      <c r="D131" s="440"/>
      <c r="E131" s="440"/>
      <c r="F131" s="440"/>
      <c r="G131" s="440"/>
      <c r="H131" s="440"/>
      <c r="I131" s="440"/>
      <c r="J131" s="440"/>
      <c r="K131" s="440"/>
    </row>
    <row r="132" spans="2:11">
      <c r="B132" s="440"/>
      <c r="C132" s="440"/>
      <c r="D132" s="440"/>
      <c r="E132" s="440"/>
      <c r="F132" s="440"/>
      <c r="G132" s="440"/>
      <c r="H132" s="440"/>
      <c r="I132" s="440"/>
      <c r="J132" s="440"/>
      <c r="K132" s="440"/>
    </row>
    <row r="133" spans="2:11">
      <c r="B133" s="440"/>
      <c r="C133" s="440"/>
      <c r="D133" s="440"/>
      <c r="E133" s="440"/>
      <c r="F133" s="440"/>
      <c r="G133" s="440"/>
      <c r="H133" s="440"/>
      <c r="I133" s="440"/>
      <c r="J133" s="440"/>
      <c r="K133" s="440"/>
    </row>
    <row r="134" spans="2:11">
      <c r="B134" s="440"/>
      <c r="C134" s="440"/>
      <c r="D134" s="440"/>
      <c r="E134" s="440"/>
      <c r="F134" s="440"/>
      <c r="G134" s="440"/>
      <c r="H134" s="440"/>
      <c r="I134" s="440"/>
      <c r="J134" s="440"/>
      <c r="K134" s="440"/>
    </row>
    <row r="135" spans="2:11">
      <c r="B135" s="440"/>
      <c r="C135" s="440"/>
      <c r="D135" s="440"/>
      <c r="E135" s="440"/>
      <c r="F135" s="440"/>
      <c r="G135" s="440"/>
      <c r="H135" s="440"/>
      <c r="I135" s="440"/>
      <c r="J135" s="440"/>
      <c r="K135" s="440"/>
    </row>
    <row r="136" spans="2:11">
      <c r="B136" s="440"/>
      <c r="C136" s="440"/>
      <c r="D136" s="440"/>
      <c r="E136" s="440"/>
      <c r="F136" s="440"/>
      <c r="G136" s="440"/>
      <c r="H136" s="440"/>
      <c r="I136" s="440"/>
      <c r="J136" s="440"/>
      <c r="K136" s="440"/>
    </row>
    <row r="137" spans="2:11">
      <c r="B137" s="440"/>
      <c r="C137" s="440"/>
      <c r="D137" s="440"/>
      <c r="E137" s="440"/>
      <c r="F137" s="440"/>
      <c r="G137" s="440"/>
      <c r="H137" s="440"/>
      <c r="I137" s="440"/>
      <c r="J137" s="440"/>
      <c r="K137" s="440"/>
    </row>
    <row r="138" spans="2:11">
      <c r="B138" s="440"/>
      <c r="C138" s="440"/>
      <c r="D138" s="440"/>
      <c r="E138" s="440"/>
      <c r="F138" s="440"/>
      <c r="G138" s="440"/>
      <c r="H138" s="440"/>
      <c r="I138" s="440"/>
      <c r="J138" s="440"/>
      <c r="K138" s="440"/>
    </row>
    <row r="139" spans="2:11">
      <c r="B139" s="440"/>
      <c r="C139" s="440"/>
      <c r="D139" s="440"/>
      <c r="E139" s="440"/>
      <c r="F139" s="440"/>
      <c r="G139" s="440"/>
      <c r="H139" s="440"/>
      <c r="I139" s="440"/>
      <c r="J139" s="440"/>
      <c r="K139" s="440"/>
    </row>
    <row r="140" spans="2:11">
      <c r="B140" s="440"/>
      <c r="C140" s="440"/>
      <c r="D140" s="440"/>
      <c r="E140" s="440"/>
      <c r="F140" s="440"/>
      <c r="G140" s="440"/>
      <c r="H140" s="440"/>
      <c r="I140" s="440"/>
      <c r="J140" s="440"/>
      <c r="K140" s="440"/>
    </row>
    <row r="141" spans="2:11">
      <c r="B141" s="440"/>
      <c r="C141" s="440"/>
      <c r="D141" s="440"/>
      <c r="E141" s="440"/>
      <c r="F141" s="440"/>
      <c r="G141" s="440"/>
      <c r="H141" s="440"/>
      <c r="I141" s="440"/>
      <c r="J141" s="440"/>
      <c r="K141" s="440"/>
    </row>
    <row r="142" spans="2:11">
      <c r="B142" s="440"/>
      <c r="C142" s="440"/>
      <c r="D142" s="440"/>
      <c r="E142" s="440"/>
      <c r="F142" s="440"/>
      <c r="G142" s="440"/>
      <c r="H142" s="440"/>
      <c r="I142" s="440"/>
      <c r="J142" s="440"/>
      <c r="K142" s="440"/>
    </row>
    <row r="143" spans="2:11">
      <c r="B143" s="440"/>
      <c r="C143" s="440"/>
      <c r="D143" s="440"/>
      <c r="E143" s="440"/>
      <c r="F143" s="440"/>
      <c r="G143" s="440"/>
      <c r="H143" s="440"/>
      <c r="I143" s="440"/>
      <c r="J143" s="440"/>
      <c r="K143" s="440"/>
    </row>
    <row r="144" spans="2:11">
      <c r="B144" s="440"/>
      <c r="C144" s="440"/>
      <c r="D144" s="440"/>
      <c r="E144" s="440"/>
      <c r="F144" s="440"/>
      <c r="G144" s="440"/>
      <c r="H144" s="440"/>
      <c r="I144" s="440"/>
      <c r="J144" s="440"/>
      <c r="K144" s="440"/>
    </row>
    <row r="145" spans="2:11">
      <c r="B145" s="440"/>
      <c r="C145" s="440"/>
      <c r="D145" s="440"/>
      <c r="E145" s="440"/>
      <c r="F145" s="440"/>
      <c r="G145" s="440"/>
      <c r="H145" s="440"/>
      <c r="I145" s="440"/>
      <c r="J145" s="440"/>
      <c r="K145" s="440"/>
    </row>
    <row r="146" spans="2:11">
      <c r="B146" s="440"/>
      <c r="C146" s="440"/>
      <c r="D146" s="440"/>
      <c r="E146" s="440"/>
      <c r="F146" s="440"/>
      <c r="G146" s="440"/>
      <c r="H146" s="440"/>
      <c r="I146" s="440"/>
      <c r="J146" s="440"/>
      <c r="K146" s="440"/>
    </row>
    <row r="147" spans="2:11">
      <c r="B147" s="440"/>
      <c r="C147" s="440"/>
      <c r="D147" s="440"/>
      <c r="E147" s="440"/>
      <c r="F147" s="440"/>
      <c r="G147" s="440"/>
      <c r="H147" s="440"/>
      <c r="I147" s="440"/>
      <c r="J147" s="440"/>
      <c r="K147" s="440"/>
    </row>
    <row r="148" spans="2:11">
      <c r="B148" s="440"/>
      <c r="C148" s="440"/>
      <c r="D148" s="440"/>
      <c r="E148" s="440"/>
      <c r="F148" s="440"/>
      <c r="G148" s="440"/>
      <c r="H148" s="440"/>
      <c r="I148" s="440"/>
      <c r="J148" s="440"/>
      <c r="K148" s="440"/>
    </row>
    <row r="149" spans="2:11">
      <c r="B149" s="440"/>
      <c r="C149" s="440"/>
      <c r="D149" s="440"/>
      <c r="E149" s="440"/>
      <c r="F149" s="440"/>
      <c r="G149" s="440"/>
      <c r="H149" s="440"/>
      <c r="I149" s="440"/>
      <c r="J149" s="440"/>
      <c r="K149" s="440"/>
    </row>
    <row r="150" spans="2:11">
      <c r="B150" s="440"/>
      <c r="C150" s="440"/>
      <c r="D150" s="440"/>
      <c r="E150" s="440"/>
      <c r="F150" s="440"/>
      <c r="G150" s="440"/>
      <c r="H150" s="440"/>
      <c r="I150" s="440"/>
      <c r="J150" s="440"/>
      <c r="K150" s="440"/>
    </row>
    <row r="151" spans="2:11">
      <c r="B151" s="440"/>
      <c r="C151" s="440"/>
      <c r="D151" s="440"/>
      <c r="E151" s="440"/>
      <c r="F151" s="440"/>
      <c r="G151" s="440"/>
      <c r="H151" s="440"/>
      <c r="I151" s="440"/>
      <c r="J151" s="440"/>
      <c r="K151" s="440"/>
    </row>
    <row r="152" spans="2:11">
      <c r="B152" s="440"/>
      <c r="C152" s="440"/>
      <c r="D152" s="440"/>
      <c r="E152" s="440"/>
      <c r="F152" s="440"/>
      <c r="G152" s="440"/>
      <c r="H152" s="440"/>
      <c r="I152" s="440"/>
      <c r="J152" s="440"/>
      <c r="K152" s="440"/>
    </row>
    <row r="153" spans="2:11">
      <c r="B153" s="440"/>
      <c r="C153" s="440"/>
      <c r="D153" s="440"/>
      <c r="E153" s="440"/>
      <c r="F153" s="440"/>
      <c r="G153" s="440"/>
      <c r="H153" s="440"/>
      <c r="I153" s="440"/>
      <c r="J153" s="440"/>
      <c r="K153" s="440"/>
    </row>
    <row r="154" spans="2:11">
      <c r="B154" s="440"/>
      <c r="C154" s="440"/>
      <c r="D154" s="440"/>
      <c r="E154" s="440"/>
      <c r="F154" s="440"/>
      <c r="G154" s="440"/>
      <c r="H154" s="440"/>
      <c r="I154" s="440"/>
      <c r="J154" s="440"/>
      <c r="K154" s="440"/>
    </row>
    <row r="155" spans="2:11">
      <c r="B155" s="440"/>
      <c r="C155" s="440"/>
      <c r="D155" s="440"/>
      <c r="E155" s="440"/>
      <c r="F155" s="440"/>
      <c r="G155" s="440"/>
      <c r="H155" s="440"/>
      <c r="I155" s="440"/>
      <c r="J155" s="440"/>
      <c r="K155" s="440"/>
    </row>
    <row r="156" spans="2:11">
      <c r="B156" s="440"/>
      <c r="C156" s="440"/>
      <c r="D156" s="440"/>
      <c r="E156" s="440"/>
      <c r="F156" s="440"/>
      <c r="G156" s="440"/>
      <c r="H156" s="440"/>
      <c r="I156" s="440"/>
      <c r="J156" s="440"/>
      <c r="K156" s="440"/>
    </row>
    <row r="157" spans="2:11">
      <c r="B157" s="440"/>
      <c r="C157" s="440"/>
      <c r="D157" s="440"/>
      <c r="E157" s="440"/>
      <c r="F157" s="440"/>
      <c r="G157" s="440"/>
      <c r="H157" s="440"/>
      <c r="I157" s="440"/>
      <c r="J157" s="440"/>
      <c r="K157" s="440"/>
    </row>
    <row r="158" spans="2:11">
      <c r="B158" s="440"/>
      <c r="C158" s="440"/>
      <c r="D158" s="440"/>
      <c r="E158" s="440"/>
      <c r="F158" s="440"/>
      <c r="G158" s="440"/>
      <c r="H158" s="440"/>
      <c r="I158" s="440"/>
      <c r="J158" s="440"/>
      <c r="K158" s="440"/>
    </row>
    <row r="159" spans="2:11">
      <c r="B159" s="440"/>
      <c r="C159" s="440"/>
      <c r="D159" s="440"/>
      <c r="E159" s="440"/>
      <c r="F159" s="440"/>
      <c r="G159" s="440"/>
      <c r="H159" s="440"/>
      <c r="I159" s="440"/>
      <c r="J159" s="440"/>
      <c r="K159" s="440"/>
    </row>
    <row r="160" spans="2:11">
      <c r="B160" s="440"/>
      <c r="C160" s="440"/>
      <c r="D160" s="440"/>
      <c r="E160" s="440"/>
      <c r="F160" s="440"/>
      <c r="G160" s="440"/>
      <c r="H160" s="440"/>
      <c r="I160" s="440"/>
      <c r="J160" s="440"/>
      <c r="K160" s="440"/>
    </row>
    <row r="161" spans="2:11">
      <c r="B161" s="440"/>
      <c r="C161" s="440"/>
      <c r="D161" s="440"/>
      <c r="E161" s="440"/>
      <c r="F161" s="440"/>
      <c r="G161" s="440"/>
      <c r="H161" s="440"/>
      <c r="I161" s="440"/>
      <c r="J161" s="440"/>
      <c r="K161" s="440"/>
    </row>
    <row r="162" spans="2:11">
      <c r="B162" s="440"/>
      <c r="C162" s="440"/>
      <c r="D162" s="440"/>
      <c r="E162" s="440"/>
      <c r="F162" s="440"/>
      <c r="G162" s="440"/>
      <c r="H162" s="440"/>
      <c r="I162" s="440"/>
      <c r="J162" s="440"/>
      <c r="K162" s="440"/>
    </row>
    <row r="163" spans="2:11">
      <c r="B163" s="440"/>
      <c r="C163" s="440"/>
      <c r="D163" s="440"/>
      <c r="E163" s="440"/>
      <c r="F163" s="440"/>
      <c r="G163" s="440"/>
      <c r="H163" s="440"/>
      <c r="I163" s="440"/>
      <c r="J163" s="440"/>
      <c r="K163" s="440"/>
    </row>
    <row r="164" spans="2:11">
      <c r="B164" s="440"/>
      <c r="C164" s="440"/>
      <c r="D164" s="440"/>
      <c r="E164" s="440"/>
      <c r="F164" s="440"/>
      <c r="G164" s="440"/>
      <c r="H164" s="440"/>
      <c r="I164" s="440"/>
      <c r="J164" s="440"/>
      <c r="K164" s="440"/>
    </row>
    <row r="165" spans="2:11">
      <c r="B165" s="440"/>
      <c r="C165" s="440"/>
      <c r="D165" s="440"/>
      <c r="E165" s="440"/>
      <c r="F165" s="440"/>
      <c r="G165" s="440"/>
      <c r="H165" s="440"/>
      <c r="I165" s="440"/>
      <c r="J165" s="440"/>
      <c r="K165" s="440"/>
    </row>
    <row r="166" spans="2:11">
      <c r="B166" s="440"/>
      <c r="C166" s="440"/>
      <c r="D166" s="440"/>
      <c r="E166" s="440"/>
      <c r="F166" s="440"/>
      <c r="G166" s="440"/>
      <c r="H166" s="440"/>
      <c r="I166" s="440"/>
      <c r="J166" s="440"/>
      <c r="K166" s="440"/>
    </row>
    <row r="167" spans="2:11">
      <c r="B167" s="440"/>
      <c r="C167" s="440"/>
      <c r="D167" s="440"/>
      <c r="E167" s="440"/>
      <c r="F167" s="440"/>
      <c r="G167" s="440"/>
      <c r="H167" s="440"/>
      <c r="I167" s="440"/>
      <c r="J167" s="440"/>
      <c r="K167" s="440"/>
    </row>
    <row r="168" spans="2:11">
      <c r="B168" s="440"/>
      <c r="C168" s="440"/>
      <c r="D168" s="440"/>
      <c r="E168" s="440"/>
      <c r="F168" s="440"/>
      <c r="G168" s="440"/>
      <c r="H168" s="440"/>
      <c r="I168" s="440"/>
      <c r="J168" s="440"/>
      <c r="K168" s="440"/>
    </row>
    <row r="169" spans="2:11">
      <c r="B169" s="440"/>
      <c r="C169" s="440"/>
      <c r="D169" s="440"/>
      <c r="E169" s="440"/>
      <c r="F169" s="440"/>
      <c r="G169" s="440"/>
      <c r="H169" s="440"/>
      <c r="I169" s="440"/>
      <c r="J169" s="440"/>
      <c r="K169" s="440"/>
    </row>
    <row r="170" spans="2:11">
      <c r="B170" s="440"/>
      <c r="C170" s="440"/>
      <c r="D170" s="440"/>
      <c r="E170" s="440"/>
      <c r="F170" s="440"/>
      <c r="G170" s="440"/>
      <c r="H170" s="440"/>
      <c r="I170" s="440"/>
      <c r="J170" s="440"/>
      <c r="K170" s="440"/>
    </row>
    <row r="171" spans="2:11">
      <c r="B171" s="440"/>
      <c r="C171" s="440"/>
      <c r="D171" s="440"/>
      <c r="E171" s="440"/>
      <c r="F171" s="440"/>
      <c r="G171" s="440"/>
      <c r="H171" s="440"/>
      <c r="I171" s="440"/>
      <c r="J171" s="440"/>
      <c r="K171" s="440"/>
    </row>
    <row r="172" spans="2:11">
      <c r="B172" s="440"/>
      <c r="C172" s="440"/>
      <c r="D172" s="440"/>
      <c r="E172" s="440"/>
      <c r="F172" s="440"/>
      <c r="G172" s="440"/>
      <c r="H172" s="440"/>
      <c r="I172" s="440"/>
      <c r="J172" s="440"/>
      <c r="K172" s="440"/>
    </row>
    <row r="173" spans="2:11">
      <c r="B173" s="440"/>
      <c r="C173" s="440"/>
      <c r="D173" s="440"/>
      <c r="E173" s="440"/>
      <c r="F173" s="440"/>
      <c r="G173" s="440"/>
      <c r="H173" s="440"/>
      <c r="I173" s="440"/>
      <c r="J173" s="440"/>
      <c r="K173" s="440"/>
    </row>
    <row r="174" spans="2:11">
      <c r="B174" s="440"/>
      <c r="C174" s="440"/>
      <c r="D174" s="440"/>
      <c r="E174" s="440"/>
      <c r="F174" s="440"/>
      <c r="G174" s="440"/>
      <c r="H174" s="440"/>
      <c r="I174" s="440"/>
      <c r="J174" s="440"/>
      <c r="K174" s="440"/>
    </row>
    <row r="175" spans="2:11">
      <c r="B175" s="440"/>
      <c r="C175" s="440"/>
      <c r="D175" s="440"/>
      <c r="E175" s="440"/>
      <c r="F175" s="440"/>
      <c r="G175" s="440"/>
      <c r="H175" s="440"/>
      <c r="I175" s="440"/>
      <c r="J175" s="440"/>
      <c r="K175" s="440"/>
    </row>
    <row r="176" spans="2:11">
      <c r="B176" s="440"/>
      <c r="C176" s="440"/>
      <c r="D176" s="440"/>
      <c r="E176" s="440"/>
      <c r="F176" s="440"/>
      <c r="G176" s="440"/>
      <c r="H176" s="440"/>
      <c r="I176" s="440"/>
      <c r="J176" s="440"/>
      <c r="K176" s="440"/>
    </row>
    <row r="177" spans="2:11">
      <c r="B177" s="440"/>
      <c r="C177" s="440"/>
      <c r="D177" s="440"/>
      <c r="E177" s="440"/>
      <c r="F177" s="440"/>
      <c r="G177" s="440"/>
      <c r="H177" s="440"/>
      <c r="I177" s="440"/>
      <c r="J177" s="440"/>
      <c r="K177" s="440"/>
    </row>
    <row r="178" spans="2:11">
      <c r="B178" s="440"/>
      <c r="C178" s="440"/>
      <c r="D178" s="440"/>
      <c r="E178" s="440"/>
      <c r="F178" s="440"/>
      <c r="G178" s="440"/>
      <c r="H178" s="440"/>
      <c r="I178" s="440"/>
      <c r="J178" s="440"/>
      <c r="K178" s="440"/>
    </row>
    <row r="179" spans="2:11">
      <c r="B179" s="440"/>
      <c r="C179" s="440"/>
      <c r="D179" s="440"/>
      <c r="E179" s="440"/>
      <c r="F179" s="440"/>
      <c r="G179" s="440"/>
      <c r="H179" s="440"/>
      <c r="I179" s="440"/>
      <c r="J179" s="440"/>
      <c r="K179" s="440"/>
    </row>
    <row r="180" spans="2:11">
      <c r="B180" s="440"/>
      <c r="C180" s="440"/>
      <c r="D180" s="440"/>
      <c r="E180" s="440"/>
      <c r="F180" s="440"/>
      <c r="G180" s="440"/>
      <c r="H180" s="440"/>
      <c r="I180" s="440"/>
      <c r="J180" s="440"/>
      <c r="K180" s="440"/>
    </row>
    <row r="181" spans="2:11">
      <c r="B181" s="440"/>
      <c r="C181" s="440"/>
      <c r="D181" s="440"/>
      <c r="E181" s="440"/>
      <c r="F181" s="440"/>
      <c r="G181" s="440"/>
      <c r="H181" s="440"/>
      <c r="I181" s="440"/>
      <c r="J181" s="440"/>
      <c r="K181" s="440"/>
    </row>
    <row r="182" spans="2:11">
      <c r="B182" s="440"/>
      <c r="C182" s="440"/>
      <c r="D182" s="440"/>
      <c r="E182" s="440"/>
      <c r="F182" s="440"/>
      <c r="G182" s="440"/>
      <c r="H182" s="440"/>
      <c r="I182" s="440"/>
      <c r="J182" s="440"/>
      <c r="K182" s="440"/>
    </row>
    <row r="183" spans="2:11">
      <c r="B183" s="440"/>
      <c r="C183" s="440"/>
      <c r="D183" s="440"/>
      <c r="E183" s="440"/>
      <c r="F183" s="440"/>
      <c r="G183" s="440"/>
      <c r="H183" s="440"/>
      <c r="I183" s="440"/>
      <c r="J183" s="440"/>
      <c r="K183" s="440"/>
    </row>
    <row r="184" spans="2:11">
      <c r="B184" s="440"/>
      <c r="C184" s="440"/>
      <c r="D184" s="440"/>
      <c r="E184" s="440"/>
      <c r="F184" s="440"/>
      <c r="G184" s="440"/>
      <c r="H184" s="440"/>
      <c r="I184" s="440"/>
      <c r="J184" s="440"/>
      <c r="K184" s="440"/>
    </row>
    <row r="185" spans="2:11">
      <c r="B185" s="440"/>
      <c r="C185" s="440"/>
      <c r="D185" s="440"/>
      <c r="E185" s="440"/>
      <c r="F185" s="440"/>
      <c r="G185" s="440"/>
      <c r="H185" s="440"/>
      <c r="I185" s="440"/>
      <c r="J185" s="440"/>
      <c r="K185" s="440"/>
    </row>
    <row r="186" spans="2:11">
      <c r="B186" s="440"/>
      <c r="C186" s="440"/>
      <c r="D186" s="440"/>
      <c r="E186" s="440"/>
      <c r="F186" s="440"/>
      <c r="G186" s="440"/>
      <c r="H186" s="440"/>
      <c r="I186" s="440"/>
      <c r="J186" s="440"/>
      <c r="K186" s="440"/>
    </row>
    <row r="187" spans="2:11">
      <c r="B187" s="440"/>
      <c r="C187" s="440"/>
      <c r="D187" s="440"/>
      <c r="E187" s="440"/>
      <c r="F187" s="440"/>
      <c r="G187" s="440"/>
      <c r="H187" s="440"/>
      <c r="I187" s="440"/>
      <c r="J187" s="440"/>
      <c r="K187" s="440"/>
    </row>
    <row r="188" spans="2:11">
      <c r="B188" s="440"/>
      <c r="C188" s="440"/>
      <c r="D188" s="440"/>
      <c r="E188" s="440"/>
      <c r="F188" s="440"/>
      <c r="G188" s="440"/>
      <c r="H188" s="440"/>
      <c r="I188" s="440"/>
      <c r="J188" s="440"/>
      <c r="K188" s="440"/>
    </row>
    <row r="189" spans="2:11">
      <c r="B189" s="440"/>
      <c r="C189" s="440"/>
      <c r="D189" s="440"/>
      <c r="E189" s="440"/>
      <c r="F189" s="440"/>
      <c r="G189" s="440"/>
      <c r="H189" s="440"/>
      <c r="I189" s="440"/>
      <c r="J189" s="440"/>
      <c r="K189" s="440"/>
    </row>
    <row r="190" spans="2:11">
      <c r="B190" s="440"/>
      <c r="C190" s="440"/>
      <c r="D190" s="440"/>
      <c r="E190" s="440"/>
      <c r="F190" s="440"/>
      <c r="G190" s="440"/>
      <c r="H190" s="440"/>
      <c r="I190" s="440"/>
      <c r="J190" s="440"/>
      <c r="K190" s="440"/>
    </row>
    <row r="191" spans="2:11">
      <c r="B191" s="440"/>
      <c r="C191" s="440"/>
      <c r="D191" s="440"/>
      <c r="E191" s="440"/>
      <c r="F191" s="440"/>
      <c r="G191" s="440"/>
      <c r="H191" s="440"/>
      <c r="I191" s="440"/>
      <c r="J191" s="440"/>
      <c r="K191" s="440"/>
    </row>
    <row r="192" spans="2:11">
      <c r="B192" s="440"/>
      <c r="C192" s="440"/>
      <c r="D192" s="440"/>
      <c r="E192" s="440"/>
      <c r="F192" s="440"/>
      <c r="G192" s="440"/>
      <c r="H192" s="440"/>
      <c r="I192" s="440"/>
      <c r="J192" s="440"/>
      <c r="K192" s="440"/>
    </row>
    <row r="193" spans="2:11">
      <c r="B193" s="440"/>
      <c r="C193" s="440"/>
      <c r="D193" s="440"/>
      <c r="E193" s="440"/>
      <c r="F193" s="440"/>
      <c r="G193" s="440"/>
      <c r="H193" s="440"/>
      <c r="I193" s="440"/>
      <c r="J193" s="440"/>
      <c r="K193" s="440"/>
    </row>
    <row r="194" spans="2:11">
      <c r="B194" s="440"/>
      <c r="C194" s="440"/>
      <c r="D194" s="440"/>
      <c r="E194" s="440"/>
      <c r="F194" s="440"/>
      <c r="G194" s="440"/>
      <c r="H194" s="440"/>
      <c r="I194" s="440"/>
      <c r="J194" s="440"/>
      <c r="K194" s="440"/>
    </row>
    <row r="195" spans="2:11">
      <c r="B195" s="440"/>
      <c r="C195" s="440"/>
      <c r="D195" s="440"/>
      <c r="E195" s="440"/>
      <c r="F195" s="440"/>
      <c r="G195" s="440"/>
      <c r="H195" s="440"/>
      <c r="I195" s="440"/>
      <c r="J195" s="440"/>
      <c r="K195" s="440"/>
    </row>
    <row r="196" spans="2:11">
      <c r="B196" s="440"/>
      <c r="C196" s="440"/>
      <c r="D196" s="440"/>
      <c r="E196" s="440"/>
      <c r="F196" s="440"/>
      <c r="G196" s="440"/>
      <c r="H196" s="440"/>
      <c r="I196" s="440"/>
      <c r="J196" s="440"/>
      <c r="K196" s="440"/>
    </row>
    <row r="197" spans="2:11">
      <c r="B197" s="440"/>
      <c r="C197" s="440"/>
      <c r="D197" s="440"/>
      <c r="E197" s="440"/>
      <c r="F197" s="440"/>
      <c r="G197" s="440"/>
      <c r="H197" s="440"/>
      <c r="I197" s="440"/>
      <c r="J197" s="440"/>
      <c r="K197" s="440"/>
    </row>
    <row r="198" spans="2:11">
      <c r="B198" s="440"/>
      <c r="C198" s="440"/>
      <c r="D198" s="440"/>
      <c r="E198" s="440"/>
      <c r="F198" s="440"/>
      <c r="G198" s="440"/>
      <c r="H198" s="440"/>
      <c r="I198" s="440"/>
      <c r="J198" s="440"/>
      <c r="K198" s="440"/>
    </row>
    <row r="199" spans="2:11">
      <c r="B199" s="440"/>
      <c r="C199" s="440"/>
      <c r="D199" s="440"/>
      <c r="E199" s="440"/>
      <c r="F199" s="440"/>
      <c r="G199" s="440"/>
      <c r="H199" s="440"/>
      <c r="I199" s="440"/>
      <c r="J199" s="440"/>
      <c r="K199" s="440"/>
    </row>
    <row r="200" spans="2:11">
      <c r="B200" s="440"/>
      <c r="C200" s="440"/>
      <c r="D200" s="440"/>
      <c r="E200" s="440"/>
      <c r="F200" s="440"/>
      <c r="G200" s="440"/>
      <c r="H200" s="440"/>
      <c r="I200" s="440"/>
      <c r="J200" s="440"/>
      <c r="K200" s="440"/>
    </row>
    <row r="201" spans="2:11">
      <c r="B201" s="440"/>
      <c r="C201" s="440"/>
      <c r="D201" s="440"/>
      <c r="E201" s="440"/>
      <c r="F201" s="440"/>
      <c r="G201" s="440"/>
      <c r="H201" s="440"/>
      <c r="I201" s="440"/>
      <c r="J201" s="440"/>
      <c r="K201" s="440"/>
    </row>
    <row r="202" spans="2:11">
      <c r="B202" s="440"/>
      <c r="C202" s="440"/>
      <c r="D202" s="440"/>
      <c r="E202" s="440"/>
      <c r="F202" s="440"/>
      <c r="G202" s="440"/>
      <c r="H202" s="440"/>
      <c r="I202" s="440"/>
      <c r="J202" s="440"/>
      <c r="K202" s="440"/>
    </row>
    <row r="203" spans="2:11">
      <c r="B203" s="440"/>
      <c r="C203" s="440"/>
      <c r="D203" s="440"/>
      <c r="E203" s="440"/>
      <c r="F203" s="440"/>
      <c r="G203" s="440"/>
      <c r="H203" s="440"/>
      <c r="I203" s="440"/>
      <c r="J203" s="440"/>
      <c r="K203" s="440"/>
    </row>
    <row r="204" spans="2:11">
      <c r="B204" s="440"/>
      <c r="C204" s="440"/>
      <c r="D204" s="440"/>
      <c r="E204" s="440"/>
      <c r="F204" s="440"/>
      <c r="G204" s="440"/>
      <c r="H204" s="440"/>
      <c r="I204" s="440"/>
      <c r="J204" s="440"/>
      <c r="K204" s="440"/>
    </row>
    <row r="205" spans="2:11">
      <c r="B205" s="440"/>
      <c r="C205" s="440"/>
      <c r="D205" s="440"/>
      <c r="E205" s="440"/>
      <c r="F205" s="440"/>
      <c r="G205" s="440"/>
      <c r="H205" s="440"/>
      <c r="I205" s="440"/>
      <c r="J205" s="440"/>
      <c r="K205" s="440"/>
    </row>
    <row r="206" spans="2:11">
      <c r="B206" s="440"/>
      <c r="C206" s="440"/>
      <c r="D206" s="440"/>
      <c r="E206" s="440"/>
      <c r="F206" s="440"/>
      <c r="G206" s="440"/>
      <c r="H206" s="440"/>
      <c r="I206" s="440"/>
      <c r="J206" s="440"/>
      <c r="K206" s="440"/>
    </row>
    <row r="207" spans="2:11">
      <c r="B207" s="440"/>
      <c r="C207" s="440"/>
      <c r="D207" s="440"/>
      <c r="E207" s="440"/>
      <c r="F207" s="440"/>
      <c r="G207" s="440"/>
      <c r="H207" s="440"/>
      <c r="I207" s="440"/>
      <c r="J207" s="440"/>
      <c r="K207" s="440"/>
    </row>
    <row r="208" spans="2:11">
      <c r="B208" s="440"/>
      <c r="C208" s="440"/>
      <c r="D208" s="440"/>
      <c r="E208" s="440"/>
      <c r="F208" s="440"/>
      <c r="G208" s="440"/>
      <c r="H208" s="440"/>
      <c r="I208" s="440"/>
      <c r="J208" s="440"/>
      <c r="K208" s="440"/>
    </row>
    <row r="209" spans="2:11">
      <c r="B209" s="440"/>
      <c r="C209" s="440"/>
      <c r="D209" s="440"/>
      <c r="E209" s="440"/>
      <c r="F209" s="440"/>
      <c r="G209" s="440"/>
      <c r="H209" s="440"/>
      <c r="I209" s="440"/>
      <c r="J209" s="440"/>
      <c r="K209" s="440"/>
    </row>
    <row r="210" spans="2:11">
      <c r="B210" s="440"/>
      <c r="C210" s="440"/>
      <c r="D210" s="440"/>
      <c r="E210" s="440"/>
      <c r="F210" s="440"/>
      <c r="G210" s="440"/>
      <c r="H210" s="440"/>
      <c r="I210" s="440"/>
      <c r="J210" s="440"/>
      <c r="K210" s="440"/>
    </row>
    <row r="211" spans="2:11">
      <c r="B211" s="440"/>
      <c r="C211" s="440"/>
      <c r="D211" s="440"/>
      <c r="E211" s="440"/>
      <c r="F211" s="440"/>
      <c r="G211" s="440"/>
      <c r="H211" s="440"/>
      <c r="I211" s="440"/>
      <c r="J211" s="440"/>
      <c r="K211" s="440"/>
    </row>
    <row r="212" spans="2:11">
      <c r="B212" s="440"/>
      <c r="C212" s="440"/>
      <c r="D212" s="440"/>
      <c r="E212" s="440"/>
      <c r="F212" s="440"/>
      <c r="G212" s="440"/>
      <c r="H212" s="440"/>
      <c r="I212" s="440"/>
      <c r="J212" s="440"/>
      <c r="K212" s="440"/>
    </row>
    <row r="213" spans="2:11">
      <c r="B213" s="440"/>
      <c r="C213" s="440"/>
      <c r="D213" s="440"/>
      <c r="E213" s="440"/>
      <c r="F213" s="440"/>
      <c r="G213" s="440"/>
      <c r="H213" s="440"/>
      <c r="I213" s="440"/>
      <c r="J213" s="440"/>
      <c r="K213" s="440"/>
    </row>
    <row r="214" spans="2:11">
      <c r="B214" s="440"/>
      <c r="C214" s="440"/>
      <c r="D214" s="440"/>
      <c r="E214" s="440"/>
      <c r="F214" s="440"/>
      <c r="G214" s="440"/>
      <c r="H214" s="440"/>
      <c r="I214" s="440"/>
      <c r="J214" s="440"/>
      <c r="K214" s="440"/>
    </row>
    <row r="215" spans="2:11">
      <c r="B215" s="440"/>
      <c r="C215" s="440"/>
      <c r="D215" s="440"/>
      <c r="E215" s="440"/>
      <c r="F215" s="440"/>
      <c r="G215" s="440"/>
      <c r="H215" s="440"/>
      <c r="I215" s="440"/>
      <c r="J215" s="440"/>
      <c r="K215" s="440"/>
    </row>
    <row r="216" spans="2:11">
      <c r="B216" s="440"/>
      <c r="C216" s="440"/>
      <c r="D216" s="440"/>
      <c r="E216" s="440"/>
      <c r="F216" s="440"/>
      <c r="G216" s="440"/>
      <c r="H216" s="440"/>
      <c r="I216" s="440"/>
      <c r="J216" s="440"/>
      <c r="K216" s="440"/>
    </row>
    <row r="217" spans="2:11">
      <c r="B217" s="440"/>
      <c r="C217" s="440"/>
      <c r="D217" s="440"/>
      <c r="E217" s="440"/>
      <c r="F217" s="440"/>
      <c r="G217" s="440"/>
      <c r="H217" s="440"/>
      <c r="I217" s="440"/>
      <c r="J217" s="440"/>
      <c r="K217" s="440"/>
    </row>
    <row r="218" spans="2:11">
      <c r="B218" s="440"/>
      <c r="C218" s="440"/>
      <c r="D218" s="440"/>
      <c r="E218" s="440"/>
      <c r="F218" s="440"/>
      <c r="G218" s="440"/>
      <c r="H218" s="440"/>
      <c r="I218" s="440"/>
      <c r="J218" s="440"/>
      <c r="K218" s="440"/>
    </row>
    <row r="219" spans="2:11">
      <c r="B219" s="440"/>
      <c r="C219" s="440"/>
      <c r="D219" s="440"/>
      <c r="E219" s="440"/>
      <c r="F219" s="440"/>
      <c r="G219" s="440"/>
      <c r="H219" s="440"/>
      <c r="I219" s="440"/>
      <c r="J219" s="440"/>
      <c r="K219" s="440"/>
    </row>
    <row r="220" spans="2:11">
      <c r="B220" s="440"/>
      <c r="C220" s="440"/>
      <c r="D220" s="440"/>
      <c r="E220" s="440"/>
      <c r="F220" s="440"/>
      <c r="G220" s="440"/>
      <c r="H220" s="440"/>
      <c r="I220" s="440"/>
      <c r="J220" s="440"/>
      <c r="K220" s="440"/>
    </row>
    <row r="221" spans="2:11">
      <c r="B221" s="440"/>
      <c r="C221" s="440"/>
      <c r="D221" s="440"/>
      <c r="E221" s="440"/>
      <c r="F221" s="440"/>
      <c r="G221" s="440"/>
      <c r="H221" s="440"/>
      <c r="I221" s="440"/>
      <c r="J221" s="440"/>
      <c r="K221" s="440"/>
    </row>
    <row r="222" spans="2:11">
      <c r="B222" s="440"/>
      <c r="C222" s="440"/>
      <c r="D222" s="440"/>
      <c r="E222" s="440"/>
      <c r="F222" s="440"/>
      <c r="G222" s="440"/>
      <c r="H222" s="440"/>
      <c r="I222" s="440"/>
      <c r="J222" s="440"/>
      <c r="K222" s="440"/>
    </row>
    <row r="223" spans="2:11">
      <c r="B223" s="440"/>
      <c r="C223" s="440"/>
      <c r="D223" s="440"/>
      <c r="E223" s="440"/>
      <c r="F223" s="440"/>
      <c r="G223" s="440"/>
      <c r="H223" s="440"/>
      <c r="I223" s="440"/>
      <c r="J223" s="440"/>
      <c r="K223" s="440"/>
    </row>
    <row r="224" spans="2:11">
      <c r="B224" s="440"/>
      <c r="C224" s="440"/>
      <c r="D224" s="440"/>
      <c r="E224" s="440"/>
      <c r="F224" s="440"/>
      <c r="G224" s="440"/>
      <c r="H224" s="440"/>
      <c r="I224" s="440"/>
      <c r="J224" s="440"/>
      <c r="K224" s="440"/>
    </row>
    <row r="225" spans="2:11">
      <c r="B225" s="440"/>
      <c r="C225" s="440"/>
      <c r="D225" s="440"/>
      <c r="E225" s="440"/>
      <c r="F225" s="440"/>
      <c r="G225" s="440"/>
      <c r="H225" s="440"/>
      <c r="I225" s="440"/>
      <c r="J225" s="440"/>
      <c r="K225" s="440"/>
    </row>
    <row r="226" spans="2:11">
      <c r="B226" s="440"/>
      <c r="C226" s="440"/>
      <c r="D226" s="440"/>
      <c r="E226" s="440"/>
      <c r="F226" s="440"/>
      <c r="G226" s="440"/>
      <c r="H226" s="440"/>
      <c r="I226" s="440"/>
      <c r="J226" s="440"/>
      <c r="K226" s="440"/>
    </row>
    <row r="227" spans="2:11">
      <c r="B227" s="440"/>
      <c r="C227" s="440"/>
      <c r="D227" s="440"/>
      <c r="E227" s="440"/>
      <c r="F227" s="440"/>
      <c r="G227" s="440"/>
      <c r="H227" s="440"/>
      <c r="I227" s="440"/>
      <c r="J227" s="440"/>
      <c r="K227" s="440"/>
    </row>
    <row r="228" spans="2:11">
      <c r="B228" s="440"/>
      <c r="C228" s="440"/>
      <c r="D228" s="440"/>
      <c r="E228" s="440"/>
      <c r="F228" s="440"/>
      <c r="G228" s="440"/>
      <c r="H228" s="440"/>
      <c r="I228" s="440"/>
      <c r="J228" s="440"/>
      <c r="K228" s="440"/>
    </row>
    <row r="229" spans="2:11">
      <c r="B229" s="440"/>
      <c r="C229" s="440"/>
      <c r="D229" s="440"/>
      <c r="E229" s="440"/>
      <c r="F229" s="440"/>
      <c r="G229" s="440"/>
      <c r="H229" s="440"/>
      <c r="I229" s="440"/>
      <c r="J229" s="440"/>
      <c r="K229" s="440"/>
    </row>
    <row r="230" spans="2:11">
      <c r="B230" s="440"/>
      <c r="C230" s="440"/>
      <c r="D230" s="440"/>
      <c r="E230" s="440"/>
      <c r="F230" s="440"/>
      <c r="G230" s="440"/>
      <c r="H230" s="440"/>
      <c r="I230" s="440"/>
      <c r="J230" s="440"/>
      <c r="K230" s="440"/>
    </row>
    <row r="231" spans="2:11">
      <c r="B231" s="440"/>
      <c r="C231" s="440"/>
      <c r="D231" s="440"/>
      <c r="E231" s="440"/>
      <c r="F231" s="440"/>
      <c r="G231" s="440"/>
      <c r="H231" s="440"/>
      <c r="I231" s="440"/>
      <c r="J231" s="440"/>
      <c r="K231" s="440"/>
    </row>
    <row r="232" spans="2:11">
      <c r="B232" s="440"/>
      <c r="C232" s="440"/>
      <c r="D232" s="440"/>
      <c r="E232" s="440"/>
      <c r="F232" s="440"/>
      <c r="G232" s="440"/>
      <c r="H232" s="440"/>
      <c r="I232" s="440"/>
      <c r="J232" s="440"/>
      <c r="K232" s="440"/>
    </row>
    <row r="233" spans="2:11">
      <c r="B233" s="440"/>
      <c r="C233" s="440"/>
      <c r="D233" s="440"/>
      <c r="E233" s="440"/>
      <c r="F233" s="440"/>
      <c r="G233" s="440"/>
      <c r="H233" s="440"/>
      <c r="I233" s="440"/>
      <c r="J233" s="440"/>
      <c r="K233" s="440"/>
    </row>
    <row r="234" spans="2:11">
      <c r="B234" s="440"/>
      <c r="C234" s="440"/>
      <c r="D234" s="440"/>
      <c r="E234" s="440"/>
      <c r="F234" s="440"/>
      <c r="G234" s="440"/>
      <c r="H234" s="440"/>
      <c r="I234" s="440"/>
      <c r="J234" s="440"/>
      <c r="K234" s="440"/>
    </row>
    <row r="235" spans="2:11">
      <c r="B235" s="440"/>
      <c r="C235" s="440"/>
      <c r="D235" s="440"/>
      <c r="E235" s="440"/>
      <c r="F235" s="440"/>
      <c r="G235" s="440"/>
      <c r="H235" s="440"/>
      <c r="I235" s="440"/>
      <c r="J235" s="440"/>
      <c r="K235" s="440"/>
    </row>
    <row r="236" spans="2:11">
      <c r="B236" s="440"/>
      <c r="C236" s="440"/>
      <c r="D236" s="440"/>
      <c r="E236" s="440"/>
      <c r="F236" s="440"/>
      <c r="G236" s="440"/>
      <c r="H236" s="440"/>
      <c r="I236" s="440"/>
      <c r="J236" s="440"/>
      <c r="K236" s="440"/>
    </row>
    <row r="237" spans="2:11">
      <c r="B237" s="440"/>
      <c r="C237" s="440"/>
      <c r="D237" s="440"/>
      <c r="E237" s="440"/>
      <c r="F237" s="440"/>
      <c r="G237" s="440"/>
      <c r="H237" s="440"/>
      <c r="I237" s="440"/>
      <c r="J237" s="440"/>
      <c r="K237" s="440"/>
    </row>
    <row r="238" spans="2:11">
      <c r="B238" s="440"/>
      <c r="C238" s="440"/>
      <c r="D238" s="440"/>
      <c r="E238" s="440"/>
      <c r="F238" s="440"/>
      <c r="G238" s="440"/>
      <c r="H238" s="440"/>
      <c r="I238" s="440"/>
      <c r="J238" s="440"/>
      <c r="K238" s="440"/>
    </row>
    <row r="239" spans="2:11">
      <c r="B239" s="440"/>
      <c r="C239" s="440"/>
      <c r="D239" s="440"/>
      <c r="E239" s="440"/>
      <c r="F239" s="440"/>
      <c r="G239" s="440"/>
      <c r="H239" s="440"/>
      <c r="I239" s="440"/>
      <c r="J239" s="440"/>
      <c r="K239" s="440"/>
    </row>
    <row r="240" spans="2:11">
      <c r="B240" s="440"/>
      <c r="C240" s="440"/>
      <c r="D240" s="440"/>
      <c r="E240" s="440"/>
      <c r="F240" s="440"/>
      <c r="G240" s="440"/>
      <c r="H240" s="440"/>
      <c r="I240" s="440"/>
      <c r="J240" s="440"/>
      <c r="K240" s="440"/>
    </row>
    <row r="241" spans="2:11">
      <c r="B241" s="440"/>
      <c r="C241" s="440"/>
      <c r="D241" s="440"/>
      <c r="E241" s="440"/>
      <c r="F241" s="440"/>
      <c r="G241" s="440"/>
      <c r="H241" s="440"/>
      <c r="I241" s="440"/>
      <c r="J241" s="440"/>
      <c r="K241" s="440"/>
    </row>
    <row r="242" spans="2:11">
      <c r="B242" s="440"/>
      <c r="C242" s="440"/>
      <c r="D242" s="440"/>
      <c r="E242" s="440"/>
      <c r="F242" s="440"/>
      <c r="G242" s="440"/>
      <c r="H242" s="440"/>
      <c r="I242" s="440"/>
      <c r="J242" s="440"/>
      <c r="K242" s="440"/>
    </row>
    <row r="243" spans="2:11">
      <c r="B243" s="440"/>
      <c r="C243" s="440"/>
      <c r="D243" s="440"/>
      <c r="E243" s="440"/>
      <c r="F243" s="440"/>
      <c r="G243" s="440"/>
      <c r="H243" s="440"/>
      <c r="I243" s="440"/>
      <c r="J243" s="440"/>
      <c r="K243" s="440"/>
    </row>
    <row r="244" spans="2:11">
      <c r="B244" s="440"/>
      <c r="C244" s="440"/>
      <c r="D244" s="440"/>
      <c r="E244" s="440"/>
      <c r="F244" s="440"/>
      <c r="G244" s="440"/>
      <c r="H244" s="440"/>
      <c r="I244" s="440"/>
      <c r="J244" s="440"/>
      <c r="K244" s="440"/>
    </row>
    <row r="245" spans="2:11">
      <c r="B245" s="440"/>
      <c r="C245" s="440"/>
      <c r="D245" s="440"/>
      <c r="E245" s="440"/>
      <c r="F245" s="440"/>
      <c r="G245" s="440"/>
      <c r="H245" s="440"/>
      <c r="I245" s="440"/>
      <c r="J245" s="440"/>
      <c r="K245" s="440"/>
    </row>
    <row r="246" spans="2:11">
      <c r="B246" s="440"/>
      <c r="C246" s="440"/>
      <c r="D246" s="440"/>
      <c r="E246" s="440"/>
      <c r="F246" s="440"/>
      <c r="G246" s="440"/>
      <c r="H246" s="440"/>
      <c r="I246" s="440"/>
      <c r="J246" s="440"/>
      <c r="K246" s="440"/>
    </row>
    <row r="247" spans="2:11">
      <c r="B247" s="440"/>
      <c r="C247" s="440"/>
      <c r="D247" s="440"/>
      <c r="E247" s="440"/>
      <c r="F247" s="440"/>
      <c r="G247" s="440"/>
      <c r="H247" s="440"/>
      <c r="I247" s="440"/>
      <c r="J247" s="440"/>
      <c r="K247" s="440"/>
    </row>
    <row r="248" spans="2:11">
      <c r="B248" s="440"/>
      <c r="C248" s="440"/>
      <c r="D248" s="440"/>
      <c r="E248" s="440"/>
      <c r="F248" s="440"/>
      <c r="G248" s="440"/>
      <c r="H248" s="440"/>
      <c r="I248" s="440"/>
      <c r="J248" s="440"/>
      <c r="K248" s="440"/>
    </row>
    <row r="249" spans="2:11">
      <c r="B249" s="440"/>
      <c r="C249" s="440"/>
      <c r="D249" s="440"/>
      <c r="E249" s="440"/>
      <c r="F249" s="440"/>
      <c r="G249" s="440"/>
      <c r="H249" s="440"/>
      <c r="I249" s="440"/>
      <c r="J249" s="440"/>
      <c r="K249" s="440"/>
    </row>
    <row r="250" spans="2:11">
      <c r="B250" s="440"/>
      <c r="C250" s="440"/>
      <c r="D250" s="440"/>
      <c r="E250" s="440"/>
      <c r="F250" s="440"/>
      <c r="G250" s="440"/>
      <c r="H250" s="440"/>
      <c r="I250" s="440"/>
      <c r="J250" s="440"/>
      <c r="K250" s="440"/>
    </row>
    <row r="251" spans="2:11">
      <c r="B251" s="440"/>
      <c r="C251" s="440"/>
      <c r="D251" s="440"/>
      <c r="E251" s="440"/>
      <c r="F251" s="440"/>
      <c r="G251" s="440"/>
      <c r="H251" s="440"/>
      <c r="I251" s="440"/>
      <c r="J251" s="440"/>
      <c r="K251" s="440"/>
    </row>
    <row r="252" spans="2:11">
      <c r="B252" s="440"/>
      <c r="C252" s="440"/>
      <c r="D252" s="440"/>
      <c r="E252" s="440"/>
      <c r="F252" s="440"/>
      <c r="G252" s="440"/>
      <c r="H252" s="440"/>
      <c r="I252" s="440"/>
      <c r="J252" s="440"/>
      <c r="K252" s="440"/>
    </row>
    <row r="253" spans="2:11">
      <c r="B253" s="440"/>
      <c r="C253" s="440"/>
      <c r="D253" s="440"/>
      <c r="E253" s="440"/>
      <c r="F253" s="440"/>
      <c r="G253" s="440"/>
      <c r="H253" s="440"/>
      <c r="I253" s="440"/>
      <c r="J253" s="440"/>
      <c r="K253" s="440"/>
    </row>
    <row r="254" spans="2:11">
      <c r="B254" s="440"/>
      <c r="C254" s="440"/>
      <c r="D254" s="440"/>
      <c r="E254" s="440"/>
      <c r="F254" s="440"/>
      <c r="G254" s="440"/>
      <c r="H254" s="440"/>
      <c r="I254" s="440"/>
      <c r="J254" s="440"/>
      <c r="K254" s="440"/>
    </row>
    <row r="255" spans="2:11">
      <c r="B255" s="440"/>
      <c r="C255" s="440"/>
      <c r="D255" s="440"/>
      <c r="E255" s="440"/>
      <c r="F255" s="440"/>
      <c r="G255" s="440"/>
      <c r="H255" s="440"/>
      <c r="I255" s="440"/>
      <c r="J255" s="440"/>
      <c r="K255" s="440"/>
    </row>
    <row r="256" spans="2:11">
      <c r="B256" s="440"/>
      <c r="C256" s="440"/>
      <c r="D256" s="440"/>
      <c r="E256" s="440"/>
      <c r="F256" s="440"/>
      <c r="G256" s="440"/>
      <c r="H256" s="440"/>
      <c r="I256" s="440"/>
      <c r="J256" s="440"/>
      <c r="K256" s="440"/>
    </row>
    <row r="257" spans="2:11">
      <c r="B257" s="440"/>
      <c r="C257" s="440"/>
      <c r="D257" s="440"/>
      <c r="E257" s="440"/>
      <c r="F257" s="440"/>
      <c r="G257" s="440"/>
      <c r="H257" s="440"/>
      <c r="I257" s="440"/>
      <c r="J257" s="440"/>
      <c r="K257" s="440"/>
    </row>
    <row r="258" spans="2:11">
      <c r="B258" s="440"/>
      <c r="C258" s="440"/>
      <c r="D258" s="440"/>
      <c r="E258" s="440"/>
      <c r="F258" s="440"/>
      <c r="G258" s="440"/>
      <c r="H258" s="440"/>
      <c r="I258" s="440"/>
      <c r="J258" s="440"/>
      <c r="K258" s="440"/>
    </row>
    <row r="259" spans="2:11">
      <c r="B259" s="440"/>
      <c r="C259" s="440"/>
      <c r="D259" s="440"/>
      <c r="E259" s="440"/>
      <c r="F259" s="440"/>
      <c r="G259" s="440"/>
      <c r="H259" s="440"/>
      <c r="I259" s="440"/>
      <c r="J259" s="440"/>
      <c r="K259" s="440"/>
    </row>
    <row r="260" spans="2:11">
      <c r="B260" s="440"/>
      <c r="C260" s="440"/>
      <c r="D260" s="440"/>
      <c r="E260" s="440"/>
      <c r="F260" s="440"/>
      <c r="G260" s="440"/>
      <c r="H260" s="440"/>
      <c r="I260" s="440"/>
      <c r="J260" s="440"/>
      <c r="K260" s="440"/>
    </row>
    <row r="261" spans="2:11">
      <c r="B261" s="440"/>
      <c r="C261" s="440"/>
      <c r="D261" s="440"/>
      <c r="E261" s="440"/>
      <c r="F261" s="440"/>
      <c r="G261" s="440"/>
      <c r="H261" s="440"/>
      <c r="I261" s="440"/>
      <c r="J261" s="440"/>
      <c r="K261" s="440"/>
    </row>
    <row r="262" spans="2:11">
      <c r="B262" s="440"/>
      <c r="C262" s="440"/>
      <c r="D262" s="440"/>
      <c r="E262" s="440"/>
      <c r="F262" s="440"/>
      <c r="G262" s="440"/>
      <c r="H262" s="440"/>
      <c r="I262" s="440"/>
      <c r="J262" s="440"/>
      <c r="K262" s="440"/>
    </row>
    <row r="263" spans="2:11">
      <c r="B263" s="440"/>
      <c r="C263" s="440"/>
      <c r="D263" s="440"/>
      <c r="E263" s="440"/>
      <c r="F263" s="440"/>
      <c r="G263" s="440"/>
      <c r="H263" s="440"/>
      <c r="I263" s="440"/>
      <c r="J263" s="440"/>
      <c r="K263" s="440"/>
    </row>
    <row r="264" spans="2:11">
      <c r="B264" s="440"/>
      <c r="C264" s="440"/>
      <c r="D264" s="440"/>
      <c r="E264" s="440"/>
      <c r="F264" s="440"/>
      <c r="G264" s="440"/>
      <c r="H264" s="440"/>
      <c r="I264" s="440"/>
      <c r="J264" s="440"/>
      <c r="K264" s="440"/>
    </row>
    <row r="265" spans="2:11">
      <c r="B265" s="440"/>
      <c r="C265" s="440"/>
      <c r="D265" s="440"/>
      <c r="E265" s="440"/>
      <c r="F265" s="440"/>
      <c r="G265" s="440"/>
      <c r="H265" s="440"/>
      <c r="I265" s="440"/>
      <c r="J265" s="440"/>
      <c r="K265" s="440"/>
    </row>
    <row r="266" spans="2:11">
      <c r="B266" s="440"/>
      <c r="C266" s="440"/>
      <c r="D266" s="440"/>
      <c r="E266" s="440"/>
      <c r="F266" s="440"/>
      <c r="G266" s="440"/>
      <c r="H266" s="440"/>
      <c r="I266" s="440"/>
      <c r="J266" s="440"/>
      <c r="K266" s="440"/>
    </row>
    <row r="267" spans="2:11">
      <c r="B267" s="440"/>
      <c r="C267" s="440"/>
      <c r="D267" s="440"/>
      <c r="E267" s="440"/>
      <c r="F267" s="440"/>
      <c r="G267" s="440"/>
      <c r="H267" s="440"/>
      <c r="I267" s="440"/>
      <c r="J267" s="440"/>
      <c r="K267" s="440"/>
    </row>
    <row r="268" spans="2:11">
      <c r="B268" s="440"/>
      <c r="C268" s="440"/>
      <c r="D268" s="440"/>
      <c r="E268" s="440"/>
      <c r="F268" s="440"/>
      <c r="G268" s="440"/>
      <c r="H268" s="440"/>
      <c r="I268" s="440"/>
      <c r="J268" s="440"/>
      <c r="K268" s="440"/>
    </row>
    <row r="269" spans="2:11">
      <c r="B269" s="440"/>
      <c r="C269" s="440"/>
      <c r="D269" s="440"/>
      <c r="E269" s="440"/>
      <c r="F269" s="440"/>
      <c r="G269" s="440"/>
      <c r="H269" s="440"/>
      <c r="I269" s="440"/>
      <c r="J269" s="440"/>
      <c r="K269" s="440"/>
    </row>
    <row r="270" spans="2:11">
      <c r="B270" s="440"/>
      <c r="C270" s="440"/>
      <c r="D270" s="440"/>
      <c r="E270" s="440"/>
      <c r="F270" s="440"/>
      <c r="G270" s="440"/>
      <c r="H270" s="440"/>
      <c r="I270" s="440"/>
      <c r="J270" s="440"/>
      <c r="K270" s="440"/>
    </row>
    <row r="271" spans="2:11">
      <c r="B271" s="440"/>
      <c r="C271" s="440"/>
      <c r="D271" s="440"/>
      <c r="E271" s="440"/>
      <c r="F271" s="440"/>
      <c r="G271" s="440"/>
      <c r="H271" s="440"/>
      <c r="I271" s="440"/>
      <c r="J271" s="440"/>
      <c r="K271" s="440"/>
    </row>
    <row r="272" spans="2:11">
      <c r="B272" s="440"/>
      <c r="C272" s="440"/>
      <c r="D272" s="440"/>
      <c r="E272" s="440"/>
      <c r="F272" s="440"/>
      <c r="G272" s="440"/>
      <c r="H272" s="440"/>
      <c r="I272" s="440"/>
      <c r="J272" s="440"/>
      <c r="K272" s="440"/>
    </row>
    <row r="273" spans="2:11">
      <c r="B273" s="440"/>
      <c r="C273" s="440"/>
      <c r="D273" s="440"/>
      <c r="E273" s="440"/>
      <c r="F273" s="440"/>
      <c r="G273" s="440"/>
      <c r="H273" s="440"/>
      <c r="I273" s="440"/>
      <c r="J273" s="440"/>
      <c r="K273" s="440"/>
    </row>
    <row r="274" spans="2:11">
      <c r="B274" s="440"/>
      <c r="C274" s="440"/>
      <c r="D274" s="440"/>
      <c r="E274" s="440"/>
      <c r="F274" s="440"/>
      <c r="G274" s="440"/>
      <c r="H274" s="440"/>
      <c r="I274" s="440"/>
      <c r="J274" s="440"/>
      <c r="K274" s="440"/>
    </row>
    <row r="275" spans="2:11">
      <c r="B275" s="440"/>
      <c r="C275" s="440"/>
      <c r="D275" s="440"/>
      <c r="E275" s="440"/>
      <c r="F275" s="440"/>
      <c r="G275" s="440"/>
      <c r="H275" s="440"/>
      <c r="I275" s="440"/>
      <c r="J275" s="440"/>
      <c r="K275" s="440"/>
    </row>
    <row r="276" spans="2:11">
      <c r="B276" s="453"/>
      <c r="C276" s="453"/>
      <c r="D276" s="453"/>
      <c r="E276" s="453"/>
      <c r="F276" s="453"/>
      <c r="G276" s="453"/>
      <c r="H276" s="453"/>
      <c r="I276" s="453"/>
      <c r="J276" s="453"/>
      <c r="K276" s="453"/>
    </row>
    <row r="277" spans="2:11">
      <c r="B277" s="453"/>
      <c r="C277" s="453"/>
      <c r="D277" s="453"/>
      <c r="E277" s="453"/>
      <c r="F277" s="453"/>
      <c r="G277" s="453"/>
      <c r="H277" s="453"/>
      <c r="I277" s="453"/>
      <c r="J277" s="453"/>
      <c r="K277" s="453"/>
    </row>
    <row r="278" spans="2:11">
      <c r="B278" s="453"/>
      <c r="C278" s="453"/>
      <c r="D278" s="453"/>
      <c r="E278" s="453"/>
      <c r="F278" s="453"/>
      <c r="G278" s="453"/>
      <c r="H278" s="453"/>
      <c r="I278" s="453"/>
      <c r="J278" s="453"/>
      <c r="K278" s="453"/>
    </row>
    <row r="279" spans="2:11">
      <c r="B279" s="453"/>
      <c r="C279" s="453"/>
      <c r="D279" s="453"/>
      <c r="E279" s="453"/>
      <c r="F279" s="453"/>
      <c r="G279" s="453"/>
      <c r="H279" s="453"/>
      <c r="I279" s="453"/>
      <c r="J279" s="453"/>
      <c r="K279" s="453"/>
    </row>
    <row r="280" spans="2:11">
      <c r="B280" s="453"/>
      <c r="C280" s="453"/>
      <c r="D280" s="453"/>
      <c r="E280" s="453"/>
      <c r="F280" s="453"/>
      <c r="G280" s="453"/>
      <c r="H280" s="453"/>
      <c r="I280" s="453"/>
      <c r="J280" s="453"/>
      <c r="K280" s="453"/>
    </row>
    <row r="281" spans="2:11">
      <c r="B281" s="453"/>
      <c r="C281" s="453"/>
      <c r="D281" s="453"/>
      <c r="E281" s="453"/>
      <c r="F281" s="453"/>
      <c r="G281" s="453"/>
      <c r="H281" s="453"/>
      <c r="I281" s="453"/>
      <c r="J281" s="453"/>
      <c r="K281" s="453"/>
    </row>
    <row r="282" spans="2:11">
      <c r="B282" s="453"/>
      <c r="C282" s="453"/>
      <c r="D282" s="453"/>
      <c r="E282" s="453"/>
      <c r="F282" s="453"/>
      <c r="G282" s="453"/>
      <c r="H282" s="453"/>
      <c r="I282" s="453"/>
      <c r="J282" s="453"/>
      <c r="K282" s="453"/>
    </row>
    <row r="283" spans="2:11">
      <c r="B283" s="453"/>
      <c r="C283" s="453"/>
      <c r="D283" s="453"/>
      <c r="E283" s="453"/>
      <c r="F283" s="453"/>
      <c r="G283" s="453"/>
      <c r="H283" s="453"/>
      <c r="I283" s="453"/>
      <c r="J283" s="453"/>
      <c r="K283" s="453"/>
    </row>
    <row r="284" spans="2:11">
      <c r="B284" s="453"/>
      <c r="C284" s="453"/>
      <c r="D284" s="453"/>
      <c r="E284" s="453"/>
      <c r="F284" s="453"/>
      <c r="G284" s="453"/>
      <c r="H284" s="453"/>
      <c r="I284" s="453"/>
      <c r="J284" s="453"/>
      <c r="K284" s="453"/>
    </row>
    <row r="285" spans="2:11">
      <c r="B285" s="453"/>
      <c r="C285" s="453"/>
      <c r="D285" s="453"/>
      <c r="E285" s="453"/>
      <c r="F285" s="453"/>
      <c r="G285" s="453"/>
      <c r="H285" s="453"/>
      <c r="I285" s="453"/>
      <c r="J285" s="453"/>
      <c r="K285" s="453"/>
    </row>
    <row r="286" spans="2:11">
      <c r="B286" s="453"/>
      <c r="C286" s="453"/>
      <c r="D286" s="453"/>
      <c r="E286" s="453"/>
      <c r="F286" s="453"/>
      <c r="G286" s="453"/>
      <c r="H286" s="453"/>
      <c r="I286" s="453"/>
      <c r="J286" s="453"/>
      <c r="K286" s="453"/>
    </row>
    <row r="287" spans="2:11">
      <c r="B287" s="453"/>
      <c r="C287" s="453"/>
      <c r="D287" s="453"/>
      <c r="E287" s="453"/>
      <c r="F287" s="453"/>
      <c r="G287" s="453"/>
      <c r="H287" s="453"/>
      <c r="I287" s="453"/>
      <c r="J287" s="453"/>
      <c r="K287" s="453"/>
    </row>
    <row r="288" spans="2:11">
      <c r="B288" s="453"/>
      <c r="C288" s="453"/>
      <c r="D288" s="453"/>
      <c r="E288" s="453"/>
      <c r="F288" s="453"/>
      <c r="G288" s="453"/>
      <c r="H288" s="453"/>
      <c r="I288" s="453"/>
      <c r="J288" s="453"/>
      <c r="K288" s="453"/>
    </row>
    <row r="289" spans="2:11">
      <c r="B289" s="453"/>
      <c r="C289" s="453"/>
      <c r="D289" s="453"/>
      <c r="E289" s="453"/>
      <c r="F289" s="453"/>
      <c r="G289" s="453"/>
      <c r="H289" s="453"/>
      <c r="I289" s="453"/>
      <c r="J289" s="453"/>
      <c r="K289" s="453"/>
    </row>
    <row r="290" spans="2:11">
      <c r="B290" s="453"/>
      <c r="C290" s="453"/>
      <c r="D290" s="453"/>
      <c r="E290" s="453"/>
      <c r="F290" s="453"/>
      <c r="G290" s="453"/>
      <c r="H290" s="453"/>
      <c r="I290" s="453"/>
      <c r="J290" s="453"/>
      <c r="K290" s="453"/>
    </row>
    <row r="291" spans="2:11">
      <c r="B291" s="453"/>
      <c r="C291" s="453"/>
      <c r="D291" s="453"/>
      <c r="E291" s="453"/>
      <c r="F291" s="453"/>
      <c r="G291" s="453"/>
      <c r="H291" s="453"/>
      <c r="I291" s="453"/>
      <c r="J291" s="453"/>
      <c r="K291" s="453"/>
    </row>
    <row r="292" spans="2:11">
      <c r="B292" s="453"/>
      <c r="C292" s="453"/>
      <c r="D292" s="453"/>
      <c r="E292" s="453"/>
      <c r="F292" s="453"/>
      <c r="G292" s="453"/>
      <c r="H292" s="453"/>
      <c r="I292" s="453"/>
      <c r="J292" s="453"/>
      <c r="K292" s="453"/>
    </row>
    <row r="293" spans="2:11">
      <c r="B293" s="453"/>
      <c r="C293" s="453"/>
      <c r="D293" s="453"/>
      <c r="E293" s="453"/>
      <c r="F293" s="453"/>
      <c r="G293" s="453"/>
      <c r="H293" s="453"/>
      <c r="I293" s="453"/>
      <c r="J293" s="453"/>
      <c r="K293" s="453"/>
    </row>
    <row r="294" spans="2:11">
      <c r="B294" s="453"/>
      <c r="C294" s="453"/>
      <c r="D294" s="453"/>
      <c r="E294" s="453"/>
      <c r="F294" s="453"/>
      <c r="G294" s="453"/>
      <c r="H294" s="453"/>
      <c r="I294" s="453"/>
      <c r="J294" s="453"/>
      <c r="K294" s="453"/>
    </row>
    <row r="295" spans="2:11">
      <c r="B295" s="453"/>
      <c r="C295" s="453"/>
      <c r="D295" s="453"/>
      <c r="E295" s="453"/>
      <c r="F295" s="453"/>
      <c r="G295" s="453"/>
      <c r="H295" s="453"/>
      <c r="I295" s="453"/>
      <c r="J295" s="453"/>
      <c r="K295" s="453"/>
    </row>
    <row r="296" spans="2:11">
      <c r="B296" s="453"/>
      <c r="C296" s="453"/>
      <c r="D296" s="453"/>
      <c r="E296" s="453"/>
      <c r="F296" s="453"/>
      <c r="G296" s="453"/>
      <c r="H296" s="453"/>
      <c r="I296" s="453"/>
      <c r="J296" s="453"/>
      <c r="K296" s="453"/>
    </row>
    <row r="297" spans="2:11">
      <c r="B297" s="453"/>
      <c r="C297" s="453"/>
      <c r="D297" s="453"/>
      <c r="E297" s="453"/>
      <c r="F297" s="453"/>
      <c r="G297" s="453"/>
      <c r="H297" s="453"/>
      <c r="I297" s="453"/>
      <c r="J297" s="453"/>
      <c r="K297" s="453"/>
    </row>
    <row r="298" spans="2:11">
      <c r="B298" s="453"/>
      <c r="C298" s="453"/>
      <c r="D298" s="453"/>
      <c r="E298" s="453"/>
      <c r="F298" s="453"/>
      <c r="G298" s="453"/>
      <c r="H298" s="453"/>
      <c r="I298" s="453"/>
      <c r="J298" s="453"/>
      <c r="K298" s="453"/>
    </row>
    <row r="299" spans="2:11">
      <c r="B299" s="453"/>
      <c r="C299" s="453"/>
      <c r="D299" s="453"/>
      <c r="E299" s="453"/>
      <c r="F299" s="453"/>
      <c r="G299" s="453"/>
      <c r="H299" s="453"/>
      <c r="I299" s="453"/>
      <c r="J299" s="453"/>
      <c r="K299" s="453"/>
    </row>
    <row r="300" spans="2:11">
      <c r="B300" s="453"/>
      <c r="C300" s="453"/>
      <c r="D300" s="453"/>
      <c r="E300" s="453"/>
      <c r="F300" s="453"/>
      <c r="G300" s="453"/>
      <c r="H300" s="453"/>
      <c r="I300" s="453"/>
      <c r="J300" s="453"/>
      <c r="K300" s="453"/>
    </row>
    <row r="301" spans="2:11">
      <c r="B301" s="453"/>
      <c r="C301" s="453"/>
      <c r="D301" s="453"/>
      <c r="E301" s="453"/>
      <c r="F301" s="453"/>
      <c r="G301" s="453"/>
      <c r="H301" s="453"/>
      <c r="I301" s="453"/>
      <c r="J301" s="453"/>
      <c r="K301" s="453"/>
    </row>
    <row r="302" spans="2:11">
      <c r="B302" s="453"/>
      <c r="C302" s="453"/>
      <c r="D302" s="453"/>
      <c r="E302" s="453"/>
      <c r="F302" s="453"/>
      <c r="G302" s="453"/>
      <c r="H302" s="453"/>
      <c r="I302" s="453"/>
      <c r="J302" s="453"/>
      <c r="K302" s="453"/>
    </row>
    <row r="303" spans="2:11">
      <c r="B303" s="453"/>
      <c r="C303" s="453"/>
      <c r="D303" s="453"/>
      <c r="E303" s="453"/>
      <c r="F303" s="453"/>
      <c r="G303" s="453"/>
      <c r="H303" s="453"/>
      <c r="I303" s="453"/>
      <c r="J303" s="453"/>
      <c r="K303" s="453"/>
    </row>
    <row r="304" spans="2:11">
      <c r="B304" s="453"/>
      <c r="C304" s="453"/>
      <c r="D304" s="453"/>
      <c r="E304" s="453"/>
      <c r="F304" s="453"/>
      <c r="G304" s="453"/>
      <c r="H304" s="453"/>
      <c r="I304" s="453"/>
      <c r="J304" s="453"/>
      <c r="K304" s="453"/>
    </row>
    <row r="305" spans="2:11">
      <c r="B305" s="453"/>
      <c r="C305" s="453"/>
      <c r="D305" s="453"/>
      <c r="E305" s="453"/>
      <c r="F305" s="453"/>
      <c r="G305" s="453"/>
      <c r="H305" s="453"/>
      <c r="I305" s="453"/>
      <c r="J305" s="453"/>
      <c r="K305" s="453"/>
    </row>
    <row r="306" spans="2:11">
      <c r="B306" s="453"/>
      <c r="C306" s="453"/>
      <c r="D306" s="453"/>
      <c r="E306" s="453"/>
      <c r="F306" s="453"/>
      <c r="G306" s="453"/>
      <c r="H306" s="453"/>
      <c r="I306" s="453"/>
      <c r="J306" s="453"/>
      <c r="K306" s="453"/>
    </row>
    <row r="307" spans="2:11">
      <c r="B307" s="453"/>
      <c r="C307" s="453"/>
      <c r="D307" s="453"/>
      <c r="E307" s="453"/>
      <c r="F307" s="453"/>
      <c r="G307" s="453"/>
      <c r="H307" s="453"/>
      <c r="I307" s="453"/>
      <c r="J307" s="453"/>
      <c r="K307" s="453"/>
    </row>
    <row r="308" spans="2:11">
      <c r="B308" s="453"/>
      <c r="C308" s="453"/>
      <c r="D308" s="453"/>
      <c r="E308" s="453"/>
      <c r="F308" s="453"/>
      <c r="G308" s="453"/>
      <c r="H308" s="453"/>
      <c r="I308" s="453"/>
      <c r="J308" s="453"/>
      <c r="K308" s="453"/>
    </row>
    <row r="309" spans="2:11">
      <c r="B309" s="453"/>
      <c r="C309" s="453"/>
      <c r="D309" s="453"/>
      <c r="E309" s="453"/>
      <c r="F309" s="453"/>
      <c r="G309" s="453"/>
      <c r="H309" s="453"/>
      <c r="I309" s="453"/>
      <c r="J309" s="453"/>
      <c r="K309" s="453"/>
    </row>
    <row r="310" spans="2:11">
      <c r="B310" s="453"/>
      <c r="C310" s="453"/>
      <c r="D310" s="453"/>
      <c r="E310" s="453"/>
      <c r="F310" s="453"/>
      <c r="G310" s="453"/>
      <c r="H310" s="453"/>
      <c r="I310" s="453"/>
      <c r="J310" s="453"/>
      <c r="K310" s="453"/>
    </row>
    <row r="311" spans="2:11">
      <c r="B311" s="453"/>
      <c r="C311" s="453"/>
      <c r="D311" s="453"/>
      <c r="E311" s="453"/>
      <c r="F311" s="453"/>
      <c r="G311" s="453"/>
      <c r="H311" s="453"/>
      <c r="I311" s="453"/>
      <c r="J311" s="453"/>
      <c r="K311" s="453"/>
    </row>
    <row r="312" spans="2:11">
      <c r="B312" s="453"/>
      <c r="C312" s="453"/>
      <c r="D312" s="453"/>
      <c r="E312" s="453"/>
      <c r="F312" s="453"/>
      <c r="G312" s="453"/>
      <c r="H312" s="453"/>
      <c r="I312" s="453"/>
      <c r="J312" s="453"/>
      <c r="K312" s="453"/>
    </row>
    <row r="313" spans="2:11">
      <c r="B313" s="453"/>
      <c r="C313" s="453"/>
      <c r="D313" s="453"/>
      <c r="E313" s="453"/>
      <c r="F313" s="453"/>
      <c r="G313" s="453"/>
      <c r="H313" s="453"/>
      <c r="I313" s="453"/>
      <c r="J313" s="453"/>
      <c r="K313" s="453"/>
    </row>
    <row r="314" spans="2:11">
      <c r="B314" s="453"/>
      <c r="C314" s="453"/>
      <c r="D314" s="453"/>
      <c r="E314" s="453"/>
      <c r="F314" s="453"/>
      <c r="G314" s="453"/>
      <c r="H314" s="453"/>
      <c r="I314" s="453"/>
      <c r="J314" s="453"/>
      <c r="K314" s="453"/>
    </row>
    <row r="315" spans="2:11">
      <c r="B315" s="453"/>
      <c r="C315" s="453"/>
      <c r="D315" s="453"/>
      <c r="E315" s="453"/>
      <c r="F315" s="453"/>
      <c r="G315" s="453"/>
      <c r="H315" s="453"/>
      <c r="I315" s="453"/>
      <c r="J315" s="453"/>
      <c r="K315" s="453"/>
    </row>
  </sheetData>
  <mergeCells count="50">
    <mergeCell ref="E23:F23"/>
    <mergeCell ref="A1:D1"/>
    <mergeCell ref="B2:D2"/>
    <mergeCell ref="B3:G3"/>
    <mergeCell ref="C5:D5"/>
    <mergeCell ref="C6:D6"/>
    <mergeCell ref="A8:B10"/>
    <mergeCell ref="C9:D9"/>
    <mergeCell ref="C10:D10"/>
    <mergeCell ref="C15:D15"/>
    <mergeCell ref="E18:J18"/>
    <mergeCell ref="E19:K19"/>
    <mergeCell ref="E21:K21"/>
    <mergeCell ref="A22:B22"/>
    <mergeCell ref="I36:K36"/>
    <mergeCell ref="A25:B25"/>
    <mergeCell ref="E25:K25"/>
    <mergeCell ref="E27:K27"/>
    <mergeCell ref="A29:B29"/>
    <mergeCell ref="E29:K29"/>
    <mergeCell ref="E31:K31"/>
    <mergeCell ref="G32:I32"/>
    <mergeCell ref="J32:K32"/>
    <mergeCell ref="B33:J33"/>
    <mergeCell ref="I34:J34"/>
    <mergeCell ref="I35:K35"/>
    <mergeCell ref="C47:J47"/>
    <mergeCell ref="I37:K37"/>
    <mergeCell ref="D38:E38"/>
    <mergeCell ref="J38:K38"/>
    <mergeCell ref="D39:I39"/>
    <mergeCell ref="B40:J40"/>
    <mergeCell ref="C41:G41"/>
    <mergeCell ref="C42:J42"/>
    <mergeCell ref="B43:J43"/>
    <mergeCell ref="C44:J44"/>
    <mergeCell ref="B45:J45"/>
    <mergeCell ref="B46:J46"/>
    <mergeCell ref="B59:J59"/>
    <mergeCell ref="B48:J48"/>
    <mergeCell ref="C49:J49"/>
    <mergeCell ref="B50:J50"/>
    <mergeCell ref="C51:J51"/>
    <mergeCell ref="B52:J52"/>
    <mergeCell ref="C53:J53"/>
    <mergeCell ref="B54:J54"/>
    <mergeCell ref="C55:J55"/>
    <mergeCell ref="B56:J56"/>
    <mergeCell ref="B57:J57"/>
    <mergeCell ref="C58:J58"/>
  </mergeCells>
  <printOptions horizontalCentered="1"/>
  <pageMargins left="0.63" right="0.35" top="0.17" bottom="0.31" header="0.17" footer="0.16"/>
  <pageSetup paperSize="9" scale="90" orientation="portrait" r:id="rId1"/>
  <headerFooter alignWithMargins="0"/>
  <drawing r:id="rId2"/>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200-000000000000}">
  <sheetPr>
    <tabColor rgb="FF00B050"/>
  </sheetPr>
  <dimension ref="A1:I19"/>
  <sheetViews>
    <sheetView topLeftCell="A10" zoomScale="115" zoomScaleNormal="115" workbookViewId="0">
      <selection activeCell="D17" sqref="D17"/>
    </sheetView>
  </sheetViews>
  <sheetFormatPr defaultRowHeight="12.75"/>
  <cols>
    <col min="1" max="1" width="9.140625" style="456"/>
    <col min="2" max="2" width="12.5703125" style="456" customWidth="1"/>
    <col min="3" max="6" width="9.140625" style="456"/>
    <col min="7" max="7" width="11" style="456" customWidth="1"/>
    <col min="8" max="8" width="11.28515625" style="456" customWidth="1"/>
    <col min="9" max="257" width="9.140625" style="456"/>
    <col min="258" max="258" width="12.5703125" style="456" customWidth="1"/>
    <col min="259" max="262" width="9.140625" style="456"/>
    <col min="263" max="263" width="11" style="456" customWidth="1"/>
    <col min="264" max="264" width="11.28515625" style="456" customWidth="1"/>
    <col min="265" max="513" width="9.140625" style="456"/>
    <col min="514" max="514" width="12.5703125" style="456" customWidth="1"/>
    <col min="515" max="518" width="9.140625" style="456"/>
    <col min="519" max="519" width="11" style="456" customWidth="1"/>
    <col min="520" max="520" width="11.28515625" style="456" customWidth="1"/>
    <col min="521" max="769" width="9.140625" style="456"/>
    <col min="770" max="770" width="12.5703125" style="456" customWidth="1"/>
    <col min="771" max="774" width="9.140625" style="456"/>
    <col min="775" max="775" width="11" style="456" customWidth="1"/>
    <col min="776" max="776" width="11.28515625" style="456" customWidth="1"/>
    <col min="777" max="1025" width="9.140625" style="456"/>
    <col min="1026" max="1026" width="12.5703125" style="456" customWidth="1"/>
    <col min="1027" max="1030" width="9.140625" style="456"/>
    <col min="1031" max="1031" width="11" style="456" customWidth="1"/>
    <col min="1032" max="1032" width="11.28515625" style="456" customWidth="1"/>
    <col min="1033" max="1281" width="9.140625" style="456"/>
    <col min="1282" max="1282" width="12.5703125" style="456" customWidth="1"/>
    <col min="1283" max="1286" width="9.140625" style="456"/>
    <col min="1287" max="1287" width="11" style="456" customWidth="1"/>
    <col min="1288" max="1288" width="11.28515625" style="456" customWidth="1"/>
    <col min="1289" max="1537" width="9.140625" style="456"/>
    <col min="1538" max="1538" width="12.5703125" style="456" customWidth="1"/>
    <col min="1539" max="1542" width="9.140625" style="456"/>
    <col min="1543" max="1543" width="11" style="456" customWidth="1"/>
    <col min="1544" max="1544" width="11.28515625" style="456" customWidth="1"/>
    <col min="1545" max="1793" width="9.140625" style="456"/>
    <col min="1794" max="1794" width="12.5703125" style="456" customWidth="1"/>
    <col min="1795" max="1798" width="9.140625" style="456"/>
    <col min="1799" max="1799" width="11" style="456" customWidth="1"/>
    <col min="1800" max="1800" width="11.28515625" style="456" customWidth="1"/>
    <col min="1801" max="2049" width="9.140625" style="456"/>
    <col min="2050" max="2050" width="12.5703125" style="456" customWidth="1"/>
    <col min="2051" max="2054" width="9.140625" style="456"/>
    <col min="2055" max="2055" width="11" style="456" customWidth="1"/>
    <col min="2056" max="2056" width="11.28515625" style="456" customWidth="1"/>
    <col min="2057" max="2305" width="9.140625" style="456"/>
    <col min="2306" max="2306" width="12.5703125" style="456" customWidth="1"/>
    <col min="2307" max="2310" width="9.140625" style="456"/>
    <col min="2311" max="2311" width="11" style="456" customWidth="1"/>
    <col min="2312" max="2312" width="11.28515625" style="456" customWidth="1"/>
    <col min="2313" max="2561" width="9.140625" style="456"/>
    <col min="2562" max="2562" width="12.5703125" style="456" customWidth="1"/>
    <col min="2563" max="2566" width="9.140625" style="456"/>
    <col min="2567" max="2567" width="11" style="456" customWidth="1"/>
    <col min="2568" max="2568" width="11.28515625" style="456" customWidth="1"/>
    <col min="2569" max="2817" width="9.140625" style="456"/>
    <col min="2818" max="2818" width="12.5703125" style="456" customWidth="1"/>
    <col min="2819" max="2822" width="9.140625" style="456"/>
    <col min="2823" max="2823" width="11" style="456" customWidth="1"/>
    <col min="2824" max="2824" width="11.28515625" style="456" customWidth="1"/>
    <col min="2825" max="3073" width="9.140625" style="456"/>
    <col min="3074" max="3074" width="12.5703125" style="456" customWidth="1"/>
    <col min="3075" max="3078" width="9.140625" style="456"/>
    <col min="3079" max="3079" width="11" style="456" customWidth="1"/>
    <col min="3080" max="3080" width="11.28515625" style="456" customWidth="1"/>
    <col min="3081" max="3329" width="9.140625" style="456"/>
    <col min="3330" max="3330" width="12.5703125" style="456" customWidth="1"/>
    <col min="3331" max="3334" width="9.140625" style="456"/>
    <col min="3335" max="3335" width="11" style="456" customWidth="1"/>
    <col min="3336" max="3336" width="11.28515625" style="456" customWidth="1"/>
    <col min="3337" max="3585" width="9.140625" style="456"/>
    <col min="3586" max="3586" width="12.5703125" style="456" customWidth="1"/>
    <col min="3587" max="3590" width="9.140625" style="456"/>
    <col min="3591" max="3591" width="11" style="456" customWidth="1"/>
    <col min="3592" max="3592" width="11.28515625" style="456" customWidth="1"/>
    <col min="3593" max="3841" width="9.140625" style="456"/>
    <col min="3842" max="3842" width="12.5703125" style="456" customWidth="1"/>
    <col min="3843" max="3846" width="9.140625" style="456"/>
    <col min="3847" max="3847" width="11" style="456" customWidth="1"/>
    <col min="3848" max="3848" width="11.28515625" style="456" customWidth="1"/>
    <col min="3849" max="4097" width="9.140625" style="456"/>
    <col min="4098" max="4098" width="12.5703125" style="456" customWidth="1"/>
    <col min="4099" max="4102" width="9.140625" style="456"/>
    <col min="4103" max="4103" width="11" style="456" customWidth="1"/>
    <col min="4104" max="4104" width="11.28515625" style="456" customWidth="1"/>
    <col min="4105" max="4353" width="9.140625" style="456"/>
    <col min="4354" max="4354" width="12.5703125" style="456" customWidth="1"/>
    <col min="4355" max="4358" width="9.140625" style="456"/>
    <col min="4359" max="4359" width="11" style="456" customWidth="1"/>
    <col min="4360" max="4360" width="11.28515625" style="456" customWidth="1"/>
    <col min="4361" max="4609" width="9.140625" style="456"/>
    <col min="4610" max="4610" width="12.5703125" style="456" customWidth="1"/>
    <col min="4611" max="4614" width="9.140625" style="456"/>
    <col min="4615" max="4615" width="11" style="456" customWidth="1"/>
    <col min="4616" max="4616" width="11.28515625" style="456" customWidth="1"/>
    <col min="4617" max="4865" width="9.140625" style="456"/>
    <col min="4866" max="4866" width="12.5703125" style="456" customWidth="1"/>
    <col min="4867" max="4870" width="9.140625" style="456"/>
    <col min="4871" max="4871" width="11" style="456" customWidth="1"/>
    <col min="4872" max="4872" width="11.28515625" style="456" customWidth="1"/>
    <col min="4873" max="5121" width="9.140625" style="456"/>
    <col min="5122" max="5122" width="12.5703125" style="456" customWidth="1"/>
    <col min="5123" max="5126" width="9.140625" style="456"/>
    <col min="5127" max="5127" width="11" style="456" customWidth="1"/>
    <col min="5128" max="5128" width="11.28515625" style="456" customWidth="1"/>
    <col min="5129" max="5377" width="9.140625" style="456"/>
    <col min="5378" max="5378" width="12.5703125" style="456" customWidth="1"/>
    <col min="5379" max="5382" width="9.140625" style="456"/>
    <col min="5383" max="5383" width="11" style="456" customWidth="1"/>
    <col min="5384" max="5384" width="11.28515625" style="456" customWidth="1"/>
    <col min="5385" max="5633" width="9.140625" style="456"/>
    <col min="5634" max="5634" width="12.5703125" style="456" customWidth="1"/>
    <col min="5635" max="5638" width="9.140625" style="456"/>
    <col min="5639" max="5639" width="11" style="456" customWidth="1"/>
    <col min="5640" max="5640" width="11.28515625" style="456" customWidth="1"/>
    <col min="5641" max="5889" width="9.140625" style="456"/>
    <col min="5890" max="5890" width="12.5703125" style="456" customWidth="1"/>
    <col min="5891" max="5894" width="9.140625" style="456"/>
    <col min="5895" max="5895" width="11" style="456" customWidth="1"/>
    <col min="5896" max="5896" width="11.28515625" style="456" customWidth="1"/>
    <col min="5897" max="6145" width="9.140625" style="456"/>
    <col min="6146" max="6146" width="12.5703125" style="456" customWidth="1"/>
    <col min="6147" max="6150" width="9.140625" style="456"/>
    <col min="6151" max="6151" width="11" style="456" customWidth="1"/>
    <col min="6152" max="6152" width="11.28515625" style="456" customWidth="1"/>
    <col min="6153" max="6401" width="9.140625" style="456"/>
    <col min="6402" max="6402" width="12.5703125" style="456" customWidth="1"/>
    <col min="6403" max="6406" width="9.140625" style="456"/>
    <col min="6407" max="6407" width="11" style="456" customWidth="1"/>
    <col min="6408" max="6408" width="11.28515625" style="456" customWidth="1"/>
    <col min="6409" max="6657" width="9.140625" style="456"/>
    <col min="6658" max="6658" width="12.5703125" style="456" customWidth="1"/>
    <col min="6659" max="6662" width="9.140625" style="456"/>
    <col min="6663" max="6663" width="11" style="456" customWidth="1"/>
    <col min="6664" max="6664" width="11.28515625" style="456" customWidth="1"/>
    <col min="6665" max="6913" width="9.140625" style="456"/>
    <col min="6914" max="6914" width="12.5703125" style="456" customWidth="1"/>
    <col min="6915" max="6918" width="9.140625" style="456"/>
    <col min="6919" max="6919" width="11" style="456" customWidth="1"/>
    <col min="6920" max="6920" width="11.28515625" style="456" customWidth="1"/>
    <col min="6921" max="7169" width="9.140625" style="456"/>
    <col min="7170" max="7170" width="12.5703125" style="456" customWidth="1"/>
    <col min="7171" max="7174" width="9.140625" style="456"/>
    <col min="7175" max="7175" width="11" style="456" customWidth="1"/>
    <col min="7176" max="7176" width="11.28515625" style="456" customWidth="1"/>
    <col min="7177" max="7425" width="9.140625" style="456"/>
    <col min="7426" max="7426" width="12.5703125" style="456" customWidth="1"/>
    <col min="7427" max="7430" width="9.140625" style="456"/>
    <col min="7431" max="7431" width="11" style="456" customWidth="1"/>
    <col min="7432" max="7432" width="11.28515625" style="456" customWidth="1"/>
    <col min="7433" max="7681" width="9.140625" style="456"/>
    <col min="7682" max="7682" width="12.5703125" style="456" customWidth="1"/>
    <col min="7683" max="7686" width="9.140625" style="456"/>
    <col min="7687" max="7687" width="11" style="456" customWidth="1"/>
    <col min="7688" max="7688" width="11.28515625" style="456" customWidth="1"/>
    <col min="7689" max="7937" width="9.140625" style="456"/>
    <col min="7938" max="7938" width="12.5703125" style="456" customWidth="1"/>
    <col min="7939" max="7942" width="9.140625" style="456"/>
    <col min="7943" max="7943" width="11" style="456" customWidth="1"/>
    <col min="7944" max="7944" width="11.28515625" style="456" customWidth="1"/>
    <col min="7945" max="8193" width="9.140625" style="456"/>
    <col min="8194" max="8194" width="12.5703125" style="456" customWidth="1"/>
    <col min="8195" max="8198" width="9.140625" style="456"/>
    <col min="8199" max="8199" width="11" style="456" customWidth="1"/>
    <col min="8200" max="8200" width="11.28515625" style="456" customWidth="1"/>
    <col min="8201" max="8449" width="9.140625" style="456"/>
    <col min="8450" max="8450" width="12.5703125" style="456" customWidth="1"/>
    <col min="8451" max="8454" width="9.140625" style="456"/>
    <col min="8455" max="8455" width="11" style="456" customWidth="1"/>
    <col min="8456" max="8456" width="11.28515625" style="456" customWidth="1"/>
    <col min="8457" max="8705" width="9.140625" style="456"/>
    <col min="8706" max="8706" width="12.5703125" style="456" customWidth="1"/>
    <col min="8707" max="8710" width="9.140625" style="456"/>
    <col min="8711" max="8711" width="11" style="456" customWidth="1"/>
    <col min="8712" max="8712" width="11.28515625" style="456" customWidth="1"/>
    <col min="8713" max="8961" width="9.140625" style="456"/>
    <col min="8962" max="8962" width="12.5703125" style="456" customWidth="1"/>
    <col min="8963" max="8966" width="9.140625" style="456"/>
    <col min="8967" max="8967" width="11" style="456" customWidth="1"/>
    <col min="8968" max="8968" width="11.28515625" style="456" customWidth="1"/>
    <col min="8969" max="9217" width="9.140625" style="456"/>
    <col min="9218" max="9218" width="12.5703125" style="456" customWidth="1"/>
    <col min="9219" max="9222" width="9.140625" style="456"/>
    <col min="9223" max="9223" width="11" style="456" customWidth="1"/>
    <col min="9224" max="9224" width="11.28515625" style="456" customWidth="1"/>
    <col min="9225" max="9473" width="9.140625" style="456"/>
    <col min="9474" max="9474" width="12.5703125" style="456" customWidth="1"/>
    <col min="9475" max="9478" width="9.140625" style="456"/>
    <col min="9479" max="9479" width="11" style="456" customWidth="1"/>
    <col min="9480" max="9480" width="11.28515625" style="456" customWidth="1"/>
    <col min="9481" max="9729" width="9.140625" style="456"/>
    <col min="9730" max="9730" width="12.5703125" style="456" customWidth="1"/>
    <col min="9731" max="9734" width="9.140625" style="456"/>
    <col min="9735" max="9735" width="11" style="456" customWidth="1"/>
    <col min="9736" max="9736" width="11.28515625" style="456" customWidth="1"/>
    <col min="9737" max="9985" width="9.140625" style="456"/>
    <col min="9986" max="9986" width="12.5703125" style="456" customWidth="1"/>
    <col min="9987" max="9990" width="9.140625" style="456"/>
    <col min="9991" max="9991" width="11" style="456" customWidth="1"/>
    <col min="9992" max="9992" width="11.28515625" style="456" customWidth="1"/>
    <col min="9993" max="10241" width="9.140625" style="456"/>
    <col min="10242" max="10242" width="12.5703125" style="456" customWidth="1"/>
    <col min="10243" max="10246" width="9.140625" style="456"/>
    <col min="10247" max="10247" width="11" style="456" customWidth="1"/>
    <col min="10248" max="10248" width="11.28515625" style="456" customWidth="1"/>
    <col min="10249" max="10497" width="9.140625" style="456"/>
    <col min="10498" max="10498" width="12.5703125" style="456" customWidth="1"/>
    <col min="10499" max="10502" width="9.140625" style="456"/>
    <col min="10503" max="10503" width="11" style="456" customWidth="1"/>
    <col min="10504" max="10504" width="11.28515625" style="456" customWidth="1"/>
    <col min="10505" max="10753" width="9.140625" style="456"/>
    <col min="10754" max="10754" width="12.5703125" style="456" customWidth="1"/>
    <col min="10755" max="10758" width="9.140625" style="456"/>
    <col min="10759" max="10759" width="11" style="456" customWidth="1"/>
    <col min="10760" max="10760" width="11.28515625" style="456" customWidth="1"/>
    <col min="10761" max="11009" width="9.140625" style="456"/>
    <col min="11010" max="11010" width="12.5703125" style="456" customWidth="1"/>
    <col min="11011" max="11014" width="9.140625" style="456"/>
    <col min="11015" max="11015" width="11" style="456" customWidth="1"/>
    <col min="11016" max="11016" width="11.28515625" style="456" customWidth="1"/>
    <col min="11017" max="11265" width="9.140625" style="456"/>
    <col min="11266" max="11266" width="12.5703125" style="456" customWidth="1"/>
    <col min="11267" max="11270" width="9.140625" style="456"/>
    <col min="11271" max="11271" width="11" style="456" customWidth="1"/>
    <col min="11272" max="11272" width="11.28515625" style="456" customWidth="1"/>
    <col min="11273" max="11521" width="9.140625" style="456"/>
    <col min="11522" max="11522" width="12.5703125" style="456" customWidth="1"/>
    <col min="11523" max="11526" width="9.140625" style="456"/>
    <col min="11527" max="11527" width="11" style="456" customWidth="1"/>
    <col min="11528" max="11528" width="11.28515625" style="456" customWidth="1"/>
    <col min="11529" max="11777" width="9.140625" style="456"/>
    <col min="11778" max="11778" width="12.5703125" style="456" customWidth="1"/>
    <col min="11779" max="11782" width="9.140625" style="456"/>
    <col min="11783" max="11783" width="11" style="456" customWidth="1"/>
    <col min="11784" max="11784" width="11.28515625" style="456" customWidth="1"/>
    <col min="11785" max="12033" width="9.140625" style="456"/>
    <col min="12034" max="12034" width="12.5703125" style="456" customWidth="1"/>
    <col min="12035" max="12038" width="9.140625" style="456"/>
    <col min="12039" max="12039" width="11" style="456" customWidth="1"/>
    <col min="12040" max="12040" width="11.28515625" style="456" customWidth="1"/>
    <col min="12041" max="12289" width="9.140625" style="456"/>
    <col min="12290" max="12290" width="12.5703125" style="456" customWidth="1"/>
    <col min="12291" max="12294" width="9.140625" style="456"/>
    <col min="12295" max="12295" width="11" style="456" customWidth="1"/>
    <col min="12296" max="12296" width="11.28515625" style="456" customWidth="1"/>
    <col min="12297" max="12545" width="9.140625" style="456"/>
    <col min="12546" max="12546" width="12.5703125" style="456" customWidth="1"/>
    <col min="12547" max="12550" width="9.140625" style="456"/>
    <col min="12551" max="12551" width="11" style="456" customWidth="1"/>
    <col min="12552" max="12552" width="11.28515625" style="456" customWidth="1"/>
    <col min="12553" max="12801" width="9.140625" style="456"/>
    <col min="12802" max="12802" width="12.5703125" style="456" customWidth="1"/>
    <col min="12803" max="12806" width="9.140625" style="456"/>
    <col min="12807" max="12807" width="11" style="456" customWidth="1"/>
    <col min="12808" max="12808" width="11.28515625" style="456" customWidth="1"/>
    <col min="12809" max="13057" width="9.140625" style="456"/>
    <col min="13058" max="13058" width="12.5703125" style="456" customWidth="1"/>
    <col min="13059" max="13062" width="9.140625" style="456"/>
    <col min="13063" max="13063" width="11" style="456" customWidth="1"/>
    <col min="13064" max="13064" width="11.28515625" style="456" customWidth="1"/>
    <col min="13065" max="13313" width="9.140625" style="456"/>
    <col min="13314" max="13314" width="12.5703125" style="456" customWidth="1"/>
    <col min="13315" max="13318" width="9.140625" style="456"/>
    <col min="13319" max="13319" width="11" style="456" customWidth="1"/>
    <col min="13320" max="13320" width="11.28515625" style="456" customWidth="1"/>
    <col min="13321" max="13569" width="9.140625" style="456"/>
    <col min="13570" max="13570" width="12.5703125" style="456" customWidth="1"/>
    <col min="13571" max="13574" width="9.140625" style="456"/>
    <col min="13575" max="13575" width="11" style="456" customWidth="1"/>
    <col min="13576" max="13576" width="11.28515625" style="456" customWidth="1"/>
    <col min="13577" max="13825" width="9.140625" style="456"/>
    <col min="13826" max="13826" width="12.5703125" style="456" customWidth="1"/>
    <col min="13827" max="13830" width="9.140625" style="456"/>
    <col min="13831" max="13831" width="11" style="456" customWidth="1"/>
    <col min="13832" max="13832" width="11.28515625" style="456" customWidth="1"/>
    <col min="13833" max="14081" width="9.140625" style="456"/>
    <col min="14082" max="14082" width="12.5703125" style="456" customWidth="1"/>
    <col min="14083" max="14086" width="9.140625" style="456"/>
    <col min="14087" max="14087" width="11" style="456" customWidth="1"/>
    <col min="14088" max="14088" width="11.28515625" style="456" customWidth="1"/>
    <col min="14089" max="14337" width="9.140625" style="456"/>
    <col min="14338" max="14338" width="12.5703125" style="456" customWidth="1"/>
    <col min="14339" max="14342" width="9.140625" style="456"/>
    <col min="14343" max="14343" width="11" style="456" customWidth="1"/>
    <col min="14344" max="14344" width="11.28515625" style="456" customWidth="1"/>
    <col min="14345" max="14593" width="9.140625" style="456"/>
    <col min="14594" max="14594" width="12.5703125" style="456" customWidth="1"/>
    <col min="14595" max="14598" width="9.140625" style="456"/>
    <col min="14599" max="14599" width="11" style="456" customWidth="1"/>
    <col min="14600" max="14600" width="11.28515625" style="456" customWidth="1"/>
    <col min="14601" max="14849" width="9.140625" style="456"/>
    <col min="14850" max="14850" width="12.5703125" style="456" customWidth="1"/>
    <col min="14851" max="14854" width="9.140625" style="456"/>
    <col min="14855" max="14855" width="11" style="456" customWidth="1"/>
    <col min="14856" max="14856" width="11.28515625" style="456" customWidth="1"/>
    <col min="14857" max="15105" width="9.140625" style="456"/>
    <col min="15106" max="15106" width="12.5703125" style="456" customWidth="1"/>
    <col min="15107" max="15110" width="9.140625" style="456"/>
    <col min="15111" max="15111" width="11" style="456" customWidth="1"/>
    <col min="15112" max="15112" width="11.28515625" style="456" customWidth="1"/>
    <col min="15113" max="15361" width="9.140625" style="456"/>
    <col min="15362" max="15362" width="12.5703125" style="456" customWidth="1"/>
    <col min="15363" max="15366" width="9.140625" style="456"/>
    <col min="15367" max="15367" width="11" style="456" customWidth="1"/>
    <col min="15368" max="15368" width="11.28515625" style="456" customWidth="1"/>
    <col min="15369" max="15617" width="9.140625" style="456"/>
    <col min="15618" max="15618" width="12.5703125" style="456" customWidth="1"/>
    <col min="15619" max="15622" width="9.140625" style="456"/>
    <col min="15623" max="15623" width="11" style="456" customWidth="1"/>
    <col min="15624" max="15624" width="11.28515625" style="456" customWidth="1"/>
    <col min="15625" max="15873" width="9.140625" style="456"/>
    <col min="15874" max="15874" width="12.5703125" style="456" customWidth="1"/>
    <col min="15875" max="15878" width="9.140625" style="456"/>
    <col min="15879" max="15879" width="11" style="456" customWidth="1"/>
    <col min="15880" max="15880" width="11.28515625" style="456" customWidth="1"/>
    <col min="15881" max="16129" width="9.140625" style="456"/>
    <col min="16130" max="16130" width="12.5703125" style="456" customWidth="1"/>
    <col min="16131" max="16134" width="9.140625" style="456"/>
    <col min="16135" max="16135" width="11" style="456" customWidth="1"/>
    <col min="16136" max="16136" width="11.28515625" style="456" customWidth="1"/>
    <col min="16137" max="16384" width="9.140625" style="456"/>
  </cols>
  <sheetData>
    <row r="1" spans="1:9" s="454" customFormat="1" ht="61.5" customHeight="1">
      <c r="A1" s="454" t="s">
        <v>2053</v>
      </c>
      <c r="C1" s="1092" t="str">
        <f>'lead 25-26'!C2</f>
        <v>Construction of Community Hall at Chakirala village and  GP of Kanigiri  Mandal.</v>
      </c>
      <c r="D1" s="1092"/>
      <c r="E1" s="1092"/>
      <c r="F1" s="1092"/>
      <c r="G1" s="1092"/>
      <c r="H1" s="1092"/>
      <c r="I1" s="1092"/>
    </row>
    <row r="2" spans="1:9" s="455" customFormat="1" ht="17.25" customHeight="1">
      <c r="A2" s="455" t="s">
        <v>2054</v>
      </c>
      <c r="C2" s="455" t="str">
        <f>'lead 25-26'!K4</f>
        <v>20.00 Lakhs</v>
      </c>
    </row>
    <row r="3" spans="1:9" s="455" customFormat="1" ht="17.25" customHeight="1">
      <c r="A3" s="455" t="s">
        <v>2055</v>
      </c>
      <c r="C3" s="455" t="str">
        <f>'C-1 '!C3</f>
        <v>ZPGF 15% Office Maintenance Grant.</v>
      </c>
    </row>
    <row r="8" spans="1:9" ht="15.75">
      <c r="A8" s="1093" t="s">
        <v>2056</v>
      </c>
      <c r="B8" s="1093"/>
      <c r="C8" s="1093"/>
      <c r="D8" s="1093"/>
      <c r="E8" s="1093"/>
      <c r="F8" s="1093"/>
      <c r="G8" s="1093"/>
      <c r="H8" s="1093"/>
      <c r="I8" s="1093"/>
    </row>
    <row r="9" spans="1:9" ht="15.75">
      <c r="A9" s="457"/>
      <c r="B9" s="457"/>
      <c r="C9" s="457"/>
      <c r="D9" s="457"/>
      <c r="E9" s="457"/>
      <c r="F9" s="457"/>
      <c r="G9" s="457"/>
      <c r="H9" s="457"/>
      <c r="I9" s="457"/>
    </row>
    <row r="10" spans="1:9" s="459" customFormat="1" ht="30" customHeight="1">
      <c r="A10" s="458">
        <v>1</v>
      </c>
      <c r="B10" s="1091" t="s">
        <v>2057</v>
      </c>
      <c r="C10" s="1091"/>
      <c r="D10" s="1091"/>
      <c r="E10" s="1091"/>
      <c r="F10" s="1091"/>
      <c r="G10" s="1091"/>
      <c r="H10" s="1091"/>
      <c r="I10" s="1091"/>
    </row>
    <row r="11" spans="1:9" s="459" customFormat="1" ht="30.75" customHeight="1">
      <c r="A11" s="458">
        <v>2</v>
      </c>
      <c r="B11" s="1091" t="s">
        <v>2058</v>
      </c>
      <c r="C11" s="1091"/>
      <c r="D11" s="1091"/>
      <c r="E11" s="1091"/>
      <c r="F11" s="1091"/>
      <c r="G11" s="1091"/>
      <c r="H11" s="1091"/>
      <c r="I11" s="1091"/>
    </row>
    <row r="12" spans="1:9" s="459" customFormat="1" ht="37.5" customHeight="1">
      <c r="A12" s="458">
        <v>3</v>
      </c>
      <c r="B12" s="1091" t="s">
        <v>2059</v>
      </c>
      <c r="C12" s="1091"/>
      <c r="D12" s="1091"/>
      <c r="E12" s="1091"/>
      <c r="F12" s="1091"/>
      <c r="G12" s="1091"/>
      <c r="H12" s="1091"/>
      <c r="I12" s="1091"/>
    </row>
    <row r="13" spans="1:9" s="459" customFormat="1" ht="34.5" customHeight="1">
      <c r="A13" s="458">
        <v>4</v>
      </c>
      <c r="B13" s="1091" t="s">
        <v>2060</v>
      </c>
      <c r="C13" s="1091"/>
      <c r="D13" s="1091"/>
      <c r="E13" s="1091"/>
      <c r="F13" s="1091"/>
      <c r="G13" s="1091"/>
      <c r="H13" s="1091"/>
      <c r="I13" s="1091"/>
    </row>
    <row r="14" spans="1:9" s="459" customFormat="1" ht="27.75" customHeight="1">
      <c r="A14" s="458">
        <v>5</v>
      </c>
      <c r="B14" s="1091" t="s">
        <v>2061</v>
      </c>
      <c r="C14" s="1091"/>
      <c r="D14" s="1091"/>
      <c r="E14" s="1091"/>
      <c r="F14" s="1091"/>
      <c r="G14" s="1091"/>
      <c r="H14" s="1091"/>
      <c r="I14" s="1091"/>
    </row>
    <row r="17" spans="4:7" ht="15">
      <c r="D17" s="460" t="s">
        <v>2062</v>
      </c>
      <c r="G17" s="460" t="str">
        <f>'lead 25-26'!K32</f>
        <v>Assistant  Engineer</v>
      </c>
    </row>
    <row r="18" spans="4:7" ht="15">
      <c r="D18" s="460" t="s">
        <v>2063</v>
      </c>
      <c r="G18" s="460" t="str">
        <f>'lead 25-26'!K33</f>
        <v>Mandal Praja parishad</v>
      </c>
    </row>
    <row r="19" spans="4:7" ht="15">
      <c r="D19" s="460"/>
      <c r="G19" s="460" t="str">
        <f>'lead 25-26'!K34</f>
        <v>Kanigiri</v>
      </c>
    </row>
  </sheetData>
  <mergeCells count="7">
    <mergeCell ref="B14:I14"/>
    <mergeCell ref="C1:I1"/>
    <mergeCell ref="A8:I8"/>
    <mergeCell ref="B10:I10"/>
    <mergeCell ref="B11:I11"/>
    <mergeCell ref="B12:I12"/>
    <mergeCell ref="B13:I13"/>
  </mergeCells>
  <pageMargins left="0.70866141732283472" right="0.41" top="0.74803149606299213" bottom="0.74803149606299213" header="0.31496062992125984" footer="0.31496062992125984"/>
  <pageSetup paperSize="9" orientation="portrait" r:id="rId1"/>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300-000000000000}">
  <sheetPr filterMode="1">
    <tabColor rgb="FFFF0000"/>
  </sheetPr>
  <dimension ref="A1:U493"/>
  <sheetViews>
    <sheetView showZeros="0" view="pageBreakPreview" zoomScaleSheetLayoutView="100" workbookViewId="0">
      <selection activeCell="C36" sqref="C36"/>
    </sheetView>
  </sheetViews>
  <sheetFormatPr defaultRowHeight="12.75"/>
  <cols>
    <col min="1" max="1" width="3.28515625" style="204" customWidth="1"/>
    <col min="2" max="2" width="22.28515625" style="204" bestFit="1" customWidth="1"/>
    <col min="3" max="5" width="7.7109375" style="204" customWidth="1"/>
    <col min="6" max="6" width="7.7109375" style="204" bestFit="1" customWidth="1"/>
    <col min="7" max="7" width="3.42578125" style="204" customWidth="1"/>
    <col min="8" max="8" width="8" style="204" customWidth="1"/>
    <col min="9" max="10" width="8.7109375" style="204" customWidth="1"/>
    <col min="11" max="11" width="6.42578125" style="204" bestFit="1" customWidth="1"/>
    <col min="12" max="12" width="7.140625" style="204" customWidth="1"/>
    <col min="13" max="13" width="6.28515625" style="204" customWidth="1"/>
    <col min="14" max="14" width="7.7109375" style="204" customWidth="1"/>
    <col min="15" max="16" width="6.42578125" style="204" customWidth="1"/>
    <col min="17" max="17" width="6" style="204" customWidth="1"/>
    <col min="18" max="18" width="5.42578125" style="204" customWidth="1"/>
    <col min="19" max="19" width="9.140625" style="204" bestFit="1" customWidth="1"/>
    <col min="20" max="20" width="7.7109375" style="204" bestFit="1" customWidth="1"/>
    <col min="21" max="21" width="3.28515625" style="204" bestFit="1" customWidth="1"/>
    <col min="22" max="16384" width="9.140625" style="204"/>
  </cols>
  <sheetData>
    <row r="1" spans="1:21" ht="21">
      <c r="A1" s="987" t="s">
        <v>237</v>
      </c>
      <c r="B1" s="987"/>
      <c r="C1" s="987"/>
      <c r="D1" s="987"/>
      <c r="E1" s="987"/>
      <c r="F1" s="987"/>
      <c r="G1" s="987"/>
      <c r="H1" s="987"/>
      <c r="I1" s="987"/>
      <c r="J1" s="987"/>
      <c r="K1" s="987"/>
      <c r="L1" s="987"/>
      <c r="M1" s="987"/>
      <c r="N1" s="987"/>
      <c r="O1" s="987"/>
      <c r="P1" s="987"/>
      <c r="Q1" s="987"/>
      <c r="R1" s="987"/>
      <c r="S1" s="987"/>
      <c r="T1" s="987"/>
      <c r="U1" s="987"/>
    </row>
    <row r="2" spans="1:21" ht="15.75" customHeight="1">
      <c r="A2" s="310" t="str">
        <f>'lead 25-26'!B2&amp;'lead 25-26'!C2</f>
        <v>Name of the Work: Construction of Community Hall at Chakirala village and  GP of Kanigiri  Mandal.</v>
      </c>
      <c r="B2" s="395"/>
      <c r="C2" s="395"/>
      <c r="D2" s="395"/>
      <c r="E2" s="395"/>
      <c r="F2" s="395"/>
      <c r="G2" s="395"/>
      <c r="H2" s="395"/>
      <c r="I2" s="395"/>
      <c r="J2" s="395"/>
      <c r="K2" s="395"/>
      <c r="L2" s="395"/>
      <c r="M2" s="395"/>
      <c r="N2" s="395"/>
      <c r="O2" s="395"/>
      <c r="P2" s="395"/>
      <c r="Q2" s="395"/>
      <c r="R2" s="395"/>
      <c r="S2" s="395"/>
      <c r="T2" s="395"/>
      <c r="U2" s="395"/>
    </row>
    <row r="3" spans="1:21" ht="38.25">
      <c r="A3" s="394" t="s">
        <v>23</v>
      </c>
      <c r="B3" s="394" t="s">
        <v>7</v>
      </c>
      <c r="C3" s="394" t="s">
        <v>225</v>
      </c>
      <c r="D3" s="394" t="s">
        <v>229</v>
      </c>
      <c r="E3" s="394" t="s">
        <v>856</v>
      </c>
      <c r="F3" s="988" t="s">
        <v>230</v>
      </c>
      <c r="G3" s="988"/>
      <c r="H3" s="394" t="s">
        <v>231</v>
      </c>
      <c r="I3" s="394" t="s">
        <v>232</v>
      </c>
      <c r="J3" s="394" t="s">
        <v>233</v>
      </c>
      <c r="K3" s="394" t="s">
        <v>238</v>
      </c>
      <c r="L3" s="242" t="s">
        <v>235</v>
      </c>
      <c r="M3" s="242" t="s">
        <v>234</v>
      </c>
      <c r="N3" s="242" t="s">
        <v>236</v>
      </c>
      <c r="O3" s="242" t="s">
        <v>133</v>
      </c>
      <c r="P3" s="242" t="s">
        <v>966</v>
      </c>
      <c r="Q3" s="394" t="s">
        <v>41</v>
      </c>
      <c r="R3" s="394" t="s">
        <v>653</v>
      </c>
      <c r="S3" s="394" t="s">
        <v>410</v>
      </c>
      <c r="T3" s="394" t="s">
        <v>134</v>
      </c>
      <c r="U3" s="209"/>
    </row>
    <row r="4" spans="1:21" ht="18" hidden="1" customHeight="1">
      <c r="A4" s="311">
        <v>1</v>
      </c>
      <c r="B4" s="209" t="s">
        <v>101</v>
      </c>
      <c r="C4" s="312"/>
      <c r="D4" s="209"/>
      <c r="E4" s="209"/>
      <c r="F4" s="313">
        <f>C4+D4</f>
        <v>0</v>
      </c>
      <c r="G4" s="313" t="s">
        <v>411</v>
      </c>
      <c r="H4" s="311">
        <v>0</v>
      </c>
      <c r="I4" s="311">
        <v>0</v>
      </c>
      <c r="J4" s="311">
        <v>0</v>
      </c>
      <c r="K4" s="311">
        <v>0</v>
      </c>
      <c r="L4" s="311">
        <v>0</v>
      </c>
      <c r="M4" s="311">
        <v>0</v>
      </c>
      <c r="N4" s="311">
        <v>0</v>
      </c>
      <c r="O4" s="314">
        <v>0</v>
      </c>
      <c r="P4" s="314">
        <v>0</v>
      </c>
      <c r="Q4" s="311">
        <v>0</v>
      </c>
      <c r="R4" s="109">
        <f>F4</f>
        <v>0</v>
      </c>
      <c r="S4" s="315">
        <v>0</v>
      </c>
      <c r="T4" s="209">
        <v>0</v>
      </c>
      <c r="U4" s="209"/>
    </row>
    <row r="5" spans="1:21" ht="20.100000000000001" hidden="1" customHeight="1">
      <c r="A5" s="311">
        <v>1</v>
      </c>
      <c r="B5" s="209" t="s">
        <v>133</v>
      </c>
      <c r="C5" s="313">
        <f>ESTIMATE!I62</f>
        <v>0</v>
      </c>
      <c r="D5" s="209"/>
      <c r="E5" s="209"/>
      <c r="F5" s="313">
        <f>SUM(C5:E5)</f>
        <v>0</v>
      </c>
      <c r="G5" s="313" t="s">
        <v>411</v>
      </c>
      <c r="H5" s="311">
        <v>0</v>
      </c>
      <c r="I5" s="311">
        <v>0</v>
      </c>
      <c r="J5" s="311">
        <v>0</v>
      </c>
      <c r="K5" s="311">
        <v>0</v>
      </c>
      <c r="L5" s="311">
        <v>0</v>
      </c>
      <c r="M5" s="311">
        <v>0</v>
      </c>
      <c r="N5" s="311">
        <v>0</v>
      </c>
      <c r="O5" s="109">
        <f>F5</f>
        <v>0</v>
      </c>
      <c r="P5" s="314">
        <v>0</v>
      </c>
      <c r="Q5" s="311">
        <v>0</v>
      </c>
      <c r="R5" s="314">
        <v>0</v>
      </c>
      <c r="S5" s="315">
        <v>0</v>
      </c>
      <c r="T5" s="209">
        <v>0</v>
      </c>
      <c r="U5" s="209"/>
    </row>
    <row r="6" spans="1:21" ht="20.100000000000001" hidden="1" customHeight="1">
      <c r="A6" s="311">
        <v>2</v>
      </c>
      <c r="B6" s="209" t="s">
        <v>1832</v>
      </c>
      <c r="C6" s="313">
        <f>ESTIMATE!I46</f>
        <v>45.04</v>
      </c>
      <c r="D6" s="209"/>
      <c r="E6" s="209"/>
      <c r="F6" s="313">
        <f t="shared" ref="F6:F43" si="0">SUM(C6:E6)</f>
        <v>45.04</v>
      </c>
      <c r="G6" s="313" t="s">
        <v>411</v>
      </c>
      <c r="H6" s="311">
        <v>0</v>
      </c>
      <c r="I6" s="311">
        <v>0</v>
      </c>
      <c r="J6" s="311">
        <v>0</v>
      </c>
      <c r="K6" s="311">
        <v>0</v>
      </c>
      <c r="L6" s="311">
        <v>0</v>
      </c>
      <c r="M6" s="311">
        <v>0</v>
      </c>
      <c r="N6" s="311">
        <v>0</v>
      </c>
      <c r="O6" s="314">
        <v>0</v>
      </c>
      <c r="P6" s="109">
        <f>F6</f>
        <v>45.04</v>
      </c>
      <c r="Q6" s="311">
        <v>0</v>
      </c>
      <c r="R6" s="314">
        <v>0</v>
      </c>
      <c r="S6" s="315">
        <v>0</v>
      </c>
      <c r="T6" s="209">
        <v>0</v>
      </c>
      <c r="U6" s="209"/>
    </row>
    <row r="7" spans="1:21" ht="20.100000000000001" hidden="1" customHeight="1">
      <c r="A7" s="311">
        <v>4</v>
      </c>
      <c r="B7" s="209" t="s">
        <v>652</v>
      </c>
      <c r="C7" s="313">
        <f>ESTIMATE!I56</f>
        <v>0</v>
      </c>
      <c r="D7" s="209"/>
      <c r="E7" s="209"/>
      <c r="F7" s="313">
        <f t="shared" si="0"/>
        <v>0</v>
      </c>
      <c r="G7" s="313" t="s">
        <v>411</v>
      </c>
      <c r="H7" s="311">
        <v>0</v>
      </c>
      <c r="I7" s="311">
        <v>0</v>
      </c>
      <c r="J7" s="311">
        <v>0</v>
      </c>
      <c r="K7" s="311">
        <v>0</v>
      </c>
      <c r="L7" s="311">
        <v>0</v>
      </c>
      <c r="M7" s="311">
        <v>0</v>
      </c>
      <c r="N7" s="311">
        <v>0</v>
      </c>
      <c r="O7" s="314">
        <v>0</v>
      </c>
      <c r="P7" s="109"/>
      <c r="Q7" s="311">
        <v>0</v>
      </c>
      <c r="R7" s="109">
        <f>F7</f>
        <v>0</v>
      </c>
      <c r="S7" s="315">
        <v>0</v>
      </c>
      <c r="T7" s="209">
        <v>0</v>
      </c>
      <c r="U7" s="209"/>
    </row>
    <row r="8" spans="1:21" ht="20.100000000000001" hidden="1" customHeight="1">
      <c r="A8" s="311">
        <v>3</v>
      </c>
      <c r="B8" s="209" t="s">
        <v>239</v>
      </c>
      <c r="C8" s="313">
        <f>ESTIMATE!I29</f>
        <v>10.809999999999999</v>
      </c>
      <c r="D8" s="209"/>
      <c r="E8" s="209"/>
      <c r="F8" s="313">
        <f t="shared" si="0"/>
        <v>10.809999999999999</v>
      </c>
      <c r="G8" s="313" t="s">
        <v>411</v>
      </c>
      <c r="H8" s="109">
        <f>ROUND(F8*0.9,2)</f>
        <v>9.73</v>
      </c>
      <c r="I8" s="314">
        <v>0</v>
      </c>
      <c r="J8" s="314">
        <v>0</v>
      </c>
      <c r="K8" s="311">
        <v>0</v>
      </c>
      <c r="L8" s="109">
        <f>ROUND(F8*0.45,2)</f>
        <v>4.8600000000000003</v>
      </c>
      <c r="M8" s="311">
        <v>0</v>
      </c>
      <c r="N8" s="311">
        <v>0</v>
      </c>
      <c r="O8" s="314">
        <v>0</v>
      </c>
      <c r="P8" s="314">
        <v>0</v>
      </c>
      <c r="Q8" s="314">
        <v>0</v>
      </c>
      <c r="R8" s="314">
        <v>0</v>
      </c>
      <c r="S8" s="316">
        <f t="shared" ref="S8:S44" si="1">ROUND(F8*T8/50,2)</f>
        <v>35.020000000000003</v>
      </c>
      <c r="T8" s="313">
        <v>162</v>
      </c>
      <c r="U8" s="109" t="s">
        <v>4</v>
      </c>
    </row>
    <row r="9" spans="1:21" ht="20.100000000000001" hidden="1" customHeight="1">
      <c r="A9" s="311">
        <v>4</v>
      </c>
      <c r="B9" s="209" t="s">
        <v>437</v>
      </c>
      <c r="C9" s="313">
        <f>ESTIMATE!I40</f>
        <v>0</v>
      </c>
      <c r="D9" s="209"/>
      <c r="E9" s="209"/>
      <c r="F9" s="313">
        <f t="shared" si="0"/>
        <v>0</v>
      </c>
      <c r="G9" s="313" t="s">
        <v>411</v>
      </c>
      <c r="H9" s="109">
        <f>ROUND(F9*0.9,2)</f>
        <v>0</v>
      </c>
      <c r="I9" s="314">
        <v>0</v>
      </c>
      <c r="J9" s="314">
        <v>0</v>
      </c>
      <c r="K9" s="311">
        <v>0</v>
      </c>
      <c r="L9" s="109">
        <f t="shared" ref="L9" si="2">ROUND(F9*0.45,2)</f>
        <v>0</v>
      </c>
      <c r="M9" s="311">
        <v>0</v>
      </c>
      <c r="N9" s="311">
        <v>0</v>
      </c>
      <c r="O9" s="314">
        <v>0</v>
      </c>
      <c r="P9" s="314">
        <v>0</v>
      </c>
      <c r="Q9" s="314">
        <v>0</v>
      </c>
      <c r="R9" s="314">
        <v>0</v>
      </c>
      <c r="S9" s="316">
        <f t="shared" si="1"/>
        <v>0</v>
      </c>
      <c r="T9" s="313">
        <v>129.6</v>
      </c>
      <c r="U9" s="109" t="s">
        <v>4</v>
      </c>
    </row>
    <row r="10" spans="1:21" ht="20.100000000000001" hidden="1" customHeight="1">
      <c r="A10" s="311">
        <v>4</v>
      </c>
      <c r="B10" s="209" t="s">
        <v>130</v>
      </c>
      <c r="C10" s="313">
        <f>ESTIMATE!I74</f>
        <v>5.49</v>
      </c>
      <c r="D10" s="209"/>
      <c r="E10" s="209"/>
      <c r="F10" s="313">
        <f t="shared" si="0"/>
        <v>5.49</v>
      </c>
      <c r="G10" s="313" t="s">
        <v>411</v>
      </c>
      <c r="H10" s="314">
        <v>0</v>
      </c>
      <c r="I10" s="109">
        <f t="shared" ref="I10:I20" si="3">ROUND(F10*0.8,2)</f>
        <v>4.3899999999999997</v>
      </c>
      <c r="J10" s="314">
        <v>0</v>
      </c>
      <c r="K10" s="311">
        <v>0</v>
      </c>
      <c r="L10" s="109">
        <f t="shared" ref="L10:L20" si="4">ROUND(F10*0.4,2)</f>
        <v>2.2000000000000002</v>
      </c>
      <c r="M10" s="311">
        <v>0</v>
      </c>
      <c r="N10" s="311">
        <v>0</v>
      </c>
      <c r="O10" s="314">
        <v>0</v>
      </c>
      <c r="P10" s="314">
        <v>0</v>
      </c>
      <c r="Q10" s="314">
        <v>0</v>
      </c>
      <c r="R10" s="314">
        <v>0</v>
      </c>
      <c r="S10" s="316">
        <f t="shared" si="1"/>
        <v>36.229999999999997</v>
      </c>
      <c r="T10" s="313">
        <f>'DATA 2025-26'!E114</f>
        <v>330</v>
      </c>
      <c r="U10" s="109" t="s">
        <v>4</v>
      </c>
    </row>
    <row r="11" spans="1:21" ht="20.100000000000001" hidden="1" customHeight="1">
      <c r="A11" s="311">
        <v>5</v>
      </c>
      <c r="B11" s="209" t="s">
        <v>131</v>
      </c>
      <c r="C11" s="313">
        <f>ESTIMATE!I78</f>
        <v>1.3</v>
      </c>
      <c r="D11" s="209"/>
      <c r="E11" s="209"/>
      <c r="F11" s="313">
        <f t="shared" si="0"/>
        <v>1.3</v>
      </c>
      <c r="G11" s="313" t="s">
        <v>411</v>
      </c>
      <c r="H11" s="314">
        <v>0</v>
      </c>
      <c r="I11" s="109">
        <f t="shared" si="3"/>
        <v>1.04</v>
      </c>
      <c r="J11" s="314">
        <v>0</v>
      </c>
      <c r="K11" s="311">
        <v>0</v>
      </c>
      <c r="L11" s="109">
        <f t="shared" si="4"/>
        <v>0.52</v>
      </c>
      <c r="M11" s="311">
        <v>0</v>
      </c>
      <c r="N11" s="311">
        <v>0</v>
      </c>
      <c r="O11" s="314">
        <v>0</v>
      </c>
      <c r="P11" s="314">
        <v>0</v>
      </c>
      <c r="Q11" s="314">
        <v>0</v>
      </c>
      <c r="R11" s="314">
        <v>0</v>
      </c>
      <c r="S11" s="316">
        <f t="shared" si="1"/>
        <v>8.58</v>
      </c>
      <c r="T11" s="313">
        <f>$T$10</f>
        <v>330</v>
      </c>
      <c r="U11" s="109" t="s">
        <v>4</v>
      </c>
    </row>
    <row r="12" spans="1:21" ht="20.100000000000001" hidden="1" customHeight="1">
      <c r="A12" s="311">
        <v>6</v>
      </c>
      <c r="B12" s="209" t="s">
        <v>125</v>
      </c>
      <c r="C12" s="313">
        <f>ESTIMATE!I84</f>
        <v>3.0300000000000002</v>
      </c>
      <c r="D12" s="313">
        <f>ESTIMATE!I466</f>
        <v>0</v>
      </c>
      <c r="E12" s="313">
        <f>ESTIMATE!I871</f>
        <v>0</v>
      </c>
      <c r="F12" s="313">
        <f t="shared" si="0"/>
        <v>3.0300000000000002</v>
      </c>
      <c r="G12" s="313" t="s">
        <v>411</v>
      </c>
      <c r="H12" s="314">
        <v>0</v>
      </c>
      <c r="I12" s="109">
        <f t="shared" si="3"/>
        <v>2.42</v>
      </c>
      <c r="J12" s="314">
        <v>0</v>
      </c>
      <c r="K12" s="311">
        <v>0</v>
      </c>
      <c r="L12" s="109">
        <f t="shared" si="4"/>
        <v>1.21</v>
      </c>
      <c r="M12" s="311">
        <v>0</v>
      </c>
      <c r="N12" s="311">
        <v>0</v>
      </c>
      <c r="O12" s="314">
        <v>0</v>
      </c>
      <c r="P12" s="314">
        <v>0</v>
      </c>
      <c r="Q12" s="314">
        <v>0</v>
      </c>
      <c r="R12" s="314">
        <v>0</v>
      </c>
      <c r="S12" s="316">
        <f t="shared" si="1"/>
        <v>20</v>
      </c>
      <c r="T12" s="313">
        <f t="shared" ref="T12:T20" si="5">$T$10</f>
        <v>330</v>
      </c>
      <c r="U12" s="109" t="s">
        <v>4</v>
      </c>
    </row>
    <row r="13" spans="1:21" ht="20.100000000000001" hidden="1" customHeight="1">
      <c r="A13" s="311">
        <v>7</v>
      </c>
      <c r="B13" s="209" t="s">
        <v>126</v>
      </c>
      <c r="C13" s="313">
        <f>ESTIMATE!I89</f>
        <v>2.99</v>
      </c>
      <c r="D13" s="209"/>
      <c r="E13" s="209"/>
      <c r="F13" s="313">
        <f t="shared" si="0"/>
        <v>2.99</v>
      </c>
      <c r="G13" s="313" t="s">
        <v>411</v>
      </c>
      <c r="H13" s="314">
        <v>0</v>
      </c>
      <c r="I13" s="109">
        <f t="shared" si="3"/>
        <v>2.39</v>
      </c>
      <c r="J13" s="314">
        <v>0</v>
      </c>
      <c r="K13" s="311">
        <v>0</v>
      </c>
      <c r="L13" s="109">
        <f t="shared" si="4"/>
        <v>1.2</v>
      </c>
      <c r="M13" s="311">
        <v>0</v>
      </c>
      <c r="N13" s="311">
        <v>0</v>
      </c>
      <c r="O13" s="314">
        <v>0</v>
      </c>
      <c r="P13" s="314">
        <v>0</v>
      </c>
      <c r="Q13" s="314">
        <v>0</v>
      </c>
      <c r="R13" s="314">
        <v>0</v>
      </c>
      <c r="S13" s="316">
        <f t="shared" si="1"/>
        <v>19.73</v>
      </c>
      <c r="T13" s="313">
        <f t="shared" si="5"/>
        <v>330</v>
      </c>
      <c r="U13" s="109" t="s">
        <v>4</v>
      </c>
    </row>
    <row r="14" spans="1:21" ht="20.100000000000001" hidden="1" customHeight="1">
      <c r="A14" s="311">
        <v>8</v>
      </c>
      <c r="B14" s="209" t="s">
        <v>129</v>
      </c>
      <c r="C14" s="313">
        <f>ESTIMATE!I95</f>
        <v>3.8000000000000003</v>
      </c>
      <c r="D14" s="313">
        <f>ESTIMATE!I472</f>
        <v>0</v>
      </c>
      <c r="E14" s="313">
        <f>ESTIMATE!I877</f>
        <v>0</v>
      </c>
      <c r="F14" s="313">
        <f t="shared" si="0"/>
        <v>3.8000000000000003</v>
      </c>
      <c r="G14" s="313" t="s">
        <v>411</v>
      </c>
      <c r="H14" s="314">
        <v>0</v>
      </c>
      <c r="I14" s="109">
        <f t="shared" si="3"/>
        <v>3.04</v>
      </c>
      <c r="J14" s="314">
        <v>0</v>
      </c>
      <c r="K14" s="311">
        <v>0</v>
      </c>
      <c r="L14" s="109">
        <f t="shared" si="4"/>
        <v>1.52</v>
      </c>
      <c r="M14" s="311">
        <v>0</v>
      </c>
      <c r="N14" s="311">
        <v>0</v>
      </c>
      <c r="O14" s="314">
        <v>0</v>
      </c>
      <c r="P14" s="314">
        <v>0</v>
      </c>
      <c r="Q14" s="314">
        <v>0</v>
      </c>
      <c r="R14" s="314">
        <v>0</v>
      </c>
      <c r="S14" s="316">
        <f t="shared" si="1"/>
        <v>25.08</v>
      </c>
      <c r="T14" s="313">
        <f t="shared" si="5"/>
        <v>330</v>
      </c>
      <c r="U14" s="109" t="s">
        <v>4</v>
      </c>
    </row>
    <row r="15" spans="1:21" ht="20.100000000000001" hidden="1" customHeight="1">
      <c r="A15" s="311">
        <v>9</v>
      </c>
      <c r="B15" s="317" t="s">
        <v>240</v>
      </c>
      <c r="C15" s="313">
        <f>ROUND(ESTIMATE!I101*0.15,2)</f>
        <v>0</v>
      </c>
      <c r="D15" s="313">
        <f>ROUND(ESTIMATE!I480*0.15,2)</f>
        <v>0</v>
      </c>
      <c r="E15" s="313">
        <f>ROUND(ESTIMATE!I885*0.15,2)</f>
        <v>0</v>
      </c>
      <c r="F15" s="313">
        <f>SUM(C15:E15)</f>
        <v>0</v>
      </c>
      <c r="G15" s="313" t="s">
        <v>412</v>
      </c>
      <c r="H15" s="314">
        <v>0</v>
      </c>
      <c r="I15" s="109">
        <f t="shared" si="3"/>
        <v>0</v>
      </c>
      <c r="J15" s="314">
        <v>0</v>
      </c>
      <c r="K15" s="311">
        <v>0</v>
      </c>
      <c r="L15" s="109">
        <f t="shared" si="4"/>
        <v>0</v>
      </c>
      <c r="M15" s="311">
        <v>0</v>
      </c>
      <c r="N15" s="311">
        <v>0</v>
      </c>
      <c r="O15" s="314">
        <v>0</v>
      </c>
      <c r="P15" s="314">
        <v>0</v>
      </c>
      <c r="Q15" s="314">
        <v>0</v>
      </c>
      <c r="R15" s="314">
        <v>0</v>
      </c>
      <c r="S15" s="316">
        <f>ROUND(F15*T15/50,2)</f>
        <v>0</v>
      </c>
      <c r="T15" s="313">
        <f>ROUND(T14,2)</f>
        <v>330</v>
      </c>
      <c r="U15" s="109" t="s">
        <v>4</v>
      </c>
    </row>
    <row r="16" spans="1:21" ht="20.100000000000001" hidden="1" customHeight="1">
      <c r="A16" s="311">
        <v>10</v>
      </c>
      <c r="B16" s="317" t="s">
        <v>241</v>
      </c>
      <c r="C16" s="313">
        <f>ROUND(ESTIMATE!I106*0.125,2)</f>
        <v>9.52</v>
      </c>
      <c r="D16" s="313">
        <f>ROUND(ESTIMATE!I484*0.125,2)</f>
        <v>0</v>
      </c>
      <c r="E16" s="313">
        <f>ROUND(ESTIMATE!I890*0.125,2)</f>
        <v>0</v>
      </c>
      <c r="F16" s="313">
        <f t="shared" si="0"/>
        <v>9.52</v>
      </c>
      <c r="G16" s="313" t="s">
        <v>412</v>
      </c>
      <c r="H16" s="314">
        <v>0</v>
      </c>
      <c r="I16" s="109">
        <f t="shared" si="3"/>
        <v>7.62</v>
      </c>
      <c r="J16" s="314">
        <v>0</v>
      </c>
      <c r="K16" s="311">
        <v>0</v>
      </c>
      <c r="L16" s="109">
        <f t="shared" si="4"/>
        <v>3.81</v>
      </c>
      <c r="M16" s="311">
        <v>0</v>
      </c>
      <c r="N16" s="311">
        <v>0</v>
      </c>
      <c r="O16" s="314">
        <v>0</v>
      </c>
      <c r="P16" s="314">
        <v>0</v>
      </c>
      <c r="Q16" s="314">
        <v>0</v>
      </c>
      <c r="R16" s="314">
        <v>0</v>
      </c>
      <c r="S16" s="316">
        <f t="shared" si="1"/>
        <v>62.83</v>
      </c>
      <c r="T16" s="313">
        <f>ROUND(T14,2)</f>
        <v>330</v>
      </c>
      <c r="U16" s="109" t="s">
        <v>4</v>
      </c>
    </row>
    <row r="17" spans="1:21" ht="20.100000000000001" hidden="1" customHeight="1">
      <c r="A17" s="311">
        <v>14</v>
      </c>
      <c r="B17" s="317" t="s">
        <v>594</v>
      </c>
      <c r="C17" s="313">
        <f>ROUND(ESTIMATE!I111*0.1,2)</f>
        <v>0</v>
      </c>
      <c r="D17" s="313">
        <f>ROUND(ESTIMATE!I489*0.1,2)</f>
        <v>0</v>
      </c>
      <c r="E17" s="313">
        <f>ROUND(ESTIMATE!I895*0.1,2)</f>
        <v>0</v>
      </c>
      <c r="F17" s="313">
        <f t="shared" si="0"/>
        <v>0</v>
      </c>
      <c r="G17" s="313" t="s">
        <v>412</v>
      </c>
      <c r="H17" s="314">
        <v>0</v>
      </c>
      <c r="I17" s="109">
        <f t="shared" si="3"/>
        <v>0</v>
      </c>
      <c r="J17" s="314">
        <v>0</v>
      </c>
      <c r="K17" s="311">
        <v>0</v>
      </c>
      <c r="L17" s="109">
        <f t="shared" si="4"/>
        <v>0</v>
      </c>
      <c r="M17" s="311">
        <v>0</v>
      </c>
      <c r="N17" s="311">
        <v>0</v>
      </c>
      <c r="O17" s="314">
        <v>0</v>
      </c>
      <c r="P17" s="314">
        <v>0</v>
      </c>
      <c r="Q17" s="314">
        <v>0</v>
      </c>
      <c r="R17" s="314">
        <v>0</v>
      </c>
      <c r="S17" s="316">
        <f t="shared" si="1"/>
        <v>0</v>
      </c>
      <c r="T17" s="313">
        <f>T16</f>
        <v>330</v>
      </c>
      <c r="U17" s="109" t="s">
        <v>4</v>
      </c>
    </row>
    <row r="18" spans="1:21" ht="20.100000000000001" hidden="1" customHeight="1">
      <c r="A18" s="311">
        <v>9</v>
      </c>
      <c r="B18" s="317" t="s">
        <v>1021</v>
      </c>
      <c r="C18" s="313">
        <f>ROUND(ESTIMATE!I117*0.05,2)</f>
        <v>0</v>
      </c>
      <c r="D18" s="313">
        <f>ROUND(ESTIMATE!I500*0.05,2)</f>
        <v>0</v>
      </c>
      <c r="E18" s="313">
        <f>ROUND(ESTIMATE!I906*0.05,2)</f>
        <v>0</v>
      </c>
      <c r="F18" s="313">
        <f t="shared" ref="F18" si="6">SUM(C18:E18)</f>
        <v>0</v>
      </c>
      <c r="G18" s="313" t="s">
        <v>412</v>
      </c>
      <c r="H18" s="314">
        <v>0</v>
      </c>
      <c r="I18" s="109">
        <f t="shared" si="3"/>
        <v>0</v>
      </c>
      <c r="J18" s="314">
        <v>0</v>
      </c>
      <c r="K18" s="311">
        <v>0</v>
      </c>
      <c r="L18" s="109">
        <f t="shared" si="4"/>
        <v>0</v>
      </c>
      <c r="M18" s="311">
        <v>0</v>
      </c>
      <c r="N18" s="311">
        <v>0</v>
      </c>
      <c r="O18" s="314">
        <v>0</v>
      </c>
      <c r="P18" s="314">
        <v>0</v>
      </c>
      <c r="Q18" s="314">
        <v>0</v>
      </c>
      <c r="R18" s="314">
        <v>0</v>
      </c>
      <c r="S18" s="316">
        <f t="shared" si="1"/>
        <v>0</v>
      </c>
      <c r="T18" s="313">
        <f>T17</f>
        <v>330</v>
      </c>
      <c r="U18" s="109" t="s">
        <v>4</v>
      </c>
    </row>
    <row r="19" spans="1:21" ht="20.100000000000001" hidden="1" customHeight="1">
      <c r="A19" s="311">
        <v>16</v>
      </c>
      <c r="B19" s="317" t="s">
        <v>1234</v>
      </c>
      <c r="C19" s="313">
        <f>ROUND(ESTIMATE!I128*0.025,2)</f>
        <v>0</v>
      </c>
      <c r="D19" s="313">
        <f>ROUND(ESTIMATE!I511*0.025,2)</f>
        <v>0</v>
      </c>
      <c r="E19" s="313">
        <f>ROUND(ESTIMATE!I917*0.025,2)</f>
        <v>0</v>
      </c>
      <c r="F19" s="313">
        <f t="shared" ref="F19" si="7">SUM(C19:E19)</f>
        <v>0</v>
      </c>
      <c r="G19" s="313" t="s">
        <v>412</v>
      </c>
      <c r="H19" s="314">
        <v>0</v>
      </c>
      <c r="I19" s="109">
        <f t="shared" si="3"/>
        <v>0</v>
      </c>
      <c r="J19" s="314">
        <v>0</v>
      </c>
      <c r="K19" s="311">
        <v>0</v>
      </c>
      <c r="L19" s="109">
        <f t="shared" si="4"/>
        <v>0</v>
      </c>
      <c r="M19" s="311">
        <v>0</v>
      </c>
      <c r="N19" s="311">
        <v>0</v>
      </c>
      <c r="O19" s="314">
        <v>0</v>
      </c>
      <c r="P19" s="314">
        <v>0</v>
      </c>
      <c r="Q19" s="314">
        <v>0</v>
      </c>
      <c r="R19" s="314">
        <v>0</v>
      </c>
      <c r="S19" s="316">
        <f t="shared" si="1"/>
        <v>0</v>
      </c>
      <c r="T19" s="313">
        <f>T18</f>
        <v>330</v>
      </c>
      <c r="U19" s="109" t="s">
        <v>4</v>
      </c>
    </row>
    <row r="20" spans="1:21" ht="20.100000000000001" hidden="1" customHeight="1">
      <c r="A20" s="311">
        <v>11</v>
      </c>
      <c r="B20" s="209" t="s">
        <v>127</v>
      </c>
      <c r="C20" s="313">
        <f>ESTIMATE!I132</f>
        <v>1.1100000000000001</v>
      </c>
      <c r="D20" s="313">
        <f>ESTIMATE!I516</f>
        <v>0</v>
      </c>
      <c r="E20" s="313">
        <f>ESTIMATE!I925</f>
        <v>0</v>
      </c>
      <c r="F20" s="313">
        <f>SUM(C20:E20)</f>
        <v>1.1100000000000001</v>
      </c>
      <c r="G20" s="313" t="s">
        <v>411</v>
      </c>
      <c r="H20" s="314">
        <v>0</v>
      </c>
      <c r="I20" s="109">
        <f t="shared" si="3"/>
        <v>0.89</v>
      </c>
      <c r="J20" s="314">
        <v>0</v>
      </c>
      <c r="K20" s="311">
        <v>0</v>
      </c>
      <c r="L20" s="109">
        <f t="shared" si="4"/>
        <v>0.44</v>
      </c>
      <c r="M20" s="311">
        <v>0</v>
      </c>
      <c r="N20" s="311">
        <v>0</v>
      </c>
      <c r="O20" s="314">
        <v>0</v>
      </c>
      <c r="P20" s="314">
        <v>0</v>
      </c>
      <c r="Q20" s="314">
        <v>0</v>
      </c>
      <c r="R20" s="314">
        <v>0</v>
      </c>
      <c r="S20" s="316">
        <f>ROUND(F20*T20/50,2)</f>
        <v>7.33</v>
      </c>
      <c r="T20" s="313">
        <f t="shared" si="5"/>
        <v>330</v>
      </c>
      <c r="U20" s="109" t="s">
        <v>4</v>
      </c>
    </row>
    <row r="21" spans="1:21" ht="20.100000000000001" hidden="1" customHeight="1">
      <c r="A21" s="311">
        <v>12</v>
      </c>
      <c r="B21" s="209" t="s">
        <v>128</v>
      </c>
      <c r="C21" s="313">
        <f>ESTIMATE!I137</f>
        <v>12</v>
      </c>
      <c r="D21" s="313">
        <f>ESTIMATE!I520</f>
        <v>0</v>
      </c>
      <c r="E21" s="313">
        <f>ESTIMATE!I930</f>
        <v>0</v>
      </c>
      <c r="F21" s="313">
        <f>SUM(C21:E21)</f>
        <v>12</v>
      </c>
      <c r="G21" s="313" t="s">
        <v>82</v>
      </c>
      <c r="H21" s="314">
        <v>0</v>
      </c>
      <c r="I21" s="109">
        <f>ROUND(F21*0.0375*0.8,2)</f>
        <v>0.36</v>
      </c>
      <c r="J21" s="314">
        <v>0</v>
      </c>
      <c r="K21" s="311">
        <v>0</v>
      </c>
      <c r="L21" s="109">
        <f>ROUND(F21*0.0375*0.4,2)</f>
        <v>0.18</v>
      </c>
      <c r="M21" s="311">
        <v>0</v>
      </c>
      <c r="N21" s="311">
        <v>0</v>
      </c>
      <c r="O21" s="314">
        <v>0</v>
      </c>
      <c r="P21" s="314">
        <v>0</v>
      </c>
      <c r="Q21" s="314">
        <v>0</v>
      </c>
      <c r="R21" s="314">
        <v>0</v>
      </c>
      <c r="S21" s="316">
        <f>ROUND(F21*T21/50,2)</f>
        <v>2.97</v>
      </c>
      <c r="T21" s="318">
        <f>T20*0.0375</f>
        <v>12.375</v>
      </c>
      <c r="U21" s="109" t="s">
        <v>4</v>
      </c>
    </row>
    <row r="22" spans="1:21" ht="20.100000000000001" customHeight="1">
      <c r="A22" s="311">
        <v>1</v>
      </c>
      <c r="B22" s="317" t="s">
        <v>1235</v>
      </c>
      <c r="C22" s="313">
        <f>ESTIMATE!I142</f>
        <v>76.13</v>
      </c>
      <c r="D22" s="313">
        <f>ESTIMATE!I526</f>
        <v>0</v>
      </c>
      <c r="E22" s="313">
        <f>ESTIMATE!I935</f>
        <v>0</v>
      </c>
      <c r="F22" s="313">
        <f t="shared" ref="F22" si="8">SUM(C22:E22)</f>
        <v>76.13</v>
      </c>
      <c r="G22" s="313" t="s">
        <v>412</v>
      </c>
      <c r="H22" s="314">
        <v>0</v>
      </c>
      <c r="I22" s="314">
        <v>0</v>
      </c>
      <c r="J22" s="314">
        <v>0</v>
      </c>
      <c r="K22" s="311">
        <v>0</v>
      </c>
      <c r="L22" s="314">
        <v>0</v>
      </c>
      <c r="M22" s="311">
        <v>0</v>
      </c>
      <c r="N22" s="109">
        <f>ROUND(ROUND((0.015*1.05),3)*ROUND(F22,2),2)</f>
        <v>1.22</v>
      </c>
      <c r="O22" s="314">
        <v>0</v>
      </c>
      <c r="P22" s="314">
        <v>0</v>
      </c>
      <c r="Q22" s="314">
        <v>0</v>
      </c>
      <c r="R22" s="314">
        <v>0</v>
      </c>
      <c r="S22" s="316">
        <f t="shared" ref="S22" si="9">ROUND(F22*T22/50,2)</f>
        <v>10.96</v>
      </c>
      <c r="T22" s="313">
        <v>7.2</v>
      </c>
      <c r="U22" s="109" t="s">
        <v>4</v>
      </c>
    </row>
    <row r="23" spans="1:21" ht="20.100000000000001" hidden="1" customHeight="1">
      <c r="A23" s="311">
        <v>12</v>
      </c>
      <c r="B23" s="317" t="s">
        <v>1012</v>
      </c>
      <c r="C23" s="313">
        <f>ESTIMATE!I148</f>
        <v>0</v>
      </c>
      <c r="D23" s="313">
        <f>ESTIMATE!I532</f>
        <v>0</v>
      </c>
      <c r="E23" s="313">
        <f>ESTIMATE!I941</f>
        <v>0</v>
      </c>
      <c r="F23" s="313">
        <f>SUM(C23:E23)</f>
        <v>0</v>
      </c>
      <c r="G23" s="313" t="s">
        <v>412</v>
      </c>
      <c r="H23" s="314">
        <v>0</v>
      </c>
      <c r="I23" s="314">
        <v>0</v>
      </c>
      <c r="J23" s="314">
        <v>0</v>
      </c>
      <c r="K23" s="311">
        <v>0</v>
      </c>
      <c r="L23" s="314">
        <v>0</v>
      </c>
      <c r="M23" s="311">
        <v>0</v>
      </c>
      <c r="N23" s="109">
        <f>ROUND(ROUND((0.021*1.05),3)*ROUND(F23,2),2)</f>
        <v>0</v>
      </c>
      <c r="O23" s="314">
        <v>0</v>
      </c>
      <c r="P23" s="314">
        <v>0</v>
      </c>
      <c r="Q23" s="314">
        <v>0</v>
      </c>
      <c r="R23" s="314">
        <v>0</v>
      </c>
      <c r="S23" s="316">
        <f>ROUND(F23*T23/50,2)</f>
        <v>0</v>
      </c>
      <c r="T23" s="313">
        <v>10.08</v>
      </c>
      <c r="U23" s="109" t="s">
        <v>4</v>
      </c>
    </row>
    <row r="24" spans="1:21" ht="20.100000000000001" hidden="1" customHeight="1">
      <c r="A24" s="311">
        <v>15</v>
      </c>
      <c r="B24" s="209" t="s">
        <v>968</v>
      </c>
      <c r="C24" s="313">
        <f>ESTIMATE!I153</f>
        <v>14.99</v>
      </c>
      <c r="D24" s="313"/>
      <c r="E24" s="313"/>
      <c r="F24" s="313">
        <f t="shared" ref="F24" si="10">SUM(C24:E24)</f>
        <v>14.99</v>
      </c>
      <c r="G24" s="313" t="s">
        <v>411</v>
      </c>
      <c r="H24" s="314">
        <v>0</v>
      </c>
      <c r="I24" s="314">
        <v>0</v>
      </c>
      <c r="J24" s="314">
        <v>0</v>
      </c>
      <c r="K24" s="109">
        <f>ROUND(F24*1.1,2)</f>
        <v>16.489999999999998</v>
      </c>
      <c r="L24" s="314">
        <v>0</v>
      </c>
      <c r="M24" s="109">
        <f>ROUND(F24*0.33,2)</f>
        <v>4.95</v>
      </c>
      <c r="N24" s="314">
        <v>0</v>
      </c>
      <c r="O24" s="314">
        <v>0</v>
      </c>
      <c r="P24" s="314">
        <v>0</v>
      </c>
      <c r="Q24" s="109"/>
      <c r="R24" s="314">
        <v>0</v>
      </c>
      <c r="S24" s="316">
        <f t="shared" ref="S24" si="11">ROUND(F24*T24/50,2)</f>
        <v>17.809999999999999</v>
      </c>
      <c r="T24" s="313">
        <v>59.4</v>
      </c>
      <c r="U24" s="109" t="s">
        <v>4</v>
      </c>
    </row>
    <row r="25" spans="1:21" ht="20.100000000000001" hidden="1" customHeight="1">
      <c r="A25" s="311">
        <v>14</v>
      </c>
      <c r="B25" s="209" t="s">
        <v>132</v>
      </c>
      <c r="C25" s="313">
        <f>ESTIMATE!I173</f>
        <v>21.119999999999997</v>
      </c>
      <c r="D25" s="313">
        <f>ESTIMATE!I544</f>
        <v>0</v>
      </c>
      <c r="E25" s="313">
        <f>ESTIMATE!I958</f>
        <v>0</v>
      </c>
      <c r="F25" s="313">
        <f>SUM(C25:E25)</f>
        <v>21.119999999999997</v>
      </c>
      <c r="G25" s="313" t="s">
        <v>411</v>
      </c>
      <c r="H25" s="314">
        <v>0</v>
      </c>
      <c r="I25" s="314">
        <v>0</v>
      </c>
      <c r="J25" s="314">
        <v>0</v>
      </c>
      <c r="K25" s="311">
        <v>0</v>
      </c>
      <c r="L25" s="314">
        <v>0</v>
      </c>
      <c r="M25" s="109">
        <f>ROUND(F25*0.2,2)</f>
        <v>4.22</v>
      </c>
      <c r="N25" s="314">
        <v>0</v>
      </c>
      <c r="O25" s="314">
        <v>0</v>
      </c>
      <c r="P25" s="314">
        <v>0</v>
      </c>
      <c r="Q25" s="109">
        <f>ROUND(F25*512/1000,2)</f>
        <v>10.81</v>
      </c>
      <c r="R25" s="314">
        <v>0</v>
      </c>
      <c r="S25" s="316">
        <f>ROUND(F25*T25/50,2)</f>
        <v>15.21</v>
      </c>
      <c r="T25" s="313">
        <v>36</v>
      </c>
      <c r="U25" s="109" t="s">
        <v>4</v>
      </c>
    </row>
    <row r="26" spans="1:21" ht="20.100000000000001" hidden="1" customHeight="1">
      <c r="A26" s="311">
        <v>15</v>
      </c>
      <c r="B26" s="209" t="s">
        <v>857</v>
      </c>
      <c r="C26" s="313">
        <f>ESTIMATE!I178</f>
        <v>0</v>
      </c>
      <c r="D26" s="313">
        <f>ESTIMATE!I569</f>
        <v>0</v>
      </c>
      <c r="E26" s="313">
        <f>ESTIMATE!I967</f>
        <v>0</v>
      </c>
      <c r="F26" s="313">
        <f>SUM(C26:E26)</f>
        <v>0</v>
      </c>
      <c r="G26" s="313" t="s">
        <v>411</v>
      </c>
      <c r="H26" s="314">
        <v>0</v>
      </c>
      <c r="I26" s="314">
        <v>0</v>
      </c>
      <c r="J26" s="314">
        <v>0</v>
      </c>
      <c r="K26" s="311">
        <v>0</v>
      </c>
      <c r="L26" s="314">
        <v>0</v>
      </c>
      <c r="M26" s="109">
        <f>ROUND(F26*0.2,2)</f>
        <v>0</v>
      </c>
      <c r="N26" s="314">
        <v>0</v>
      </c>
      <c r="O26" s="314">
        <v>0</v>
      </c>
      <c r="P26" s="314">
        <v>0</v>
      </c>
      <c r="Q26" s="109">
        <f>ROUND(F26*512/1000,2)</f>
        <v>0</v>
      </c>
      <c r="R26" s="314">
        <v>0</v>
      </c>
      <c r="S26" s="316">
        <f>ROUND(F26*T26/50,2)</f>
        <v>0</v>
      </c>
      <c r="T26" s="313">
        <v>48</v>
      </c>
      <c r="U26" s="109" t="s">
        <v>4</v>
      </c>
    </row>
    <row r="27" spans="1:21" ht="20.100000000000001" hidden="1" customHeight="1">
      <c r="A27" s="311">
        <v>16</v>
      </c>
      <c r="B27" s="209" t="s">
        <v>858</v>
      </c>
      <c r="C27" s="313">
        <f>ESTIMATE!I184</f>
        <v>0</v>
      </c>
      <c r="D27" s="313">
        <f>ESTIMATE!I596</f>
        <v>0</v>
      </c>
      <c r="E27" s="313">
        <f>ESTIMATE!I972</f>
        <v>0</v>
      </c>
      <c r="F27" s="313">
        <f>SUM(C27:E27)</f>
        <v>0</v>
      </c>
      <c r="G27" s="313" t="s">
        <v>412</v>
      </c>
      <c r="H27" s="314">
        <v>0</v>
      </c>
      <c r="I27" s="314">
        <v>0</v>
      </c>
      <c r="J27" s="314">
        <v>0</v>
      </c>
      <c r="K27" s="311">
        <v>0</v>
      </c>
      <c r="L27" s="314">
        <v>0</v>
      </c>
      <c r="M27" s="109">
        <f>ROUND(F27*0.022,2)</f>
        <v>0</v>
      </c>
      <c r="N27" s="314">
        <v>0</v>
      </c>
      <c r="O27" s="314">
        <v>0</v>
      </c>
      <c r="P27" s="314">
        <v>0</v>
      </c>
      <c r="Q27" s="109">
        <f>ROUND(F27*512*0.1/1000,2)</f>
        <v>0</v>
      </c>
      <c r="R27" s="314">
        <v>0</v>
      </c>
      <c r="S27" s="316">
        <f>ROUND(F27*T27/50,2)</f>
        <v>0</v>
      </c>
      <c r="T27" s="313">
        <v>10.6</v>
      </c>
      <c r="U27" s="109" t="s">
        <v>4</v>
      </c>
    </row>
    <row r="28" spans="1:21" ht="20.100000000000001" hidden="1" customHeight="1">
      <c r="A28" s="311">
        <v>16</v>
      </c>
      <c r="B28" s="209" t="s">
        <v>988</v>
      </c>
      <c r="C28" s="313">
        <f>ESTIMATE!I192</f>
        <v>0</v>
      </c>
      <c r="D28" s="313">
        <f>ESTIMATE!I607</f>
        <v>0</v>
      </c>
      <c r="E28" s="313">
        <f>ESTIMATE!I983</f>
        <v>0</v>
      </c>
      <c r="F28" s="313">
        <f t="shared" ref="F28:F29" si="12">SUM(C28:E28)</f>
        <v>0</v>
      </c>
      <c r="G28" s="313" t="s">
        <v>411</v>
      </c>
      <c r="H28" s="314">
        <v>0</v>
      </c>
      <c r="I28" s="314">
        <v>0</v>
      </c>
      <c r="J28" s="314">
        <v>0</v>
      </c>
      <c r="K28" s="311">
        <v>0</v>
      </c>
      <c r="L28" s="314">
        <v>0</v>
      </c>
      <c r="M28" s="109">
        <f>ROUND(F28*0.1*1.05,2)</f>
        <v>0</v>
      </c>
      <c r="N28" s="314">
        <v>0</v>
      </c>
      <c r="O28" s="314">
        <v>0</v>
      </c>
      <c r="P28" s="314">
        <v>0</v>
      </c>
      <c r="Q28" s="109">
        <f>ROUND(F28*110/1000,2)</f>
        <v>0</v>
      </c>
      <c r="R28" s="314">
        <v>0</v>
      </c>
      <c r="S28" s="316">
        <f>ROUND(F28*T28/50,2)</f>
        <v>0</v>
      </c>
      <c r="T28" s="313">
        <v>24</v>
      </c>
      <c r="U28" s="109" t="s">
        <v>4</v>
      </c>
    </row>
    <row r="29" spans="1:21" ht="20.100000000000001" hidden="1" customHeight="1">
      <c r="A29" s="311">
        <v>26</v>
      </c>
      <c r="B29" s="317" t="s">
        <v>989</v>
      </c>
      <c r="C29" s="313">
        <f>ESTIMATE!I196</f>
        <v>4.6399999999999997</v>
      </c>
      <c r="D29" s="313">
        <f>ESTIMATE!I613</f>
        <v>0</v>
      </c>
      <c r="E29" s="313"/>
      <c r="F29" s="313">
        <f t="shared" si="12"/>
        <v>4.6399999999999997</v>
      </c>
      <c r="G29" s="313" t="s">
        <v>412</v>
      </c>
      <c r="H29" s="314">
        <v>0</v>
      </c>
      <c r="I29" s="314">
        <v>0</v>
      </c>
      <c r="J29" s="314">
        <v>0</v>
      </c>
      <c r="K29" s="311">
        <v>0</v>
      </c>
      <c r="L29" s="314">
        <v>0</v>
      </c>
      <c r="M29" s="314">
        <v>0</v>
      </c>
      <c r="N29" s="109">
        <f>ROUND(F29*((0.015*1.05)+(0.025*1.05)),2)</f>
        <v>0.19</v>
      </c>
      <c r="O29" s="314">
        <v>0</v>
      </c>
      <c r="P29" s="314">
        <v>0</v>
      </c>
      <c r="Q29" s="314">
        <v>0</v>
      </c>
      <c r="R29" s="314">
        <v>0</v>
      </c>
      <c r="S29" s="316">
        <f t="shared" ref="S29" si="13">ROUND(F29*T29/50,2)</f>
        <v>1.94</v>
      </c>
      <c r="T29" s="313">
        <v>20.89</v>
      </c>
      <c r="U29" s="109" t="s">
        <v>4</v>
      </c>
    </row>
    <row r="30" spans="1:21" ht="20.100000000000001" hidden="1" customHeight="1">
      <c r="A30" s="311">
        <v>17</v>
      </c>
      <c r="B30" s="317" t="s">
        <v>135</v>
      </c>
      <c r="C30" s="313">
        <f>ESTIMATE!I205</f>
        <v>82.8</v>
      </c>
      <c r="D30" s="313">
        <f>ESTIMATE!I621</f>
        <v>0</v>
      </c>
      <c r="E30" s="313">
        <f>ESTIMATE!I993</f>
        <v>0</v>
      </c>
      <c r="F30" s="313">
        <f t="shared" si="0"/>
        <v>82.8</v>
      </c>
      <c r="G30" s="313" t="s">
        <v>412</v>
      </c>
      <c r="H30" s="314">
        <v>0</v>
      </c>
      <c r="I30" s="314">
        <v>0</v>
      </c>
      <c r="J30" s="314">
        <v>0</v>
      </c>
      <c r="K30" s="311">
        <v>0</v>
      </c>
      <c r="L30" s="314">
        <v>0</v>
      </c>
      <c r="M30" s="314">
        <v>0</v>
      </c>
      <c r="N30" s="109">
        <f>ROUND(ROUND((0.015*1.05),3)*ROUND(F30,2),2)</f>
        <v>1.32</v>
      </c>
      <c r="O30" s="314">
        <v>0</v>
      </c>
      <c r="P30" s="314">
        <v>0</v>
      </c>
      <c r="Q30" s="314">
        <v>0</v>
      </c>
      <c r="R30" s="314">
        <v>0</v>
      </c>
      <c r="S30" s="316">
        <f t="shared" si="1"/>
        <v>11.92</v>
      </c>
      <c r="T30" s="313">
        <v>7.2</v>
      </c>
      <c r="U30" s="109" t="s">
        <v>4</v>
      </c>
    </row>
    <row r="31" spans="1:21" ht="20.100000000000001" hidden="1" customHeight="1">
      <c r="A31" s="311">
        <v>18</v>
      </c>
      <c r="B31" s="317" t="s">
        <v>242</v>
      </c>
      <c r="C31" s="313">
        <f>ESTIMATE!I221</f>
        <v>0</v>
      </c>
      <c r="D31" s="313">
        <f>ESTIMATE!I631</f>
        <v>0</v>
      </c>
      <c r="E31" s="313">
        <f>ESTIMATE!I1034</f>
        <v>0</v>
      </c>
      <c r="F31" s="313">
        <f t="shared" si="0"/>
        <v>0</v>
      </c>
      <c r="G31" s="313" t="s">
        <v>412</v>
      </c>
      <c r="H31" s="314">
        <v>0</v>
      </c>
      <c r="I31" s="314">
        <v>0</v>
      </c>
      <c r="J31" s="314">
        <v>0</v>
      </c>
      <c r="K31" s="311">
        <v>0</v>
      </c>
      <c r="L31" s="314">
        <v>0</v>
      </c>
      <c r="M31" s="314">
        <v>0</v>
      </c>
      <c r="N31" s="109">
        <f>ROUND(ROUND((0.015*1.05),3)*ROUND(F31,2),2)</f>
        <v>0</v>
      </c>
      <c r="O31" s="314">
        <v>0</v>
      </c>
      <c r="P31" s="314">
        <v>0</v>
      </c>
      <c r="Q31" s="314">
        <v>0</v>
      </c>
      <c r="R31" s="314">
        <v>0</v>
      </c>
      <c r="S31" s="316">
        <f t="shared" si="1"/>
        <v>0</v>
      </c>
      <c r="T31" s="313">
        <v>4.32</v>
      </c>
      <c r="U31" s="109" t="s">
        <v>4</v>
      </c>
    </row>
    <row r="32" spans="1:21" ht="20.100000000000001" hidden="1" customHeight="1">
      <c r="A32" s="311">
        <v>19</v>
      </c>
      <c r="B32" s="317" t="s">
        <v>593</v>
      </c>
      <c r="C32" s="313">
        <f>ESTIMATE!I226</f>
        <v>0</v>
      </c>
      <c r="D32" s="313">
        <f>ESTIMATE!I639</f>
        <v>0</v>
      </c>
      <c r="E32" s="313">
        <f>ESTIMATE!I1039</f>
        <v>0</v>
      </c>
      <c r="F32" s="313">
        <f>SUM(C32:E32)</f>
        <v>0</v>
      </c>
      <c r="G32" s="313" t="s">
        <v>412</v>
      </c>
      <c r="H32" s="314">
        <v>0</v>
      </c>
      <c r="I32" s="314">
        <v>0</v>
      </c>
      <c r="J32" s="314">
        <v>0</v>
      </c>
      <c r="K32" s="311">
        <v>0</v>
      </c>
      <c r="L32" s="314">
        <v>0</v>
      </c>
      <c r="M32" s="314">
        <v>0</v>
      </c>
      <c r="N32" s="109">
        <f>ROUND(ROUND((0.021*1.05),3)*ROUND(F32,2),2)</f>
        <v>0</v>
      </c>
      <c r="O32" s="314">
        <v>0</v>
      </c>
      <c r="P32" s="314">
        <v>0</v>
      </c>
      <c r="Q32" s="314">
        <v>0</v>
      </c>
      <c r="R32" s="314">
        <v>0</v>
      </c>
      <c r="S32" s="316">
        <f>ROUND(F32*T32/50,2)</f>
        <v>0</v>
      </c>
      <c r="T32" s="313">
        <v>6.05</v>
      </c>
      <c r="U32" s="109" t="s">
        <v>4</v>
      </c>
    </row>
    <row r="33" spans="1:21" ht="20.100000000000001" customHeight="1">
      <c r="A33" s="311">
        <v>2</v>
      </c>
      <c r="B33" s="317" t="s">
        <v>855</v>
      </c>
      <c r="C33" s="313">
        <f>ESTIMATE!I235</f>
        <v>94.960000000000008</v>
      </c>
      <c r="D33" s="313">
        <f>ESTIMATE!I664</f>
        <v>0</v>
      </c>
      <c r="E33" s="313">
        <f>ESTIMATE!I1046</f>
        <v>0</v>
      </c>
      <c r="F33" s="313">
        <f t="shared" si="0"/>
        <v>94.960000000000008</v>
      </c>
      <c r="G33" s="313" t="s">
        <v>412</v>
      </c>
      <c r="H33" s="314">
        <v>0</v>
      </c>
      <c r="I33" s="314">
        <v>0</v>
      </c>
      <c r="J33" s="314">
        <v>0</v>
      </c>
      <c r="K33" s="311">
        <v>0</v>
      </c>
      <c r="L33" s="314">
        <v>0</v>
      </c>
      <c r="M33" s="314">
        <v>0</v>
      </c>
      <c r="N33" s="109">
        <f>ROUND(F33*0.015*1,2)</f>
        <v>1.42</v>
      </c>
      <c r="O33" s="314">
        <v>0</v>
      </c>
      <c r="P33" s="314">
        <v>0</v>
      </c>
      <c r="Q33" s="314">
        <v>0</v>
      </c>
      <c r="R33" s="314">
        <v>0</v>
      </c>
      <c r="S33" s="316">
        <f t="shared" si="1"/>
        <v>9.67</v>
      </c>
      <c r="T33" s="313">
        <v>5.09</v>
      </c>
      <c r="U33" s="109" t="s">
        <v>4</v>
      </c>
    </row>
    <row r="34" spans="1:21" ht="20.100000000000001" hidden="1" customHeight="1">
      <c r="A34" s="311">
        <v>21</v>
      </c>
      <c r="B34" s="317" t="s">
        <v>592</v>
      </c>
      <c r="C34" s="313">
        <f>ESTIMATE!I245</f>
        <v>152.12999999999997</v>
      </c>
      <c r="D34" s="313">
        <f>ESTIMATE!I672</f>
        <v>0</v>
      </c>
      <c r="E34" s="313">
        <f>ESTIMATE!I1055</f>
        <v>0</v>
      </c>
      <c r="F34" s="313">
        <f t="shared" si="0"/>
        <v>152.12999999999997</v>
      </c>
      <c r="G34" s="313" t="s">
        <v>412</v>
      </c>
      <c r="H34" s="314">
        <v>0</v>
      </c>
      <c r="I34" s="314">
        <v>0</v>
      </c>
      <c r="J34" s="314">
        <v>0</v>
      </c>
      <c r="K34" s="311">
        <v>0</v>
      </c>
      <c r="L34" s="314">
        <v>0</v>
      </c>
      <c r="M34" s="314">
        <v>0</v>
      </c>
      <c r="N34" s="109">
        <f>ROUND(F34*0.022*1,2)</f>
        <v>3.35</v>
      </c>
      <c r="O34" s="314">
        <v>0</v>
      </c>
      <c r="P34" s="314">
        <v>0</v>
      </c>
      <c r="Q34" s="314">
        <v>0</v>
      </c>
      <c r="R34" s="314">
        <v>0</v>
      </c>
      <c r="S34" s="316">
        <f t="shared" si="1"/>
        <v>17.489999999999998</v>
      </c>
      <c r="T34" s="313">
        <v>5.75</v>
      </c>
      <c r="U34" s="109" t="s">
        <v>4</v>
      </c>
    </row>
    <row r="35" spans="1:21" ht="20.100000000000001" hidden="1" customHeight="1">
      <c r="A35" s="311">
        <v>32</v>
      </c>
      <c r="B35" s="209" t="s">
        <v>438</v>
      </c>
      <c r="C35" s="313">
        <f>ESTIMATE!I262</f>
        <v>0</v>
      </c>
      <c r="D35" s="313">
        <f>ESTIMATE!I678</f>
        <v>0</v>
      </c>
      <c r="E35" s="313">
        <f>ESTIMATE!I1061</f>
        <v>0</v>
      </c>
      <c r="F35" s="313">
        <f>SUM(C35:E35)</f>
        <v>0</v>
      </c>
      <c r="G35" s="313" t="s">
        <v>411</v>
      </c>
      <c r="H35" s="314">
        <v>0</v>
      </c>
      <c r="I35" s="109">
        <f>ROUND(F35*0.8,2)</f>
        <v>0</v>
      </c>
      <c r="J35" s="314">
        <v>0</v>
      </c>
      <c r="K35" s="311">
        <v>0</v>
      </c>
      <c r="L35" s="109">
        <f>ROUND(F35*0.4,2)</f>
        <v>0</v>
      </c>
      <c r="M35" s="311">
        <v>0</v>
      </c>
      <c r="N35" s="311">
        <v>0</v>
      </c>
      <c r="O35" s="314">
        <v>0</v>
      </c>
      <c r="P35" s="314">
        <v>0</v>
      </c>
      <c r="Q35" s="314">
        <v>0</v>
      </c>
      <c r="R35" s="314">
        <v>0</v>
      </c>
      <c r="S35" s="316">
        <f>ROUND(F35*T35/50,2)</f>
        <v>0</v>
      </c>
      <c r="T35" s="313">
        <f t="shared" ref="T35" si="14">$T$10</f>
        <v>330</v>
      </c>
      <c r="U35" s="109" t="s">
        <v>4</v>
      </c>
    </row>
    <row r="36" spans="1:21" ht="20.100000000000001" customHeight="1">
      <c r="A36" s="311">
        <v>3</v>
      </c>
      <c r="B36" s="317" t="s">
        <v>245</v>
      </c>
      <c r="C36" s="313">
        <f>ESTIMATE!I268</f>
        <v>58.949999999999996</v>
      </c>
      <c r="D36" s="313">
        <f>ESTIMATE!I686</f>
        <v>0</v>
      </c>
      <c r="E36" s="313">
        <f>ESTIMATE!I1071</f>
        <v>0</v>
      </c>
      <c r="F36" s="313">
        <f t="shared" si="0"/>
        <v>58.949999999999996</v>
      </c>
      <c r="G36" s="313" t="s">
        <v>412</v>
      </c>
      <c r="H36" s="314">
        <v>0</v>
      </c>
      <c r="I36" s="314">
        <v>0</v>
      </c>
      <c r="J36" s="314">
        <v>0</v>
      </c>
      <c r="K36" s="311">
        <v>0</v>
      </c>
      <c r="L36" s="314">
        <v>0</v>
      </c>
      <c r="M36" s="109">
        <f>ROUND(F36*0.014,2)</f>
        <v>0.83</v>
      </c>
      <c r="N36" s="314">
        <v>0</v>
      </c>
      <c r="O36" s="314">
        <v>0</v>
      </c>
      <c r="P36" s="314">
        <v>0</v>
      </c>
      <c r="Q36" s="314">
        <v>0</v>
      </c>
      <c r="R36" s="314">
        <v>0</v>
      </c>
      <c r="S36" s="316">
        <f t="shared" si="1"/>
        <v>7.14</v>
      </c>
      <c r="T36" s="313">
        <v>6.06</v>
      </c>
      <c r="U36" s="109" t="s">
        <v>4</v>
      </c>
    </row>
    <row r="37" spans="1:21" ht="20.100000000000001" customHeight="1">
      <c r="A37" s="311">
        <v>4</v>
      </c>
      <c r="B37" s="317" t="s">
        <v>246</v>
      </c>
      <c r="C37" s="313">
        <f>ESTIMATE!I277</f>
        <v>6.57</v>
      </c>
      <c r="D37" s="313">
        <f>ESTIMATE!I701</f>
        <v>0</v>
      </c>
      <c r="E37" s="313">
        <f>ESTIMATE!I1080</f>
        <v>0</v>
      </c>
      <c r="F37" s="313">
        <f t="shared" si="0"/>
        <v>6.57</v>
      </c>
      <c r="G37" s="313" t="s">
        <v>412</v>
      </c>
      <c r="H37" s="314">
        <v>0</v>
      </c>
      <c r="I37" s="314">
        <v>0</v>
      </c>
      <c r="J37" s="314">
        <v>0</v>
      </c>
      <c r="K37" s="311">
        <v>0</v>
      </c>
      <c r="L37" s="314">
        <v>0</v>
      </c>
      <c r="M37" s="109">
        <f>ROUND(F37*0.012,2)</f>
        <v>0.08</v>
      </c>
      <c r="N37" s="314">
        <v>0</v>
      </c>
      <c r="O37" s="314">
        <v>0</v>
      </c>
      <c r="P37" s="314">
        <v>0</v>
      </c>
      <c r="Q37" s="314">
        <v>0</v>
      </c>
      <c r="R37" s="314">
        <v>0</v>
      </c>
      <c r="S37" s="316">
        <f t="shared" si="1"/>
        <v>0.89</v>
      </c>
      <c r="T37" s="318">
        <v>6.7560000000000002</v>
      </c>
      <c r="U37" s="109" t="s">
        <v>4</v>
      </c>
    </row>
    <row r="38" spans="1:21" ht="20.100000000000001" hidden="1" customHeight="1">
      <c r="A38" s="311">
        <v>21</v>
      </c>
      <c r="B38" s="317" t="s">
        <v>670</v>
      </c>
      <c r="C38" s="313">
        <f>ESTIMATE!I284</f>
        <v>0</v>
      </c>
      <c r="D38" s="313">
        <f>ESTIMATE!I708</f>
        <v>0</v>
      </c>
      <c r="E38" s="313">
        <f>ESTIMATE!I1091</f>
        <v>0</v>
      </c>
      <c r="F38" s="313">
        <f t="shared" si="0"/>
        <v>0</v>
      </c>
      <c r="G38" s="313" t="s">
        <v>412</v>
      </c>
      <c r="H38" s="314">
        <v>0</v>
      </c>
      <c r="I38" s="314">
        <v>0</v>
      </c>
      <c r="J38" s="314">
        <v>0</v>
      </c>
      <c r="K38" s="311">
        <v>0</v>
      </c>
      <c r="L38" s="314">
        <v>0</v>
      </c>
      <c r="M38" s="109">
        <f>ROUND(F38*0.014,2)</f>
        <v>0</v>
      </c>
      <c r="N38" s="314">
        <v>0</v>
      </c>
      <c r="O38" s="314">
        <v>0</v>
      </c>
      <c r="P38" s="314">
        <v>0</v>
      </c>
      <c r="Q38" s="314">
        <v>0</v>
      </c>
      <c r="R38" s="314">
        <v>0</v>
      </c>
      <c r="S38" s="316">
        <f t="shared" si="1"/>
        <v>0</v>
      </c>
      <c r="T38" s="313">
        <v>7.5</v>
      </c>
      <c r="U38" s="109" t="s">
        <v>4</v>
      </c>
    </row>
    <row r="39" spans="1:21" ht="20.100000000000001" hidden="1" customHeight="1">
      <c r="A39" s="311">
        <v>22</v>
      </c>
      <c r="B39" s="317" t="s">
        <v>671</v>
      </c>
      <c r="C39" s="313">
        <f>ESTIMATE!I291</f>
        <v>0</v>
      </c>
      <c r="D39" s="313">
        <f>ESTIMATE!I714</f>
        <v>0</v>
      </c>
      <c r="E39" s="313">
        <f>ESTIMATE!I1100</f>
        <v>0</v>
      </c>
      <c r="F39" s="313">
        <f t="shared" si="0"/>
        <v>0</v>
      </c>
      <c r="G39" s="313" t="s">
        <v>412</v>
      </c>
      <c r="H39" s="314">
        <v>0</v>
      </c>
      <c r="I39" s="314">
        <v>0</v>
      </c>
      <c r="J39" s="314">
        <v>0</v>
      </c>
      <c r="K39" s="311">
        <v>0</v>
      </c>
      <c r="L39" s="314">
        <v>0</v>
      </c>
      <c r="M39" s="109">
        <f>ROUND(F39*0.012,2)</f>
        <v>0</v>
      </c>
      <c r="N39" s="314">
        <v>0</v>
      </c>
      <c r="O39" s="314">
        <v>0</v>
      </c>
      <c r="P39" s="314">
        <v>0</v>
      </c>
      <c r="Q39" s="314">
        <v>0</v>
      </c>
      <c r="R39" s="314">
        <v>0</v>
      </c>
      <c r="S39" s="316">
        <f t="shared" si="1"/>
        <v>0</v>
      </c>
      <c r="T39" s="318">
        <v>9.06</v>
      </c>
      <c r="U39" s="109" t="s">
        <v>4</v>
      </c>
    </row>
    <row r="40" spans="1:21" ht="20.100000000000001" hidden="1" customHeight="1">
      <c r="A40" s="311">
        <v>37</v>
      </c>
      <c r="B40" s="317" t="s">
        <v>672</v>
      </c>
      <c r="C40" s="313">
        <f>ESTIMATE!I311</f>
        <v>0</v>
      </c>
      <c r="D40" s="313">
        <f>ESTIMATE!I729</f>
        <v>0</v>
      </c>
      <c r="E40" s="313">
        <f>ESTIMATE!I1115</f>
        <v>0</v>
      </c>
      <c r="F40" s="313">
        <f t="shared" si="0"/>
        <v>0</v>
      </c>
      <c r="G40" s="313" t="s">
        <v>412</v>
      </c>
      <c r="H40" s="314">
        <v>0</v>
      </c>
      <c r="I40" s="314">
        <v>0</v>
      </c>
      <c r="J40" s="314">
        <v>0</v>
      </c>
      <c r="K40" s="311">
        <v>0</v>
      </c>
      <c r="L40" s="314">
        <v>0</v>
      </c>
      <c r="M40" s="109">
        <f>ROUND(F40*0.014,2)</f>
        <v>0</v>
      </c>
      <c r="N40" s="314">
        <v>0</v>
      </c>
      <c r="O40" s="314">
        <v>0</v>
      </c>
      <c r="P40" s="314">
        <v>0</v>
      </c>
      <c r="Q40" s="314">
        <v>0</v>
      </c>
      <c r="R40" s="314">
        <v>0</v>
      </c>
      <c r="S40" s="316">
        <f t="shared" si="1"/>
        <v>0</v>
      </c>
      <c r="T40" s="313">
        <v>7.5</v>
      </c>
      <c r="U40" s="109" t="s">
        <v>4</v>
      </c>
    </row>
    <row r="41" spans="1:21" ht="20.100000000000001" hidden="1" customHeight="1">
      <c r="A41" s="311">
        <v>38</v>
      </c>
      <c r="B41" s="317" t="s">
        <v>673</v>
      </c>
      <c r="C41" s="313">
        <f>ESTIMATE!I321</f>
        <v>0</v>
      </c>
      <c r="D41" s="313">
        <f>ESTIMATE!I739</f>
        <v>0</v>
      </c>
      <c r="E41" s="313">
        <f>ESTIMATE!I1125</f>
        <v>0</v>
      </c>
      <c r="F41" s="313">
        <f t="shared" si="0"/>
        <v>0</v>
      </c>
      <c r="G41" s="313" t="s">
        <v>412</v>
      </c>
      <c r="H41" s="314">
        <v>0</v>
      </c>
      <c r="I41" s="314">
        <v>0</v>
      </c>
      <c r="J41" s="314">
        <v>0</v>
      </c>
      <c r="K41" s="311">
        <v>0</v>
      </c>
      <c r="L41" s="314">
        <v>0</v>
      </c>
      <c r="M41" s="109">
        <f>ROUND(F41*0.012,2)</f>
        <v>0</v>
      </c>
      <c r="N41" s="314">
        <v>0</v>
      </c>
      <c r="O41" s="314">
        <v>0</v>
      </c>
      <c r="P41" s="314">
        <v>0</v>
      </c>
      <c r="Q41" s="314">
        <v>0</v>
      </c>
      <c r="R41" s="314">
        <v>0</v>
      </c>
      <c r="S41" s="316">
        <f t="shared" si="1"/>
        <v>0</v>
      </c>
      <c r="T41" s="318">
        <v>6.7560000000000002</v>
      </c>
      <c r="U41" s="109" t="s">
        <v>4</v>
      </c>
    </row>
    <row r="42" spans="1:21" ht="20.100000000000001" customHeight="1">
      <c r="A42" s="311">
        <v>5</v>
      </c>
      <c r="B42" s="317" t="s">
        <v>243</v>
      </c>
      <c r="C42" s="313">
        <f>ESTIMATE!I328</f>
        <v>9.93</v>
      </c>
      <c r="D42" s="313">
        <f>ESTIMATE!I744</f>
        <v>0</v>
      </c>
      <c r="E42" s="313">
        <f>ESTIMATE!I1139</f>
        <v>0</v>
      </c>
      <c r="F42" s="313">
        <f t="shared" si="0"/>
        <v>9.93</v>
      </c>
      <c r="G42" s="313" t="s">
        <v>412</v>
      </c>
      <c r="H42" s="314">
        <v>0</v>
      </c>
      <c r="I42" s="314">
        <v>0</v>
      </c>
      <c r="J42" s="314">
        <v>0</v>
      </c>
      <c r="K42" s="311">
        <v>0</v>
      </c>
      <c r="L42" s="314">
        <v>0</v>
      </c>
      <c r="M42" s="109">
        <f>ROUND(F42*0.012,2)</f>
        <v>0.12</v>
      </c>
      <c r="N42" s="314">
        <v>0</v>
      </c>
      <c r="O42" s="314">
        <v>0</v>
      </c>
      <c r="P42" s="314">
        <v>0</v>
      </c>
      <c r="Q42" s="314">
        <v>0</v>
      </c>
      <c r="R42" s="314">
        <v>0</v>
      </c>
      <c r="S42" s="316">
        <f t="shared" si="1"/>
        <v>1.08</v>
      </c>
      <c r="T42" s="313">
        <v>5.46</v>
      </c>
      <c r="U42" s="109" t="s">
        <v>4</v>
      </c>
    </row>
    <row r="43" spans="1:21" ht="20.100000000000001" customHeight="1">
      <c r="A43" s="311">
        <v>6</v>
      </c>
      <c r="B43" s="317" t="s">
        <v>244</v>
      </c>
      <c r="C43" s="313">
        <f>ESTIMATE!I335</f>
        <v>0</v>
      </c>
      <c r="D43" s="313">
        <f>ESTIMATE!I750</f>
        <v>0</v>
      </c>
      <c r="E43" s="313">
        <f>ESTIMATE!I1145</f>
        <v>0</v>
      </c>
      <c r="F43" s="313">
        <f t="shared" si="0"/>
        <v>0</v>
      </c>
      <c r="G43" s="313" t="s">
        <v>412</v>
      </c>
      <c r="H43" s="314">
        <v>0</v>
      </c>
      <c r="I43" s="314">
        <v>0</v>
      </c>
      <c r="J43" s="314">
        <v>0</v>
      </c>
      <c r="K43" s="311">
        <v>0</v>
      </c>
      <c r="L43" s="314">
        <v>0</v>
      </c>
      <c r="M43" s="109">
        <f>ROUND(F43*0.012,2)</f>
        <v>0</v>
      </c>
      <c r="N43" s="314">
        <v>0</v>
      </c>
      <c r="O43" s="314">
        <v>0</v>
      </c>
      <c r="P43" s="314">
        <v>0</v>
      </c>
      <c r="Q43" s="314">
        <v>0</v>
      </c>
      <c r="R43" s="314">
        <v>0</v>
      </c>
      <c r="S43" s="316">
        <f t="shared" si="1"/>
        <v>0</v>
      </c>
      <c r="T43" s="313">
        <v>9.06</v>
      </c>
      <c r="U43" s="109" t="s">
        <v>4</v>
      </c>
    </row>
    <row r="44" spans="1:21" ht="20.100000000000001" hidden="1" customHeight="1">
      <c r="A44" s="311">
        <v>22</v>
      </c>
      <c r="B44" s="317" t="s">
        <v>990</v>
      </c>
      <c r="C44" s="313">
        <f>ESTIMATE!I340</f>
        <v>0</v>
      </c>
      <c r="D44" s="313">
        <f>ESTIMATE!I758</f>
        <v>0</v>
      </c>
      <c r="E44" s="313">
        <f>ESTIMATE!I1153</f>
        <v>0</v>
      </c>
      <c r="F44" s="313">
        <f t="shared" ref="F44" si="15">SUM(C44:E44)</f>
        <v>0</v>
      </c>
      <c r="G44" s="313" t="s">
        <v>412</v>
      </c>
      <c r="H44" s="314">
        <v>0</v>
      </c>
      <c r="I44" s="314">
        <v>0</v>
      </c>
      <c r="J44" s="314">
        <v>0</v>
      </c>
      <c r="K44" s="311">
        <v>0</v>
      </c>
      <c r="L44" s="314">
        <v>0</v>
      </c>
      <c r="M44" s="109">
        <f>ROUND(F44*0.008*1,2)</f>
        <v>0</v>
      </c>
      <c r="N44" s="314">
        <v>0</v>
      </c>
      <c r="O44" s="314">
        <v>0</v>
      </c>
      <c r="P44" s="314">
        <v>0</v>
      </c>
      <c r="Q44" s="314">
        <v>0</v>
      </c>
      <c r="R44" s="314">
        <v>0</v>
      </c>
      <c r="S44" s="316">
        <f t="shared" si="1"/>
        <v>0</v>
      </c>
      <c r="T44" s="313">
        <v>2.76</v>
      </c>
      <c r="U44" s="109" t="s">
        <v>4</v>
      </c>
    </row>
    <row r="45" spans="1:21" ht="18" customHeight="1">
      <c r="A45" s="311"/>
      <c r="B45" s="317"/>
      <c r="C45" s="317"/>
      <c r="D45" s="317"/>
      <c r="E45" s="317"/>
      <c r="F45" s="313"/>
      <c r="G45" s="313"/>
      <c r="H45" s="109"/>
      <c r="I45" s="109"/>
      <c r="J45" s="109"/>
      <c r="K45" s="109"/>
      <c r="L45" s="109"/>
      <c r="M45" s="109"/>
      <c r="N45" s="314"/>
      <c r="O45" s="109"/>
      <c r="P45" s="109"/>
      <c r="Q45" s="314"/>
      <c r="R45" s="109"/>
      <c r="S45" s="109"/>
      <c r="T45" s="313"/>
      <c r="U45" s="109"/>
    </row>
    <row r="46" spans="1:21" ht="25.5">
      <c r="A46" s="209"/>
      <c r="B46" s="209"/>
      <c r="C46" s="209"/>
      <c r="D46" s="209"/>
      <c r="E46" s="209"/>
      <c r="F46" s="208" t="s">
        <v>103</v>
      </c>
      <c r="G46" s="209"/>
      <c r="H46" s="212">
        <f t="shared" ref="H46:S46" si="16">SUM(H4:H45)</f>
        <v>9.73</v>
      </c>
      <c r="I46" s="212">
        <f t="shared" si="16"/>
        <v>22.150000000000002</v>
      </c>
      <c r="J46" s="212">
        <f t="shared" si="16"/>
        <v>0</v>
      </c>
      <c r="K46" s="212">
        <f t="shared" si="16"/>
        <v>16.489999999999998</v>
      </c>
      <c r="L46" s="212">
        <f t="shared" si="16"/>
        <v>15.939999999999998</v>
      </c>
      <c r="M46" s="212">
        <f t="shared" si="16"/>
        <v>10.199999999999999</v>
      </c>
      <c r="N46" s="212">
        <f t="shared" si="16"/>
        <v>7.5</v>
      </c>
      <c r="O46" s="212">
        <f t="shared" si="16"/>
        <v>0</v>
      </c>
      <c r="P46" s="212">
        <f t="shared" si="16"/>
        <v>45.04</v>
      </c>
      <c r="Q46" s="212">
        <f t="shared" si="16"/>
        <v>10.81</v>
      </c>
      <c r="R46" s="212">
        <f t="shared" si="16"/>
        <v>0</v>
      </c>
      <c r="S46" s="212">
        <f t="shared" si="16"/>
        <v>311.88</v>
      </c>
      <c r="T46" s="319" t="s">
        <v>140</v>
      </c>
      <c r="U46" s="209"/>
    </row>
    <row r="47" spans="1:21" ht="27.75">
      <c r="A47" s="209"/>
      <c r="B47" s="209"/>
      <c r="C47" s="209"/>
      <c r="D47" s="209"/>
      <c r="E47" s="209"/>
      <c r="F47" s="208" t="s">
        <v>413</v>
      </c>
      <c r="G47" s="209"/>
      <c r="H47" s="320">
        <v>90</v>
      </c>
      <c r="I47" s="320">
        <v>90</v>
      </c>
      <c r="J47" s="320">
        <v>90</v>
      </c>
      <c r="K47" s="320">
        <v>90</v>
      </c>
      <c r="L47" s="320">
        <v>100</v>
      </c>
      <c r="M47" s="320">
        <v>100</v>
      </c>
      <c r="N47" s="320">
        <v>100</v>
      </c>
      <c r="O47" s="320">
        <v>100</v>
      </c>
      <c r="P47" s="320">
        <v>45</v>
      </c>
      <c r="Q47" s="320">
        <v>80</v>
      </c>
      <c r="R47" s="320">
        <v>45</v>
      </c>
      <c r="S47" s="321">
        <f>ROUND((S46*50)/1000,2)</f>
        <v>15.59</v>
      </c>
      <c r="T47" s="319" t="s">
        <v>29</v>
      </c>
      <c r="U47" s="209"/>
    </row>
    <row r="48" spans="1:21" ht="20.100000000000001" customHeight="1">
      <c r="A48" s="209"/>
      <c r="B48" s="209"/>
      <c r="C48" s="209"/>
      <c r="D48" s="209"/>
      <c r="E48" s="209"/>
      <c r="F48" s="209"/>
      <c r="G48" s="208" t="s">
        <v>104</v>
      </c>
      <c r="H48" s="211">
        <f t="shared" ref="H48:P48" si="17">ROUND(H46*H47,0)</f>
        <v>876</v>
      </c>
      <c r="I48" s="211">
        <f t="shared" si="17"/>
        <v>1994</v>
      </c>
      <c r="J48" s="211">
        <f t="shared" si="17"/>
        <v>0</v>
      </c>
      <c r="K48" s="211">
        <f t="shared" si="17"/>
        <v>1484</v>
      </c>
      <c r="L48" s="211">
        <f t="shared" si="17"/>
        <v>1594</v>
      </c>
      <c r="M48" s="211">
        <f t="shared" si="17"/>
        <v>1020</v>
      </c>
      <c r="N48" s="211">
        <f t="shared" si="17"/>
        <v>750</v>
      </c>
      <c r="O48" s="211">
        <f t="shared" si="17"/>
        <v>0</v>
      </c>
      <c r="P48" s="211">
        <f t="shared" si="17"/>
        <v>2027</v>
      </c>
      <c r="Q48" s="211">
        <f>ROUND(Q46*Q47/1,0)</f>
        <v>865</v>
      </c>
      <c r="R48" s="211">
        <f t="shared" ref="R48" si="18">ROUND(R46*R47,0)</f>
        <v>0</v>
      </c>
      <c r="S48" s="321"/>
      <c r="T48" s="319"/>
      <c r="U48" s="209"/>
    </row>
    <row r="49" spans="1:21">
      <c r="A49" s="209"/>
      <c r="B49" s="209"/>
      <c r="C49" s="209"/>
      <c r="D49" s="209"/>
      <c r="E49" s="209"/>
      <c r="F49" s="319" t="s">
        <v>138</v>
      </c>
      <c r="G49" s="322" t="s">
        <v>104</v>
      </c>
      <c r="H49" s="323">
        <f>SUM(H48:R48)</f>
        <v>10610</v>
      </c>
      <c r="I49" s="323"/>
      <c r="J49" s="323"/>
      <c r="K49" s="323"/>
      <c r="L49" s="209"/>
      <c r="M49" s="209"/>
      <c r="N49" s="209"/>
      <c r="O49" s="209"/>
      <c r="P49" s="209"/>
      <c r="Q49" s="209"/>
      <c r="R49" s="209"/>
      <c r="S49" s="324"/>
      <c r="T49" s="325"/>
      <c r="U49" s="209"/>
    </row>
    <row r="52" spans="1:21">
      <c r="N52" s="213"/>
      <c r="O52" s="213"/>
      <c r="P52" s="213"/>
      <c r="Q52" s="213"/>
      <c r="R52" s="213"/>
      <c r="S52" s="213"/>
      <c r="T52" s="213"/>
      <c r="U52" s="213"/>
    </row>
    <row r="53" spans="1:21">
      <c r="M53" s="191" t="str">
        <f>'lead 25-26'!$H$32</f>
        <v>Deputy Executive Engineer</v>
      </c>
      <c r="R53" s="191" t="str">
        <f>'lead 25-26'!$K$32</f>
        <v>Assistant  Engineer</v>
      </c>
    </row>
    <row r="54" spans="1:21">
      <c r="M54" s="191" t="str">
        <f>'lead 25-26'!$H$33</f>
        <v>PRI Sub Division</v>
      </c>
      <c r="N54" s="213"/>
      <c r="O54" s="213"/>
      <c r="P54" s="213"/>
      <c r="Q54" s="213"/>
      <c r="R54" s="191" t="str">
        <f>'lead 25-26'!$K$33</f>
        <v>Mandal Praja parishad</v>
      </c>
      <c r="S54" s="213"/>
      <c r="T54" s="213"/>
      <c r="U54" s="213"/>
    </row>
    <row r="55" spans="1:21">
      <c r="M55" s="191" t="str">
        <f>'lead 25-26'!$H$34</f>
        <v>Kanigiri</v>
      </c>
      <c r="N55" s="213"/>
      <c r="O55" s="213"/>
      <c r="P55" s="213"/>
      <c r="Q55" s="213"/>
      <c r="R55" s="191" t="str">
        <f>'lead 25-26'!$K$34</f>
        <v>Kanigiri</v>
      </c>
      <c r="S55" s="213"/>
      <c r="T55" s="213"/>
      <c r="U55" s="213"/>
    </row>
    <row r="493" spans="16:16">
      <c r="P493" s="204" t="s">
        <v>0</v>
      </c>
    </row>
  </sheetData>
  <autoFilter ref="A3:U44" xr:uid="{00000000-0009-0000-0000-000013000000}">
    <filterColumn colId="5" showButton="0">
      <customFilters>
        <customFilter operator="notEqual" val=" "/>
      </customFilters>
    </filterColumn>
  </autoFilter>
  <mergeCells count="2">
    <mergeCell ref="A1:U1"/>
    <mergeCell ref="F3:G3"/>
  </mergeCells>
  <printOptions horizontalCentered="1"/>
  <pageMargins left="0.5" right="0.21" top="0.22" bottom="0.23" header="0.22" footer="0.16"/>
  <pageSetup paperSize="9" scale="71" orientation="landscape" verticalDpi="0" r:id="rId1"/>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400-000000000000}">
  <sheetPr>
    <tabColor rgb="FF00B050"/>
  </sheetPr>
  <dimension ref="A1:I7"/>
  <sheetViews>
    <sheetView zoomScale="115" zoomScaleNormal="115" workbookViewId="0">
      <selection activeCell="A2" sqref="A2:I2"/>
    </sheetView>
  </sheetViews>
  <sheetFormatPr defaultRowHeight="12.75"/>
  <cols>
    <col min="1" max="1" width="9.140625" style="461"/>
    <col min="2" max="2" width="9.85546875" style="461" customWidth="1"/>
    <col min="3" max="6" width="9.140625" style="461"/>
    <col min="7" max="7" width="11" style="461" customWidth="1"/>
    <col min="8" max="8" width="11.28515625" style="461" customWidth="1"/>
    <col min="9" max="257" width="9.140625" style="461"/>
    <col min="258" max="258" width="9.85546875" style="461" customWidth="1"/>
    <col min="259" max="262" width="9.140625" style="461"/>
    <col min="263" max="263" width="11" style="461" customWidth="1"/>
    <col min="264" max="264" width="11.28515625" style="461" customWidth="1"/>
    <col min="265" max="513" width="9.140625" style="461"/>
    <col min="514" max="514" width="9.85546875" style="461" customWidth="1"/>
    <col min="515" max="518" width="9.140625" style="461"/>
    <col min="519" max="519" width="11" style="461" customWidth="1"/>
    <col min="520" max="520" width="11.28515625" style="461" customWidth="1"/>
    <col min="521" max="769" width="9.140625" style="461"/>
    <col min="770" max="770" width="9.85546875" style="461" customWidth="1"/>
    <col min="771" max="774" width="9.140625" style="461"/>
    <col min="775" max="775" width="11" style="461" customWidth="1"/>
    <col min="776" max="776" width="11.28515625" style="461" customWidth="1"/>
    <col min="777" max="1025" width="9.140625" style="461"/>
    <col min="1026" max="1026" width="9.85546875" style="461" customWidth="1"/>
    <col min="1027" max="1030" width="9.140625" style="461"/>
    <col min="1031" max="1031" width="11" style="461" customWidth="1"/>
    <col min="1032" max="1032" width="11.28515625" style="461" customWidth="1"/>
    <col min="1033" max="1281" width="9.140625" style="461"/>
    <col min="1282" max="1282" width="9.85546875" style="461" customWidth="1"/>
    <col min="1283" max="1286" width="9.140625" style="461"/>
    <col min="1287" max="1287" width="11" style="461" customWidth="1"/>
    <col min="1288" max="1288" width="11.28515625" style="461" customWidth="1"/>
    <col min="1289" max="1537" width="9.140625" style="461"/>
    <col min="1538" max="1538" width="9.85546875" style="461" customWidth="1"/>
    <col min="1539" max="1542" width="9.140625" style="461"/>
    <col min="1543" max="1543" width="11" style="461" customWidth="1"/>
    <col min="1544" max="1544" width="11.28515625" style="461" customWidth="1"/>
    <col min="1545" max="1793" width="9.140625" style="461"/>
    <col min="1794" max="1794" width="9.85546875" style="461" customWidth="1"/>
    <col min="1795" max="1798" width="9.140625" style="461"/>
    <col min="1799" max="1799" width="11" style="461" customWidth="1"/>
    <col min="1800" max="1800" width="11.28515625" style="461" customWidth="1"/>
    <col min="1801" max="2049" width="9.140625" style="461"/>
    <col min="2050" max="2050" width="9.85546875" style="461" customWidth="1"/>
    <col min="2051" max="2054" width="9.140625" style="461"/>
    <col min="2055" max="2055" width="11" style="461" customWidth="1"/>
    <col min="2056" max="2056" width="11.28515625" style="461" customWidth="1"/>
    <col min="2057" max="2305" width="9.140625" style="461"/>
    <col min="2306" max="2306" width="9.85546875" style="461" customWidth="1"/>
    <col min="2307" max="2310" width="9.140625" style="461"/>
    <col min="2311" max="2311" width="11" style="461" customWidth="1"/>
    <col min="2312" max="2312" width="11.28515625" style="461" customWidth="1"/>
    <col min="2313" max="2561" width="9.140625" style="461"/>
    <col min="2562" max="2562" width="9.85546875" style="461" customWidth="1"/>
    <col min="2563" max="2566" width="9.140625" style="461"/>
    <col min="2567" max="2567" width="11" style="461" customWidth="1"/>
    <col min="2568" max="2568" width="11.28515625" style="461" customWidth="1"/>
    <col min="2569" max="2817" width="9.140625" style="461"/>
    <col min="2818" max="2818" width="9.85546875" style="461" customWidth="1"/>
    <col min="2819" max="2822" width="9.140625" style="461"/>
    <col min="2823" max="2823" width="11" style="461" customWidth="1"/>
    <col min="2824" max="2824" width="11.28515625" style="461" customWidth="1"/>
    <col min="2825" max="3073" width="9.140625" style="461"/>
    <col min="3074" max="3074" width="9.85546875" style="461" customWidth="1"/>
    <col min="3075" max="3078" width="9.140625" style="461"/>
    <col min="3079" max="3079" width="11" style="461" customWidth="1"/>
    <col min="3080" max="3080" width="11.28515625" style="461" customWidth="1"/>
    <col min="3081" max="3329" width="9.140625" style="461"/>
    <col min="3330" max="3330" width="9.85546875" style="461" customWidth="1"/>
    <col min="3331" max="3334" width="9.140625" style="461"/>
    <col min="3335" max="3335" width="11" style="461" customWidth="1"/>
    <col min="3336" max="3336" width="11.28515625" style="461" customWidth="1"/>
    <col min="3337" max="3585" width="9.140625" style="461"/>
    <col min="3586" max="3586" width="9.85546875" style="461" customWidth="1"/>
    <col min="3587" max="3590" width="9.140625" style="461"/>
    <col min="3591" max="3591" width="11" style="461" customWidth="1"/>
    <col min="3592" max="3592" width="11.28515625" style="461" customWidth="1"/>
    <col min="3593" max="3841" width="9.140625" style="461"/>
    <col min="3842" max="3842" width="9.85546875" style="461" customWidth="1"/>
    <col min="3843" max="3846" width="9.140625" style="461"/>
    <col min="3847" max="3847" width="11" style="461" customWidth="1"/>
    <col min="3848" max="3848" width="11.28515625" style="461" customWidth="1"/>
    <col min="3849" max="4097" width="9.140625" style="461"/>
    <col min="4098" max="4098" width="9.85546875" style="461" customWidth="1"/>
    <col min="4099" max="4102" width="9.140625" style="461"/>
    <col min="4103" max="4103" width="11" style="461" customWidth="1"/>
    <col min="4104" max="4104" width="11.28515625" style="461" customWidth="1"/>
    <col min="4105" max="4353" width="9.140625" style="461"/>
    <col min="4354" max="4354" width="9.85546875" style="461" customWidth="1"/>
    <col min="4355" max="4358" width="9.140625" style="461"/>
    <col min="4359" max="4359" width="11" style="461" customWidth="1"/>
    <col min="4360" max="4360" width="11.28515625" style="461" customWidth="1"/>
    <col min="4361" max="4609" width="9.140625" style="461"/>
    <col min="4610" max="4610" width="9.85546875" style="461" customWidth="1"/>
    <col min="4611" max="4614" width="9.140625" style="461"/>
    <col min="4615" max="4615" width="11" style="461" customWidth="1"/>
    <col min="4616" max="4616" width="11.28515625" style="461" customWidth="1"/>
    <col min="4617" max="4865" width="9.140625" style="461"/>
    <col min="4866" max="4866" width="9.85546875" style="461" customWidth="1"/>
    <col min="4867" max="4870" width="9.140625" style="461"/>
    <col min="4871" max="4871" width="11" style="461" customWidth="1"/>
    <col min="4872" max="4872" width="11.28515625" style="461" customWidth="1"/>
    <col min="4873" max="5121" width="9.140625" style="461"/>
    <col min="5122" max="5122" width="9.85546875" style="461" customWidth="1"/>
    <col min="5123" max="5126" width="9.140625" style="461"/>
    <col min="5127" max="5127" width="11" style="461" customWidth="1"/>
    <col min="5128" max="5128" width="11.28515625" style="461" customWidth="1"/>
    <col min="5129" max="5377" width="9.140625" style="461"/>
    <col min="5378" max="5378" width="9.85546875" style="461" customWidth="1"/>
    <col min="5379" max="5382" width="9.140625" style="461"/>
    <col min="5383" max="5383" width="11" style="461" customWidth="1"/>
    <col min="5384" max="5384" width="11.28515625" style="461" customWidth="1"/>
    <col min="5385" max="5633" width="9.140625" style="461"/>
    <col min="5634" max="5634" width="9.85546875" style="461" customWidth="1"/>
    <col min="5635" max="5638" width="9.140625" style="461"/>
    <col min="5639" max="5639" width="11" style="461" customWidth="1"/>
    <col min="5640" max="5640" width="11.28515625" style="461" customWidth="1"/>
    <col min="5641" max="5889" width="9.140625" style="461"/>
    <col min="5890" max="5890" width="9.85546875" style="461" customWidth="1"/>
    <col min="5891" max="5894" width="9.140625" style="461"/>
    <col min="5895" max="5895" width="11" style="461" customWidth="1"/>
    <col min="5896" max="5896" width="11.28515625" style="461" customWidth="1"/>
    <col min="5897" max="6145" width="9.140625" style="461"/>
    <col min="6146" max="6146" width="9.85546875" style="461" customWidth="1"/>
    <col min="6147" max="6150" width="9.140625" style="461"/>
    <col min="6151" max="6151" width="11" style="461" customWidth="1"/>
    <col min="6152" max="6152" width="11.28515625" style="461" customWidth="1"/>
    <col min="6153" max="6401" width="9.140625" style="461"/>
    <col min="6402" max="6402" width="9.85546875" style="461" customWidth="1"/>
    <col min="6403" max="6406" width="9.140625" style="461"/>
    <col min="6407" max="6407" width="11" style="461" customWidth="1"/>
    <col min="6408" max="6408" width="11.28515625" style="461" customWidth="1"/>
    <col min="6409" max="6657" width="9.140625" style="461"/>
    <col min="6658" max="6658" width="9.85546875" style="461" customWidth="1"/>
    <col min="6659" max="6662" width="9.140625" style="461"/>
    <col min="6663" max="6663" width="11" style="461" customWidth="1"/>
    <col min="6664" max="6664" width="11.28515625" style="461" customWidth="1"/>
    <col min="6665" max="6913" width="9.140625" style="461"/>
    <col min="6914" max="6914" width="9.85546875" style="461" customWidth="1"/>
    <col min="6915" max="6918" width="9.140625" style="461"/>
    <col min="6919" max="6919" width="11" style="461" customWidth="1"/>
    <col min="6920" max="6920" width="11.28515625" style="461" customWidth="1"/>
    <col min="6921" max="7169" width="9.140625" style="461"/>
    <col min="7170" max="7170" width="9.85546875" style="461" customWidth="1"/>
    <col min="7171" max="7174" width="9.140625" style="461"/>
    <col min="7175" max="7175" width="11" style="461" customWidth="1"/>
    <col min="7176" max="7176" width="11.28515625" style="461" customWidth="1"/>
    <col min="7177" max="7425" width="9.140625" style="461"/>
    <col min="7426" max="7426" width="9.85546875" style="461" customWidth="1"/>
    <col min="7427" max="7430" width="9.140625" style="461"/>
    <col min="7431" max="7431" width="11" style="461" customWidth="1"/>
    <col min="7432" max="7432" width="11.28515625" style="461" customWidth="1"/>
    <col min="7433" max="7681" width="9.140625" style="461"/>
    <col min="7682" max="7682" width="9.85546875" style="461" customWidth="1"/>
    <col min="7683" max="7686" width="9.140625" style="461"/>
    <col min="7687" max="7687" width="11" style="461" customWidth="1"/>
    <col min="7688" max="7688" width="11.28515625" style="461" customWidth="1"/>
    <col min="7689" max="7937" width="9.140625" style="461"/>
    <col min="7938" max="7938" width="9.85546875" style="461" customWidth="1"/>
    <col min="7939" max="7942" width="9.140625" style="461"/>
    <col min="7943" max="7943" width="11" style="461" customWidth="1"/>
    <col min="7944" max="7944" width="11.28515625" style="461" customWidth="1"/>
    <col min="7945" max="8193" width="9.140625" style="461"/>
    <col min="8194" max="8194" width="9.85546875" style="461" customWidth="1"/>
    <col min="8195" max="8198" width="9.140625" style="461"/>
    <col min="8199" max="8199" width="11" style="461" customWidth="1"/>
    <col min="8200" max="8200" width="11.28515625" style="461" customWidth="1"/>
    <col min="8201" max="8449" width="9.140625" style="461"/>
    <col min="8450" max="8450" width="9.85546875" style="461" customWidth="1"/>
    <col min="8451" max="8454" width="9.140625" style="461"/>
    <col min="8455" max="8455" width="11" style="461" customWidth="1"/>
    <col min="8456" max="8456" width="11.28515625" style="461" customWidth="1"/>
    <col min="8457" max="8705" width="9.140625" style="461"/>
    <col min="8706" max="8706" width="9.85546875" style="461" customWidth="1"/>
    <col min="8707" max="8710" width="9.140625" style="461"/>
    <col min="8711" max="8711" width="11" style="461" customWidth="1"/>
    <col min="8712" max="8712" width="11.28515625" style="461" customWidth="1"/>
    <col min="8713" max="8961" width="9.140625" style="461"/>
    <col min="8962" max="8962" width="9.85546875" style="461" customWidth="1"/>
    <col min="8963" max="8966" width="9.140625" style="461"/>
    <col min="8967" max="8967" width="11" style="461" customWidth="1"/>
    <col min="8968" max="8968" width="11.28515625" style="461" customWidth="1"/>
    <col min="8969" max="9217" width="9.140625" style="461"/>
    <col min="9218" max="9218" width="9.85546875" style="461" customWidth="1"/>
    <col min="9219" max="9222" width="9.140625" style="461"/>
    <col min="9223" max="9223" width="11" style="461" customWidth="1"/>
    <col min="9224" max="9224" width="11.28515625" style="461" customWidth="1"/>
    <col min="9225" max="9473" width="9.140625" style="461"/>
    <col min="9474" max="9474" width="9.85546875" style="461" customWidth="1"/>
    <col min="9475" max="9478" width="9.140625" style="461"/>
    <col min="9479" max="9479" width="11" style="461" customWidth="1"/>
    <col min="9480" max="9480" width="11.28515625" style="461" customWidth="1"/>
    <col min="9481" max="9729" width="9.140625" style="461"/>
    <col min="9730" max="9730" width="9.85546875" style="461" customWidth="1"/>
    <col min="9731" max="9734" width="9.140625" style="461"/>
    <col min="9735" max="9735" width="11" style="461" customWidth="1"/>
    <col min="9736" max="9736" width="11.28515625" style="461" customWidth="1"/>
    <col min="9737" max="9985" width="9.140625" style="461"/>
    <col min="9986" max="9986" width="9.85546875" style="461" customWidth="1"/>
    <col min="9987" max="9990" width="9.140625" style="461"/>
    <col min="9991" max="9991" width="11" style="461" customWidth="1"/>
    <col min="9992" max="9992" width="11.28515625" style="461" customWidth="1"/>
    <col min="9993" max="10241" width="9.140625" style="461"/>
    <col min="10242" max="10242" width="9.85546875" style="461" customWidth="1"/>
    <col min="10243" max="10246" width="9.140625" style="461"/>
    <col min="10247" max="10247" width="11" style="461" customWidth="1"/>
    <col min="10248" max="10248" width="11.28515625" style="461" customWidth="1"/>
    <col min="10249" max="10497" width="9.140625" style="461"/>
    <col min="10498" max="10498" width="9.85546875" style="461" customWidth="1"/>
    <col min="10499" max="10502" width="9.140625" style="461"/>
    <col min="10503" max="10503" width="11" style="461" customWidth="1"/>
    <col min="10504" max="10504" width="11.28515625" style="461" customWidth="1"/>
    <col min="10505" max="10753" width="9.140625" style="461"/>
    <col min="10754" max="10754" width="9.85546875" style="461" customWidth="1"/>
    <col min="10755" max="10758" width="9.140625" style="461"/>
    <col min="10759" max="10759" width="11" style="461" customWidth="1"/>
    <col min="10760" max="10760" width="11.28515625" style="461" customWidth="1"/>
    <col min="10761" max="11009" width="9.140625" style="461"/>
    <col min="11010" max="11010" width="9.85546875" style="461" customWidth="1"/>
    <col min="11011" max="11014" width="9.140625" style="461"/>
    <col min="11015" max="11015" width="11" style="461" customWidth="1"/>
    <col min="11016" max="11016" width="11.28515625" style="461" customWidth="1"/>
    <col min="11017" max="11265" width="9.140625" style="461"/>
    <col min="11266" max="11266" width="9.85546875" style="461" customWidth="1"/>
    <col min="11267" max="11270" width="9.140625" style="461"/>
    <col min="11271" max="11271" width="11" style="461" customWidth="1"/>
    <col min="11272" max="11272" width="11.28515625" style="461" customWidth="1"/>
    <col min="11273" max="11521" width="9.140625" style="461"/>
    <col min="11522" max="11522" width="9.85546875" style="461" customWidth="1"/>
    <col min="11523" max="11526" width="9.140625" style="461"/>
    <col min="11527" max="11527" width="11" style="461" customWidth="1"/>
    <col min="11528" max="11528" width="11.28515625" style="461" customWidth="1"/>
    <col min="11529" max="11777" width="9.140625" style="461"/>
    <col min="11778" max="11778" width="9.85546875" style="461" customWidth="1"/>
    <col min="11779" max="11782" width="9.140625" style="461"/>
    <col min="11783" max="11783" width="11" style="461" customWidth="1"/>
    <col min="11784" max="11784" width="11.28515625" style="461" customWidth="1"/>
    <col min="11785" max="12033" width="9.140625" style="461"/>
    <col min="12034" max="12034" width="9.85546875" style="461" customWidth="1"/>
    <col min="12035" max="12038" width="9.140625" style="461"/>
    <col min="12039" max="12039" width="11" style="461" customWidth="1"/>
    <col min="12040" max="12040" width="11.28515625" style="461" customWidth="1"/>
    <col min="12041" max="12289" width="9.140625" style="461"/>
    <col min="12290" max="12290" width="9.85546875" style="461" customWidth="1"/>
    <col min="12291" max="12294" width="9.140625" style="461"/>
    <col min="12295" max="12295" width="11" style="461" customWidth="1"/>
    <col min="12296" max="12296" width="11.28515625" style="461" customWidth="1"/>
    <col min="12297" max="12545" width="9.140625" style="461"/>
    <col min="12546" max="12546" width="9.85546875" style="461" customWidth="1"/>
    <col min="12547" max="12550" width="9.140625" style="461"/>
    <col min="12551" max="12551" width="11" style="461" customWidth="1"/>
    <col min="12552" max="12552" width="11.28515625" style="461" customWidth="1"/>
    <col min="12553" max="12801" width="9.140625" style="461"/>
    <col min="12802" max="12802" width="9.85546875" style="461" customWidth="1"/>
    <col min="12803" max="12806" width="9.140625" style="461"/>
    <col min="12807" max="12807" width="11" style="461" customWidth="1"/>
    <col min="12808" max="12808" width="11.28515625" style="461" customWidth="1"/>
    <col min="12809" max="13057" width="9.140625" style="461"/>
    <col min="13058" max="13058" width="9.85546875" style="461" customWidth="1"/>
    <col min="13059" max="13062" width="9.140625" style="461"/>
    <col min="13063" max="13063" width="11" style="461" customWidth="1"/>
    <col min="13064" max="13064" width="11.28515625" style="461" customWidth="1"/>
    <col min="13065" max="13313" width="9.140625" style="461"/>
    <col min="13314" max="13314" width="9.85546875" style="461" customWidth="1"/>
    <col min="13315" max="13318" width="9.140625" style="461"/>
    <col min="13319" max="13319" width="11" style="461" customWidth="1"/>
    <col min="13320" max="13320" width="11.28515625" style="461" customWidth="1"/>
    <col min="13321" max="13569" width="9.140625" style="461"/>
    <col min="13570" max="13570" width="9.85546875" style="461" customWidth="1"/>
    <col min="13571" max="13574" width="9.140625" style="461"/>
    <col min="13575" max="13575" width="11" style="461" customWidth="1"/>
    <col min="13576" max="13576" width="11.28515625" style="461" customWidth="1"/>
    <col min="13577" max="13825" width="9.140625" style="461"/>
    <col min="13826" max="13826" width="9.85546875" style="461" customWidth="1"/>
    <col min="13827" max="13830" width="9.140625" style="461"/>
    <col min="13831" max="13831" width="11" style="461" customWidth="1"/>
    <col min="13832" max="13832" width="11.28515625" style="461" customWidth="1"/>
    <col min="13833" max="14081" width="9.140625" style="461"/>
    <col min="14082" max="14082" width="9.85546875" style="461" customWidth="1"/>
    <col min="14083" max="14086" width="9.140625" style="461"/>
    <col min="14087" max="14087" width="11" style="461" customWidth="1"/>
    <col min="14088" max="14088" width="11.28515625" style="461" customWidth="1"/>
    <col min="14089" max="14337" width="9.140625" style="461"/>
    <col min="14338" max="14338" width="9.85546875" style="461" customWidth="1"/>
    <col min="14339" max="14342" width="9.140625" style="461"/>
    <col min="14343" max="14343" width="11" style="461" customWidth="1"/>
    <col min="14344" max="14344" width="11.28515625" style="461" customWidth="1"/>
    <col min="14345" max="14593" width="9.140625" style="461"/>
    <col min="14594" max="14594" width="9.85546875" style="461" customWidth="1"/>
    <col min="14595" max="14598" width="9.140625" style="461"/>
    <col min="14599" max="14599" width="11" style="461" customWidth="1"/>
    <col min="14600" max="14600" width="11.28515625" style="461" customWidth="1"/>
    <col min="14601" max="14849" width="9.140625" style="461"/>
    <col min="14850" max="14850" width="9.85546875" style="461" customWidth="1"/>
    <col min="14851" max="14854" width="9.140625" style="461"/>
    <col min="14855" max="14855" width="11" style="461" customWidth="1"/>
    <col min="14856" max="14856" width="11.28515625" style="461" customWidth="1"/>
    <col min="14857" max="15105" width="9.140625" style="461"/>
    <col min="15106" max="15106" width="9.85546875" style="461" customWidth="1"/>
    <col min="15107" max="15110" width="9.140625" style="461"/>
    <col min="15111" max="15111" width="11" style="461" customWidth="1"/>
    <col min="15112" max="15112" width="11.28515625" style="461" customWidth="1"/>
    <col min="15113" max="15361" width="9.140625" style="461"/>
    <col min="15362" max="15362" width="9.85546875" style="461" customWidth="1"/>
    <col min="15363" max="15366" width="9.140625" style="461"/>
    <col min="15367" max="15367" width="11" style="461" customWidth="1"/>
    <col min="15368" max="15368" width="11.28515625" style="461" customWidth="1"/>
    <col min="15369" max="15617" width="9.140625" style="461"/>
    <col min="15618" max="15618" width="9.85546875" style="461" customWidth="1"/>
    <col min="15619" max="15622" width="9.140625" style="461"/>
    <col min="15623" max="15623" width="11" style="461" customWidth="1"/>
    <col min="15624" max="15624" width="11.28515625" style="461" customWidth="1"/>
    <col min="15625" max="15873" width="9.140625" style="461"/>
    <col min="15874" max="15874" width="9.85546875" style="461" customWidth="1"/>
    <col min="15875" max="15878" width="9.140625" style="461"/>
    <col min="15879" max="15879" width="11" style="461" customWidth="1"/>
    <col min="15880" max="15880" width="11.28515625" style="461" customWidth="1"/>
    <col min="15881" max="16129" width="9.140625" style="461"/>
    <col min="16130" max="16130" width="9.85546875" style="461" customWidth="1"/>
    <col min="16131" max="16134" width="9.140625" style="461"/>
    <col min="16135" max="16135" width="11" style="461" customWidth="1"/>
    <col min="16136" max="16136" width="11.28515625" style="461" customWidth="1"/>
    <col min="16137" max="16384" width="9.140625" style="461"/>
  </cols>
  <sheetData>
    <row r="1" spans="1:9" ht="26.25" customHeight="1">
      <c r="A1" s="1094" t="s">
        <v>2064</v>
      </c>
      <c r="B1" s="1094"/>
      <c r="C1" s="1094"/>
      <c r="D1" s="1094"/>
      <c r="E1" s="1094"/>
      <c r="F1" s="1094"/>
      <c r="G1" s="1094"/>
      <c r="H1" s="1094"/>
      <c r="I1" s="1094"/>
    </row>
    <row r="2" spans="1:9" ht="108.75" customHeight="1">
      <c r="A2" s="1095" t="s">
        <v>2071</v>
      </c>
      <c r="B2" s="1096"/>
      <c r="C2" s="1096"/>
      <c r="D2" s="1096"/>
      <c r="E2" s="1096"/>
      <c r="F2" s="1096"/>
      <c r="G2" s="1096"/>
      <c r="H2" s="1096"/>
      <c r="I2" s="1096"/>
    </row>
    <row r="7" spans="1:9">
      <c r="G7" s="461" t="s">
        <v>2065</v>
      </c>
    </row>
  </sheetData>
  <mergeCells count="2">
    <mergeCell ref="A1:I1"/>
    <mergeCell ref="A2:I2"/>
  </mergeCells>
  <pageMargins left="0.70866141732283472" right="0.70866141732283472" top="0.74803149606299213" bottom="0.74803149606299213" header="0.31496062992125984" footer="0.31496062992125984"/>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20</vt:i4>
      </vt:variant>
      <vt:variant>
        <vt:lpstr>Named Ranges</vt:lpstr>
      </vt:variant>
      <vt:variant>
        <vt:i4>24</vt:i4>
      </vt:variant>
    </vt:vector>
  </HeadingPairs>
  <TitlesOfParts>
    <vt:vector size="44" baseType="lpstr">
      <vt:lpstr>COVER</vt:lpstr>
      <vt:lpstr>SPE</vt:lpstr>
      <vt:lpstr>ESTIMATE</vt:lpstr>
      <vt:lpstr>Seigneorage</vt:lpstr>
      <vt:lpstr>lead 25-26</vt:lpstr>
      <vt:lpstr>DATA 2025-26</vt:lpstr>
      <vt:lpstr>sani data 2024-25</vt:lpstr>
      <vt:lpstr>Ele Data 2025-26</vt:lpstr>
      <vt:lpstr>doors 2025-26</vt:lpstr>
      <vt:lpstr>MINI SSR 2025-26</vt:lpstr>
      <vt:lpstr>convey 25-26</vt:lpstr>
      <vt:lpstr>CS</vt:lpstr>
      <vt:lpstr>CR</vt:lpstr>
      <vt:lpstr>check slip</vt:lpstr>
      <vt:lpstr>C-1 </vt:lpstr>
      <vt:lpstr>CC f</vt:lpstr>
      <vt:lpstr>ccbc </vt:lpstr>
      <vt:lpstr>CERT</vt:lpstr>
      <vt:lpstr>Seigneorage (2)</vt:lpstr>
      <vt:lpstr>RE-DE</vt:lpstr>
      <vt:lpstr>'C-1 '!Print_Area</vt:lpstr>
      <vt:lpstr>'CC f'!Print_Area</vt:lpstr>
      <vt:lpstr>'check slip'!Print_Area</vt:lpstr>
      <vt:lpstr>'DATA 2025-26'!Print_Area</vt:lpstr>
      <vt:lpstr>'doors 2025-26'!Print_Area</vt:lpstr>
      <vt:lpstr>'Ele Data 2025-26'!Print_Area</vt:lpstr>
      <vt:lpstr>ESTIMATE!Print_Area</vt:lpstr>
      <vt:lpstr>'lead 25-26'!Print_Area</vt:lpstr>
      <vt:lpstr>'sani data 2024-25'!Print_Area</vt:lpstr>
      <vt:lpstr>Seigneorage!Print_Area</vt:lpstr>
      <vt:lpstr>'Seigneorage (2)'!Print_Area</vt:lpstr>
      <vt:lpstr>SPE!Print_Area</vt:lpstr>
      <vt:lpstr>'CC f'!Print_Titles</vt:lpstr>
      <vt:lpstr>'convey 25-26'!Print_Titles</vt:lpstr>
      <vt:lpstr>CR!Print_Titles</vt:lpstr>
      <vt:lpstr>CS!Print_Titles</vt:lpstr>
      <vt:lpstr>'DATA 2025-26'!Print_Titles</vt:lpstr>
      <vt:lpstr>'doors 2025-26'!Print_Titles</vt:lpstr>
      <vt:lpstr>'Ele Data 2025-26'!Print_Titles</vt:lpstr>
      <vt:lpstr>ESTIMATE!Print_Titles</vt:lpstr>
      <vt:lpstr>'lead 25-26'!Print_Titles</vt:lpstr>
      <vt:lpstr>'sani data 2024-25'!Print_Titles</vt:lpstr>
      <vt:lpstr>Seigneorage!Print_Titles</vt:lpstr>
      <vt:lpstr>'Seigneorage (2)'!Print_Titles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UNIQUE</dc:creator>
  <cp:lastModifiedBy>welcome</cp:lastModifiedBy>
  <cp:lastPrinted>2025-07-21T09:12:38Z</cp:lastPrinted>
  <dcterms:created xsi:type="dcterms:W3CDTF">1996-10-14T23:33:28Z</dcterms:created>
  <dcterms:modified xsi:type="dcterms:W3CDTF">2025-09-25T11:16:02Z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VID3C5B19EF">
    <vt:lpwstr/>
  </property>
  <property fmtid="{D5CDD505-2E9C-101B-9397-08002B2CF9AE}" pid="3" name="IVID3E1216F6">
    <vt:lpwstr/>
  </property>
  <property fmtid="{D5CDD505-2E9C-101B-9397-08002B2CF9AE}" pid="4" name="IVID302816EE">
    <vt:lpwstr/>
  </property>
  <property fmtid="{D5CDD505-2E9C-101B-9397-08002B2CF9AE}" pid="5" name="IVID2B3716DF">
    <vt:lpwstr/>
  </property>
  <property fmtid="{D5CDD505-2E9C-101B-9397-08002B2CF9AE}" pid="6" name="IVIDF5E17EB">
    <vt:lpwstr/>
  </property>
  <property fmtid="{D5CDD505-2E9C-101B-9397-08002B2CF9AE}" pid="7" name="IVID275CAB41">
    <vt:lpwstr/>
  </property>
  <property fmtid="{D5CDD505-2E9C-101B-9397-08002B2CF9AE}" pid="8" name="IVID1F3B11E2">
    <vt:lpwstr/>
  </property>
  <property fmtid="{D5CDD505-2E9C-101B-9397-08002B2CF9AE}" pid="9" name="IVID115B1EDE">
    <vt:lpwstr/>
  </property>
  <property fmtid="{D5CDD505-2E9C-101B-9397-08002B2CF9AE}" pid="10" name="IVID6A3C8A73">
    <vt:lpwstr/>
  </property>
  <property fmtid="{D5CDD505-2E9C-101B-9397-08002B2CF9AE}" pid="11" name="IVID286514FE">
    <vt:lpwstr/>
  </property>
  <property fmtid="{D5CDD505-2E9C-101B-9397-08002B2CF9AE}" pid="12" name="IVID38E35B7D">
    <vt:lpwstr/>
  </property>
  <property fmtid="{D5CDD505-2E9C-101B-9397-08002B2CF9AE}" pid="13" name="IVID305D14E1">
    <vt:lpwstr/>
  </property>
  <property fmtid="{D5CDD505-2E9C-101B-9397-08002B2CF9AE}" pid="14" name="IVID1D4A16E0">
    <vt:lpwstr/>
  </property>
  <property fmtid="{D5CDD505-2E9C-101B-9397-08002B2CF9AE}" pid="15" name="IVID344C1504">
    <vt:lpwstr/>
  </property>
  <property fmtid="{D5CDD505-2E9C-101B-9397-08002B2CF9AE}" pid="16" name="IVID38E958C0">
    <vt:lpwstr/>
  </property>
  <property fmtid="{D5CDD505-2E9C-101B-9397-08002B2CF9AE}" pid="17" name="IVID392816EE">
    <vt:lpwstr/>
  </property>
  <property fmtid="{D5CDD505-2E9C-101B-9397-08002B2CF9AE}" pid="18" name="IVID8A57BBF5">
    <vt:lpwstr/>
  </property>
  <property fmtid="{D5CDD505-2E9C-101B-9397-08002B2CF9AE}" pid="19" name="IVID307E17E9">
    <vt:lpwstr/>
  </property>
  <property fmtid="{D5CDD505-2E9C-101B-9397-08002B2CF9AE}" pid="20" name="IVID380DE5ED">
    <vt:lpwstr/>
  </property>
  <property fmtid="{D5CDD505-2E9C-101B-9397-08002B2CF9AE}" pid="21" name="IVID8A614DBE">
    <vt:lpwstr/>
  </property>
  <property fmtid="{D5CDD505-2E9C-101B-9397-08002B2CF9AE}" pid="22" name="IVID36161401">
    <vt:lpwstr/>
  </property>
  <property fmtid="{D5CDD505-2E9C-101B-9397-08002B2CF9AE}" pid="23" name="IVIDE663952B">
    <vt:lpwstr/>
  </property>
  <property fmtid="{D5CDD505-2E9C-101B-9397-08002B2CF9AE}" pid="24" name="IVID1F5816E2">
    <vt:lpwstr/>
  </property>
  <property fmtid="{D5CDD505-2E9C-101B-9397-08002B2CF9AE}" pid="25" name="IVID11EC0E58">
    <vt:lpwstr/>
  </property>
  <property fmtid="{D5CDD505-2E9C-101B-9397-08002B2CF9AE}" pid="26" name="IVIDC571CDF">
    <vt:lpwstr/>
  </property>
  <property fmtid="{D5CDD505-2E9C-101B-9397-08002B2CF9AE}" pid="27" name="IVID1A4D13F6">
    <vt:lpwstr/>
  </property>
  <property fmtid="{D5CDD505-2E9C-101B-9397-08002B2CF9AE}" pid="28" name="IVID293417FE">
    <vt:lpwstr/>
  </property>
  <property fmtid="{D5CDD505-2E9C-101B-9397-08002B2CF9AE}" pid="29" name="IVID15FF2D5A">
    <vt:lpwstr/>
  </property>
  <property fmtid="{D5CDD505-2E9C-101B-9397-08002B2CF9AE}" pid="30" name="IVID353513D9">
    <vt:lpwstr/>
  </property>
  <property fmtid="{D5CDD505-2E9C-101B-9397-08002B2CF9AE}" pid="31" name="IVID134E14D3">
    <vt:lpwstr/>
  </property>
  <property fmtid="{D5CDD505-2E9C-101B-9397-08002B2CF9AE}" pid="32" name="IVID326812F5">
    <vt:lpwstr/>
  </property>
  <property fmtid="{D5CDD505-2E9C-101B-9397-08002B2CF9AE}" pid="33" name="IVID381A7C7E">
    <vt:lpwstr/>
  </property>
  <property fmtid="{D5CDD505-2E9C-101B-9397-08002B2CF9AE}" pid="34" name="IVID197012F1">
    <vt:lpwstr/>
  </property>
  <property fmtid="{D5CDD505-2E9C-101B-9397-08002B2CF9AE}" pid="35" name="IVID2F1E1603">
    <vt:lpwstr/>
  </property>
  <property fmtid="{D5CDD505-2E9C-101B-9397-08002B2CF9AE}" pid="36" name="IVIDC">
    <vt:lpwstr/>
  </property>
  <property fmtid="{D5CDD505-2E9C-101B-9397-08002B2CF9AE}" pid="37" name="IVID362F13E8">
    <vt:lpwstr/>
  </property>
  <property fmtid="{D5CDD505-2E9C-101B-9397-08002B2CF9AE}" pid="38" name="IVID3A3618F1">
    <vt:lpwstr/>
  </property>
  <property fmtid="{D5CDD505-2E9C-101B-9397-08002B2CF9AE}" pid="39" name="IVID15E41318">
    <vt:lpwstr/>
  </property>
  <property fmtid="{D5CDD505-2E9C-101B-9397-08002B2CF9AE}" pid="40" name="IVID181914D9">
    <vt:lpwstr/>
  </property>
  <property fmtid="{D5CDD505-2E9C-101B-9397-08002B2CF9AE}" pid="41" name="IVID155815FB">
    <vt:lpwstr/>
  </property>
  <property fmtid="{D5CDD505-2E9C-101B-9397-08002B2CF9AE}" pid="42" name="IVIDD091BF0">
    <vt:lpwstr/>
  </property>
  <property fmtid="{D5CDD505-2E9C-101B-9397-08002B2CF9AE}" pid="43" name="IVID344CCFFC">
    <vt:lpwstr/>
  </property>
  <property fmtid="{D5CDD505-2E9C-101B-9397-08002B2CF9AE}" pid="44" name="IVID1A7D12ED">
    <vt:lpwstr/>
  </property>
  <property fmtid="{D5CDD505-2E9C-101B-9397-08002B2CF9AE}" pid="45" name="IVID1B2115FE">
    <vt:lpwstr/>
  </property>
  <property fmtid="{D5CDD505-2E9C-101B-9397-08002B2CF9AE}" pid="46" name="IVID35431BD0">
    <vt:lpwstr/>
  </property>
  <property fmtid="{D5CDD505-2E9C-101B-9397-08002B2CF9AE}" pid="47" name="IVID4637A884">
    <vt:lpwstr/>
  </property>
  <property fmtid="{D5CDD505-2E9C-101B-9397-08002B2CF9AE}" pid="48" name="IVID127C14F5">
    <vt:lpwstr/>
  </property>
  <property fmtid="{D5CDD505-2E9C-101B-9397-08002B2CF9AE}" pid="49" name="IVID1834F0DD">
    <vt:lpwstr/>
  </property>
  <property fmtid="{D5CDD505-2E9C-101B-9397-08002B2CF9AE}" pid="50" name="IVID312119E0">
    <vt:lpwstr/>
  </property>
  <property fmtid="{D5CDD505-2E9C-101B-9397-08002B2CF9AE}" pid="51" name="IVID1C5812DA">
    <vt:lpwstr/>
  </property>
  <property fmtid="{D5CDD505-2E9C-101B-9397-08002B2CF9AE}" pid="52" name="IVID173907ED">
    <vt:lpwstr/>
  </property>
  <property fmtid="{D5CDD505-2E9C-101B-9397-08002B2CF9AE}" pid="53" name="IVID274B1CF5">
    <vt:lpwstr/>
  </property>
  <property fmtid="{D5CDD505-2E9C-101B-9397-08002B2CF9AE}" pid="54" name="IVID2B4E17FA">
    <vt:lpwstr/>
  </property>
  <property fmtid="{D5CDD505-2E9C-101B-9397-08002B2CF9AE}" pid="55" name="IVID204114FA">
    <vt:lpwstr/>
  </property>
  <property fmtid="{D5CDD505-2E9C-101B-9397-08002B2CF9AE}" pid="56" name="IVID2A7117D7">
    <vt:lpwstr/>
  </property>
  <property fmtid="{D5CDD505-2E9C-101B-9397-08002B2CF9AE}" pid="57" name="IVIDE331703">
    <vt:lpwstr/>
  </property>
  <property fmtid="{D5CDD505-2E9C-101B-9397-08002B2CF9AE}" pid="58" name="IVID416E11FD">
    <vt:lpwstr/>
  </property>
  <property fmtid="{D5CDD505-2E9C-101B-9397-08002B2CF9AE}" pid="59" name="IVID52D0E06">
    <vt:lpwstr/>
  </property>
  <property fmtid="{D5CDD505-2E9C-101B-9397-08002B2CF9AE}" pid="60" name="IVID365C19D4">
    <vt:lpwstr/>
  </property>
  <property fmtid="{D5CDD505-2E9C-101B-9397-08002B2CF9AE}" pid="61" name="IVID253D11EF">
    <vt:lpwstr/>
  </property>
  <property fmtid="{D5CDD505-2E9C-101B-9397-08002B2CF9AE}" pid="62" name="IVID173E1206">
    <vt:lpwstr/>
  </property>
  <property fmtid="{D5CDD505-2E9C-101B-9397-08002B2CF9AE}" pid="63" name="IVID232310EC">
    <vt:lpwstr/>
  </property>
  <property fmtid="{D5CDD505-2E9C-101B-9397-08002B2CF9AE}" pid="64" name="IVID133D1AE5">
    <vt:lpwstr/>
  </property>
  <property fmtid="{D5CDD505-2E9C-101B-9397-08002B2CF9AE}" pid="65" name="IVIDF6113D9">
    <vt:lpwstr/>
  </property>
  <property fmtid="{D5CDD505-2E9C-101B-9397-08002B2CF9AE}" pid="66" name="IVID307414D1">
    <vt:lpwstr/>
  </property>
  <property fmtid="{D5CDD505-2E9C-101B-9397-08002B2CF9AE}" pid="67" name="IVID344B1400">
    <vt:lpwstr/>
  </property>
  <property fmtid="{D5CDD505-2E9C-101B-9397-08002B2CF9AE}" pid="68" name="IVID135B1DF5">
    <vt:lpwstr/>
  </property>
  <property fmtid="{D5CDD505-2E9C-101B-9397-08002B2CF9AE}" pid="69" name="IVID1A3716D3">
    <vt:lpwstr/>
  </property>
  <property fmtid="{D5CDD505-2E9C-101B-9397-08002B2CF9AE}" pid="70" name="IVIDD1916DB">
    <vt:lpwstr/>
  </property>
  <property fmtid="{D5CDD505-2E9C-101B-9397-08002B2CF9AE}" pid="71" name="IVID11431AF1">
    <vt:lpwstr/>
  </property>
  <property fmtid="{D5CDD505-2E9C-101B-9397-08002B2CF9AE}" pid="72" name="IVID1B2C19F3">
    <vt:lpwstr/>
  </property>
  <property fmtid="{D5CDD505-2E9C-101B-9397-08002B2CF9AE}" pid="73" name="IVIDD5E0FE6">
    <vt:lpwstr/>
  </property>
  <property fmtid="{D5CDD505-2E9C-101B-9397-08002B2CF9AE}" pid="74" name="IVID162D1605">
    <vt:lpwstr/>
  </property>
  <property fmtid="{D5CDD505-2E9C-101B-9397-08002B2CF9AE}" pid="75" name="IVIDA3E11E9">
    <vt:lpwstr/>
  </property>
  <property fmtid="{D5CDD505-2E9C-101B-9397-08002B2CF9AE}" pid="76" name="IVID1A3517F4">
    <vt:lpwstr/>
  </property>
  <property fmtid="{D5CDD505-2E9C-101B-9397-08002B2CF9AE}" pid="77" name="IVID375215CF">
    <vt:lpwstr/>
  </property>
  <property fmtid="{D5CDD505-2E9C-101B-9397-08002B2CF9AE}" pid="78" name="IVID1D401702">
    <vt:lpwstr/>
  </property>
  <property fmtid="{D5CDD505-2E9C-101B-9397-08002B2CF9AE}" pid="79" name="IVID382E16DB">
    <vt:lpwstr/>
  </property>
  <property fmtid="{D5CDD505-2E9C-101B-9397-08002B2CF9AE}" pid="80" name="IVID30321805">
    <vt:lpwstr/>
  </property>
  <property fmtid="{D5CDD505-2E9C-101B-9397-08002B2CF9AE}" pid="81" name="IVIDF3415DD">
    <vt:lpwstr/>
  </property>
  <property fmtid="{D5CDD505-2E9C-101B-9397-08002B2CF9AE}" pid="82" name="IVID112118DE">
    <vt:lpwstr/>
  </property>
  <property fmtid="{D5CDD505-2E9C-101B-9397-08002B2CF9AE}" pid="83" name="IVID2C0E11E8">
    <vt:lpwstr/>
  </property>
  <property fmtid="{D5CDD505-2E9C-101B-9397-08002B2CF9AE}" pid="84" name="IVID233A10E1">
    <vt:lpwstr/>
  </property>
  <property fmtid="{D5CDD505-2E9C-101B-9397-08002B2CF9AE}" pid="85" name="IVID3E3919D4">
    <vt:lpwstr/>
  </property>
  <property fmtid="{D5CDD505-2E9C-101B-9397-08002B2CF9AE}" pid="86" name="IVID113E1ADD">
    <vt:lpwstr/>
  </property>
  <property fmtid="{D5CDD505-2E9C-101B-9397-08002B2CF9AE}" pid="87" name="IVID113D14F9">
    <vt:lpwstr/>
  </property>
  <property fmtid="{D5CDD505-2E9C-101B-9397-08002B2CF9AE}" pid="88" name="IVID1D3F17E2">
    <vt:lpwstr/>
  </property>
  <property fmtid="{D5CDD505-2E9C-101B-9397-08002B2CF9AE}" pid="89" name="IVID13451200">
    <vt:lpwstr/>
  </property>
  <property fmtid="{D5CDD505-2E9C-101B-9397-08002B2CF9AE}" pid="90" name="IVID121617DE">
    <vt:lpwstr/>
  </property>
  <property fmtid="{D5CDD505-2E9C-101B-9397-08002B2CF9AE}" pid="91" name="IVID13691AF2">
    <vt:lpwstr/>
  </property>
  <property fmtid="{D5CDD505-2E9C-101B-9397-08002B2CF9AE}" pid="92" name="IVID265C1905">
    <vt:lpwstr/>
  </property>
  <property fmtid="{D5CDD505-2E9C-101B-9397-08002B2CF9AE}" pid="93" name="IVID32281CED">
    <vt:lpwstr/>
  </property>
  <property fmtid="{D5CDD505-2E9C-101B-9397-08002B2CF9AE}" pid="94" name="IVID102124BA">
    <vt:lpwstr/>
  </property>
  <property fmtid="{D5CDD505-2E9C-101B-9397-08002B2CF9AE}" pid="95" name="IVID3D1509D0">
    <vt:lpwstr/>
  </property>
  <property fmtid="{D5CDD505-2E9C-101B-9397-08002B2CF9AE}" pid="96" name="IVID35641901">
    <vt:lpwstr/>
  </property>
  <property fmtid="{D5CDD505-2E9C-101B-9397-08002B2CF9AE}" pid="97" name="IVID45E1ED9">
    <vt:lpwstr/>
  </property>
  <property fmtid="{D5CDD505-2E9C-101B-9397-08002B2CF9AE}" pid="98" name="IVID324113D1">
    <vt:lpwstr/>
  </property>
  <property fmtid="{D5CDD505-2E9C-101B-9397-08002B2CF9AE}" pid="99" name="IVID1A2D1903">
    <vt:lpwstr/>
  </property>
  <property fmtid="{D5CDD505-2E9C-101B-9397-08002B2CF9AE}" pid="100" name="IVID370C1506">
    <vt:lpwstr/>
  </property>
  <property fmtid="{D5CDD505-2E9C-101B-9397-08002B2CF9AE}" pid="101" name="IVID12581504">
    <vt:lpwstr/>
  </property>
  <property fmtid="{D5CDD505-2E9C-101B-9397-08002B2CF9AE}" pid="102" name="IVID366A14F0">
    <vt:lpwstr/>
  </property>
  <property fmtid="{D5CDD505-2E9C-101B-9397-08002B2CF9AE}" pid="103" name="IVID10761BDE">
    <vt:lpwstr/>
  </property>
  <property fmtid="{D5CDD505-2E9C-101B-9397-08002B2CF9AE}" pid="104" name="IVID355E0AD7">
    <vt:lpwstr/>
  </property>
  <property fmtid="{D5CDD505-2E9C-101B-9397-08002B2CF9AE}" pid="105" name="IVID242419FF">
    <vt:lpwstr/>
  </property>
  <property fmtid="{D5CDD505-2E9C-101B-9397-08002B2CF9AE}" pid="106" name="IVID17690D05">
    <vt:lpwstr/>
  </property>
  <property fmtid="{D5CDD505-2E9C-101B-9397-08002B2CF9AE}" pid="107" name="IVID1A3B0AF0">
    <vt:lpwstr/>
  </property>
  <property fmtid="{D5CDD505-2E9C-101B-9397-08002B2CF9AE}" pid="108" name="IVID294416DA">
    <vt:lpwstr/>
  </property>
  <property fmtid="{D5CDD505-2E9C-101B-9397-08002B2CF9AE}" pid="109" name="IVID224A1AD0">
    <vt:lpwstr/>
  </property>
  <property fmtid="{D5CDD505-2E9C-101B-9397-08002B2CF9AE}" pid="110" name="IVID331F11E2">
    <vt:lpwstr/>
  </property>
  <property fmtid="{D5CDD505-2E9C-101B-9397-08002B2CF9AE}" pid="111" name="IVID1306391F">
    <vt:lpwstr/>
  </property>
  <property fmtid="{D5CDD505-2E9C-101B-9397-08002B2CF9AE}" pid="112" name="IVID3A281BD0">
    <vt:lpwstr/>
  </property>
  <property fmtid="{D5CDD505-2E9C-101B-9397-08002B2CF9AE}" pid="113" name="IVID2A2E1805">
    <vt:lpwstr/>
  </property>
  <property fmtid="{D5CDD505-2E9C-101B-9397-08002B2CF9AE}" pid="114" name="IVID3C5018D1">
    <vt:lpwstr/>
  </property>
  <property fmtid="{D5CDD505-2E9C-101B-9397-08002B2CF9AE}" pid="115" name="IVID3B3616E1">
    <vt:lpwstr/>
  </property>
  <property fmtid="{D5CDD505-2E9C-101B-9397-08002B2CF9AE}" pid="116" name="IVID291114D3">
    <vt:lpwstr/>
  </property>
  <property fmtid="{D5CDD505-2E9C-101B-9397-08002B2CF9AE}" pid="117" name="IVID402F12D9">
    <vt:lpwstr/>
  </property>
  <property fmtid="{D5CDD505-2E9C-101B-9397-08002B2CF9AE}" pid="118" name="IVID352F10D9">
    <vt:lpwstr/>
  </property>
  <property fmtid="{D5CDD505-2E9C-101B-9397-08002B2CF9AE}" pid="119" name="IVID383A16E2">
    <vt:lpwstr/>
  </property>
  <property fmtid="{D5CDD505-2E9C-101B-9397-08002B2CF9AE}" pid="120" name="IVID281911E9">
    <vt:lpwstr/>
  </property>
  <property fmtid="{D5CDD505-2E9C-101B-9397-08002B2CF9AE}" pid="121" name="IVID89EFF3FC">
    <vt:lpwstr/>
  </property>
  <property fmtid="{D5CDD505-2E9C-101B-9397-08002B2CF9AE}" pid="122" name="IVIDA3B1CD3">
    <vt:lpwstr/>
  </property>
  <property fmtid="{D5CDD505-2E9C-101B-9397-08002B2CF9AE}" pid="123" name="IVID24428E10">
    <vt:lpwstr/>
  </property>
  <property fmtid="{D5CDD505-2E9C-101B-9397-08002B2CF9AE}" pid="124" name="IVID296C11F7">
    <vt:lpwstr/>
  </property>
  <property fmtid="{D5CDD505-2E9C-101B-9397-08002B2CF9AE}" pid="125" name="IVID1E3210E2">
    <vt:lpwstr/>
  </property>
  <property fmtid="{D5CDD505-2E9C-101B-9397-08002B2CF9AE}" pid="126" name="IVIDD3911FD">
    <vt:lpwstr/>
  </property>
  <property fmtid="{D5CDD505-2E9C-101B-9397-08002B2CF9AE}" pid="127" name="IVID362611EA">
    <vt:lpwstr/>
  </property>
  <property fmtid="{D5CDD505-2E9C-101B-9397-08002B2CF9AE}" pid="128" name="IVID250607C8">
    <vt:lpwstr/>
  </property>
  <property fmtid="{D5CDD505-2E9C-101B-9397-08002B2CF9AE}" pid="129" name="IVID89475BC5">
    <vt:lpwstr/>
  </property>
  <property fmtid="{D5CDD505-2E9C-101B-9397-08002B2CF9AE}" pid="130" name="IVID2A5F13D5">
    <vt:lpwstr/>
  </property>
  <property fmtid="{D5CDD505-2E9C-101B-9397-08002B2CF9AE}" pid="131" name="IVID1A4D17E3">
    <vt:lpwstr/>
  </property>
  <property fmtid="{D5CDD505-2E9C-101B-9397-08002B2CF9AE}" pid="132" name="IVID285E1306">
    <vt:lpwstr/>
  </property>
  <property fmtid="{D5CDD505-2E9C-101B-9397-08002B2CF9AE}" pid="133" name="IVID24551DE1">
    <vt:lpwstr/>
  </property>
  <property fmtid="{D5CDD505-2E9C-101B-9397-08002B2CF9AE}" pid="134" name="IVID154C1709">
    <vt:lpwstr/>
  </property>
  <property fmtid="{D5CDD505-2E9C-101B-9397-08002B2CF9AE}" pid="135" name="IVID14A8E3B7">
    <vt:lpwstr/>
  </property>
  <property fmtid="{D5CDD505-2E9C-101B-9397-08002B2CF9AE}" pid="136" name="IVIDB81AB6AE">
    <vt:lpwstr/>
  </property>
  <property fmtid="{D5CDD505-2E9C-101B-9397-08002B2CF9AE}" pid="137" name="IVID380A8D9C">
    <vt:lpwstr/>
  </property>
  <property fmtid="{D5CDD505-2E9C-101B-9397-08002B2CF9AE}" pid="138" name="IVIDE4A8B685">
    <vt:lpwstr/>
  </property>
  <property fmtid="{D5CDD505-2E9C-101B-9397-08002B2CF9AE}" pid="139" name="IVIDECBFC9AA">
    <vt:lpwstr/>
  </property>
  <property fmtid="{D5CDD505-2E9C-101B-9397-08002B2CF9AE}" pid="140" name="IVID8A77A1EA">
    <vt:lpwstr/>
  </property>
  <property fmtid="{D5CDD505-2E9C-101B-9397-08002B2CF9AE}" pid="141" name="IVIDA0D53319">
    <vt:lpwstr/>
  </property>
  <property fmtid="{D5CDD505-2E9C-101B-9397-08002B2CF9AE}" pid="142" name="IVID384F12E1">
    <vt:lpwstr/>
  </property>
  <property fmtid="{D5CDD505-2E9C-101B-9397-08002B2CF9AE}" pid="143" name="IVID8A75AB65">
    <vt:lpwstr/>
  </property>
  <property fmtid="{D5CDD505-2E9C-101B-9397-08002B2CF9AE}" pid="144" name="IVID224B15D4">
    <vt:lpwstr/>
  </property>
  <property fmtid="{D5CDD505-2E9C-101B-9397-08002B2CF9AE}" pid="145" name="IVIDE7513D4">
    <vt:lpwstr/>
  </property>
</Properties>
</file>