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Default Extension="wmf" ContentType="image/x-wmf"/>
  <Default Extension="emf" ContentType="image/x-emf"/>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externalLinks/externalLink4.xml" ContentType="application/vnd.openxmlformats-officedocument.spreadsheetml.externalLink+xml"/>
  <Override PartName="/xl/drawings/drawing2.xml" ContentType="application/vnd.openxmlformats-officedocument.drawing+xml"/>
  <Override PartName="/xl/embeddings/oleObject1.bin" ContentType="application/vnd.openxmlformats-officedocument.oleObject"/>
  <Override PartName="/xl/drawings/drawing3.xml" ContentType="application/vnd.openxmlformats-officedocument.drawing+xml"/>
  <Override PartName="/xl/embeddings/oleObject2.bin" ContentType="application/vnd.openxmlformats-officedocument.oleObject"/>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drawings/drawing1.xml" ContentType="application/vnd.openxmlformats-officedocument.drawing+xml"/>
  <Override PartName="/xl/worksheets/sheet1.xml" ContentType="application/vnd.openxmlformats-officedocument.spreadsheetml.worksheet+xml"/>
  <Override PartName="/xl/externalLinks/externalLink1.xml" ContentType="application/vnd.openxmlformats-officedocument.spreadsheetml.externalLink+xml"/>
  <Default Extension="vml" ContentType="application/vnd.openxmlformats-officedocument.vmlDrawing"/>
  <Override PartName="/xl/calcChain.xml" ContentType="application/vnd.openxmlformats-officedocument.spreadsheetml.calcChain+xml"/>
  <Override PartName="/xl/worksheets/sheet19.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15" windowWidth="10050" windowHeight="8100" firstSheet="4" activeTab="16"/>
  </bookViews>
  <sheets>
    <sheet name="COVER" sheetId="40" r:id="rId1"/>
    <sheet name="Title page" sheetId="4" state="hidden" r:id="rId2"/>
    <sheet name="Sheet3" sheetId="25" state="hidden" r:id="rId3"/>
    <sheet name="TOP PAGE" sheetId="26" state="hidden" r:id="rId4"/>
    <sheet name="specification" sheetId="17" r:id="rId5"/>
    <sheet name="INPUT" sheetId="42" r:id="rId6"/>
    <sheet name="input sheet" sheetId="22" state="hidden" r:id="rId7"/>
    <sheet name="abstract" sheetId="21" r:id="rId8"/>
    <sheet name="ground floor" sheetId="1" r:id="rId9"/>
    <sheet name="first floor" sheetId="20" state="hidden" r:id="rId10"/>
    <sheet name="Store" sheetId="28" state="hidden" r:id="rId11"/>
    <sheet name="Ele Estimate" sheetId="38" r:id="rId12"/>
    <sheet name="SEIG" sheetId="41" r:id="rId13"/>
    <sheet name="GST Sheet" sheetId="27" r:id="rId14"/>
    <sheet name="seignorage" sheetId="13" state="hidden" r:id="rId15"/>
    <sheet name="data(new)" sheetId="8" state="hidden" r:id="rId16"/>
    <sheet name="lead 1" sheetId="15" r:id="rId17"/>
    <sheet name="lead(new)" sheetId="9" state="hidden" r:id="rId18"/>
    <sheet name="SSR" sheetId="10" state="hidden" r:id="rId19"/>
    <sheet name="QUARRY" sheetId="7" state="hidden" r:id="rId20"/>
    <sheet name="data1" sheetId="14" r:id="rId21"/>
    <sheet name="Ele Data" sheetId="39" r:id="rId22"/>
    <sheet name="GST" sheetId="23" state="hidden" r:id="rId23"/>
    <sheet name="Sheet2" sheetId="24" state="hidden" r:id="rId24"/>
    <sheet name="column reinf" sheetId="29" state="hidden" r:id="rId25"/>
    <sheet name="Plinth beam, staircase,lintels" sheetId="30" state="hidden" r:id="rId26"/>
    <sheet name="GF roof beams" sheetId="31" state="hidden" r:id="rId27"/>
    <sheet name="GF Slab" sheetId="32" state="hidden" r:id="rId28"/>
    <sheet name="FF roof beams" sheetId="33" state="hidden" r:id="rId29"/>
    <sheet name="FF Slab" sheetId="34" state="hidden" r:id="rId30"/>
    <sheet name="Stor reinforcement" sheetId="35" state="hidden" r:id="rId31"/>
    <sheet name="Sheet1" sheetId="36" state="hidden" r:id="rId32"/>
    <sheet name="Sheet4" sheetId="37" state="hidden" r:id="rId33"/>
  </sheets>
  <externalReferences>
    <externalReference r:id="rId34"/>
    <externalReference r:id="rId35"/>
    <externalReference r:id="rId36"/>
    <externalReference r:id="rId37"/>
  </externalReferences>
  <definedNames>
    <definedName name="__can430">40.73</definedName>
    <definedName name="__can435">43.3</definedName>
    <definedName name="_3" localSheetId="12" hidden="1">'[1]final abstract'!#REF!</definedName>
    <definedName name="_3" hidden="1">'[1]final abstract'!#REF!</definedName>
    <definedName name="_can430">40.73</definedName>
    <definedName name="_can435">43.3</definedName>
    <definedName name="_Fill" localSheetId="5" hidden="1">'[1]final abstract'!#REF!</definedName>
    <definedName name="_Fill" localSheetId="12" hidden="1">'[1]final abstract'!#REF!</definedName>
    <definedName name="_Fill" hidden="1">'[1]final abstract'!#REF!</definedName>
    <definedName name="_xlnm._FilterDatabase" localSheetId="5" hidden="1">INPUT!$A$16:$K$16</definedName>
    <definedName name="aa" hidden="1">'[1]final abstract'!#REF!</definedName>
    <definedName name="academic" localSheetId="5" hidden="1">'[1]final abstract'!#REF!</definedName>
    <definedName name="academic" localSheetId="12" hidden="1">'[1]final abstract'!#REF!</definedName>
    <definedName name="academic" hidden="1">'[1]final abstract'!#REF!</definedName>
    <definedName name="anscount" hidden="1">1</definedName>
    <definedName name="ASFDA" localSheetId="5" hidden="1">{"'ridftotal'!$A$4:$S$27"}</definedName>
    <definedName name="ASFDA" localSheetId="12" hidden="1">{"'ridftotal'!$A$4:$S$27"}</definedName>
    <definedName name="ASFDA" hidden="1">{"'ridftotal'!$A$4:$S$27"}</definedName>
    <definedName name="data1" localSheetId="5" hidden="1">#REF!</definedName>
    <definedName name="data1" localSheetId="12" hidden="1">#REF!</definedName>
    <definedName name="data1" hidden="1">#REF!</definedName>
    <definedName name="data2" localSheetId="5" hidden="1">#REF!</definedName>
    <definedName name="data2" localSheetId="12" hidden="1">#REF!</definedName>
    <definedName name="data2" hidden="1">#REF!</definedName>
    <definedName name="data3" localSheetId="5" hidden="1">#REF!</definedName>
    <definedName name="data3" localSheetId="12" hidden="1">#REF!</definedName>
    <definedName name="data3" hidden="1">#REF!</definedName>
    <definedName name="ddd" localSheetId="5" hidden="1">'[1]final abstract'!#REF!</definedName>
    <definedName name="ddd" localSheetId="12" hidden="1">'[1]final abstract'!#REF!</definedName>
    <definedName name="ddd" hidden="1">'[1]final abstract'!#REF!</definedName>
    <definedName name="dfas" localSheetId="5" hidden="1">'[1]final abstract'!#REF!</definedName>
    <definedName name="dfas" localSheetId="12" hidden="1">'[1]final abstract'!#REF!</definedName>
    <definedName name="dfas" hidden="1">'[1]final abstract'!#REF!</definedName>
    <definedName name="Discount" localSheetId="5" hidden="1">#REF!</definedName>
    <definedName name="Discount" localSheetId="12" hidden="1">#REF!</definedName>
    <definedName name="Discount" hidden="1">#REF!</definedName>
    <definedName name="display_area_2" localSheetId="5" hidden="1">#REF!</definedName>
    <definedName name="display_area_2" localSheetId="12" hidden="1">#REF!</definedName>
    <definedName name="display_area_2" hidden="1">#REF!</definedName>
    <definedName name="FCode" localSheetId="5" hidden="1">#REF!</definedName>
    <definedName name="FCode" localSheetId="12" hidden="1">#REF!</definedName>
    <definedName name="FCode" hidden="1">#REF!</definedName>
    <definedName name="FGD" localSheetId="5" hidden="1">{"'ridftotal'!$A$4:$S$27"}</definedName>
    <definedName name="FGD" localSheetId="12" hidden="1">{"'ridftotal'!$A$4:$S$27"}</definedName>
    <definedName name="FGD" hidden="1">{"'ridftotal'!$A$4:$S$27"}</definedName>
    <definedName name="FGHH" localSheetId="5" hidden="1">{"'ridftotal'!$A$4:$S$27"}</definedName>
    <definedName name="FGHH" localSheetId="12" hidden="1">{"'ridftotal'!$A$4:$S$27"}</definedName>
    <definedName name="FGHH" hidden="1">{"'ridftotal'!$A$4:$S$27"}</definedName>
    <definedName name="GHJK" localSheetId="5" hidden="1">{"'ridftotal'!$A$4:$S$27"}</definedName>
    <definedName name="GHJK" localSheetId="12" hidden="1">{"'ridftotal'!$A$4:$S$27"}</definedName>
    <definedName name="GHJK" hidden="1">{"'ridftotal'!$A$4:$S$27"}</definedName>
    <definedName name="GHJKJK" localSheetId="5" hidden="1">{"'ridftotal'!$A$4:$S$27"}</definedName>
    <definedName name="GHJKJK" localSheetId="12" hidden="1">{"'ridftotal'!$A$4:$S$27"}</definedName>
    <definedName name="GHJKJK" hidden="1">{"'ridftotal'!$A$4:$S$27"}</definedName>
    <definedName name="Header_Row">ROW(#REF!)</definedName>
    <definedName name="HiddenRows" localSheetId="5" hidden="1">#REF!</definedName>
    <definedName name="HiddenRows" localSheetId="12" hidden="1">#REF!</definedName>
    <definedName name="HiddenRows" hidden="1">#REF!</definedName>
    <definedName name="HJ" localSheetId="5" hidden="1">{"'ridftotal'!$A$4:$S$27"}</definedName>
    <definedName name="HJ" localSheetId="12" hidden="1">{"'ridftotal'!$A$4:$S$27"}</definedName>
    <definedName name="HJ" hidden="1">{"'ridftotal'!$A$4:$S$27"}</definedName>
    <definedName name="HTML_CodePage" hidden="1">1252</definedName>
    <definedName name="HTML_Control" localSheetId="5" hidden="1">{"'ridftotal'!$A$4:$S$27"}</definedName>
    <definedName name="HTML_Control" localSheetId="12" hidden="1">{"'ridftotal'!$A$4:$S$27"}</definedName>
    <definedName name="HTML_Control" hidden="1">{"'ridftotal'!$A$4:$S$27"}</definedName>
    <definedName name="HTML_Description" hidden="1">""</definedName>
    <definedName name="HTML_Email" hidden="1">""</definedName>
    <definedName name="HTML_Header" hidden="1">"ridftotal"</definedName>
    <definedName name="HTML_LastUpdate" hidden="1">"3/31/00"</definedName>
    <definedName name="HTML_LineAfter" hidden="1">FALSE</definedName>
    <definedName name="HTML_LineBefore" hidden="1">FALSE</definedName>
    <definedName name="HTML_Name" hidden="1">"PVKUTUMBA RAO"</definedName>
    <definedName name="HTML_OBDlg2" hidden="1">TRUE</definedName>
    <definedName name="HTML_OBDlg4" hidden="1">TRUE</definedName>
    <definedName name="HTML_OS" hidden="1">0</definedName>
    <definedName name="HTML_PathFile" hidden="1">"C:\MNMGEN\ridf5\MyHTML.htm"</definedName>
    <definedName name="HTML_Title" hidden="1">"absjanfeb2k"</definedName>
    <definedName name="IK" localSheetId="5" hidden="1">{"'ridftotal'!$A$4:$S$27"}</definedName>
    <definedName name="IK" localSheetId="12" hidden="1">{"'ridftotal'!$A$4:$S$27"}</definedName>
    <definedName name="IK" hidden="1">{"'ridftotal'!$A$4:$S$27"}</definedName>
    <definedName name="Index" localSheetId="5" hidden="1">{"'ridftotal'!$A$4:$S$27"}</definedName>
    <definedName name="Index" localSheetId="12" hidden="1">{"'ridftotal'!$A$4:$S$27"}</definedName>
    <definedName name="Index" hidden="1">{"'ridftotal'!$A$4:$S$27"}</definedName>
    <definedName name="jk" localSheetId="5" hidden="1">{"'ridftotal'!$A$4:$S$27"}</definedName>
    <definedName name="jk" localSheetId="12" hidden="1">{"'ridftotal'!$A$4:$S$27"}</definedName>
    <definedName name="jk" hidden="1">{"'ridftotal'!$A$4:$S$27"}</definedName>
    <definedName name="KADA" localSheetId="5" hidden="1">{"'ridftotal'!$A$4:$S$27"}</definedName>
    <definedName name="KADA" localSheetId="12" hidden="1">{"'ridftotal'!$A$4:$S$27"}</definedName>
    <definedName name="KADA" hidden="1">{"'ridftotal'!$A$4:$S$27"}</definedName>
    <definedName name="kADAPA" localSheetId="5" hidden="1">{"'ridftotal'!$A$4:$S$27"}</definedName>
    <definedName name="kADAPA" localSheetId="12" hidden="1">{"'ridftotal'!$A$4:$S$27"}</definedName>
    <definedName name="kADAPA" hidden="1">{"'ridftotal'!$A$4:$S$27"}</definedName>
    <definedName name="MK" localSheetId="5" hidden="1">{"'ridftotal'!$A$4:$S$27"}</definedName>
    <definedName name="MK" localSheetId="12" hidden="1">{"'ridftotal'!$A$4:$S$27"}</definedName>
    <definedName name="MK" hidden="1">{"'ridftotal'!$A$4:$S$27"}</definedName>
    <definedName name="NM" localSheetId="5" hidden="1">{"'ridftotal'!$A$4:$S$27"}</definedName>
    <definedName name="NM" localSheetId="12" hidden="1">{"'ridftotal'!$A$4:$S$27"}</definedName>
    <definedName name="NM" hidden="1">{"'ridftotal'!$A$4:$S$27"}</definedName>
    <definedName name="OrderTable" localSheetId="5" hidden="1">#REF!</definedName>
    <definedName name="OrderTable" localSheetId="12" hidden="1">#REF!</definedName>
    <definedName name="OrderTable" hidden="1">#REF!</definedName>
    <definedName name="pi">3.1415</definedName>
    <definedName name="_xlnm.Print_Area" localSheetId="7">abstract!$A$1:$D$29</definedName>
    <definedName name="_xlnm.Print_Area" localSheetId="20">data1!$A$1:$G$1140</definedName>
    <definedName name="_xlnm.Print_Area" localSheetId="21">'Ele Data'!$A$1:$I$399</definedName>
    <definedName name="_xlnm.Print_Area" localSheetId="11">'Ele Estimate'!$A$1:$F$59</definedName>
    <definedName name="_xlnm.Print_Area" localSheetId="9">'first floor'!$A$1:$K$281</definedName>
    <definedName name="_xlnm.Print_Area" localSheetId="8">'ground floor'!$A$1:$K$417</definedName>
    <definedName name="_xlnm.Print_Area" localSheetId="13">'GST Sheet'!$A$1:$G$45</definedName>
    <definedName name="_xlnm.Print_Area" localSheetId="5">INPUT!$A$1:$I$47</definedName>
    <definedName name="_xlnm.Print_Area" localSheetId="16">'lead 1'!$A$1:$M$40</definedName>
    <definedName name="_xlnm.Print_Area" localSheetId="25">'Plinth beam, staircase,lintels'!$A$1:$V$130</definedName>
    <definedName name="_xlnm.Print_Area" localSheetId="12">SEIG!$A$1:$W$44</definedName>
    <definedName name="_xlnm.Print_Titles" localSheetId="15">'data(new)'!$4:$5</definedName>
    <definedName name="_xlnm.Print_Titles" localSheetId="20">data1!$4:$5</definedName>
    <definedName name="_xlnm.Print_Titles" localSheetId="21">'Ele Data'!$2:$3</definedName>
    <definedName name="_xlnm.Print_Titles" localSheetId="11">'Ele Estimate'!$4:$4</definedName>
    <definedName name="_xlnm.Print_Titles" localSheetId="9">'first floor'!$5:$7</definedName>
    <definedName name="_xlnm.Print_Titles" localSheetId="26">'GF roof beams'!$2:$2</definedName>
    <definedName name="_xlnm.Print_Titles" localSheetId="8">'ground floor'!$5:$7</definedName>
    <definedName name="_xlnm.Print_Titles" localSheetId="5">INPUT!$15:$16</definedName>
    <definedName name="_xlnm.Print_Titles" localSheetId="16">'lead 1'!$5:$7</definedName>
    <definedName name="_xlnm.Print_Titles" localSheetId="18">SSR!$3:$4</definedName>
    <definedName name="ProdForm" localSheetId="5" hidden="1">#REF!</definedName>
    <definedName name="ProdForm" localSheetId="12" hidden="1">#REF!</definedName>
    <definedName name="ProdForm" hidden="1">#REF!</definedName>
    <definedName name="Product" localSheetId="5" hidden="1">#REF!</definedName>
    <definedName name="Product" localSheetId="12" hidden="1">#REF!</definedName>
    <definedName name="Product" hidden="1">#REF!</definedName>
    <definedName name="RCArea" localSheetId="5" hidden="1">#REF!</definedName>
    <definedName name="RCArea" localSheetId="12" hidden="1">#REF!</definedName>
    <definedName name="RCArea" hidden="1">#REF!</definedName>
    <definedName name="S.F" localSheetId="5" hidden="1">'[1]final abstract'!#REF!</definedName>
    <definedName name="S.F" localSheetId="12" hidden="1">'[1]final abstract'!#REF!</definedName>
    <definedName name="S.F" hidden="1">'[1]final abstract'!#REF!</definedName>
    <definedName name="SKDIRD" localSheetId="5" hidden="1">{"'ridftotal'!$A$4:$S$27"}</definedName>
    <definedName name="SKDIRD" localSheetId="12" hidden="1">{"'ridftotal'!$A$4:$S$27"}</definedName>
    <definedName name="SKDIRD" hidden="1">{"'ridftotal'!$A$4:$S$27"}</definedName>
    <definedName name="SpecialPrice" localSheetId="5" hidden="1">#REF!</definedName>
    <definedName name="SpecialPrice" localSheetId="12" hidden="1">#REF!</definedName>
    <definedName name="SpecialPrice" hidden="1">#REF!</definedName>
    <definedName name="tbl_ProdInfo" localSheetId="5" hidden="1">#REF!</definedName>
    <definedName name="tbl_ProdInfo" localSheetId="12" hidden="1">#REF!</definedName>
    <definedName name="tbl_ProdInfo" hidden="1">#REF!</definedName>
    <definedName name="Values_Entered">#N/A</definedName>
    <definedName name="VB" localSheetId="5" hidden="1">{"'ridftotal'!$A$4:$S$27"}</definedName>
    <definedName name="VB" localSheetId="12" hidden="1">{"'ridftotal'!$A$4:$S$27"}</definedName>
    <definedName name="VB" hidden="1">{"'ridftotal'!$A$4:$S$27"}</definedName>
    <definedName name="wgl" localSheetId="5" hidden="1">{"'ridftotal'!$A$4:$S$27"}</definedName>
    <definedName name="wgl" localSheetId="12" hidden="1">{"'ridftotal'!$A$4:$S$27"}</definedName>
    <definedName name="wgl" hidden="1">{"'ridftotal'!$A$4:$S$27"}</definedName>
    <definedName name="x" hidden="1">'[1]final abstract'!#REF!</definedName>
    <definedName name="xx" localSheetId="5" hidden="1">{"'ridftotal'!$A$4:$S$27"}</definedName>
    <definedName name="xx" localSheetId="12" hidden="1">{"'ridftotal'!$A$4:$S$27"}</definedName>
    <definedName name="xx" hidden="1">{"'ridftotal'!$A$4:$S$27"}</definedName>
    <definedName name="xxxx" localSheetId="5" hidden="1">{"'ridftotal'!$A$4:$S$27"}</definedName>
    <definedName name="xxxx" localSheetId="12" hidden="1">{"'ridftotal'!$A$4:$S$27"}</definedName>
    <definedName name="xxxx" hidden="1">{"'ridftotal'!$A$4:$S$27"}</definedName>
  </definedNames>
  <calcPr calcId="124519"/>
</workbook>
</file>

<file path=xl/calcChain.xml><?xml version="1.0" encoding="utf-8"?>
<calcChain xmlns="http://schemas.openxmlformats.org/spreadsheetml/2006/main">
  <c r="C20" i="41"/>
  <c r="G20" s="1"/>
  <c r="E17" i="27"/>
  <c r="E16"/>
  <c r="E15"/>
  <c r="H1034" i="14"/>
  <c r="H1067"/>
  <c r="H1096"/>
  <c r="C18" i="27"/>
  <c r="C17"/>
  <c r="C16"/>
  <c r="C15"/>
  <c r="U16" i="41"/>
  <c r="U14"/>
  <c r="U13"/>
  <c r="F34" i="42"/>
  <c r="G4" i="17"/>
  <c r="I367" i="1"/>
  <c r="I368" s="1"/>
  <c r="J364"/>
  <c r="I363"/>
  <c r="I364" s="1"/>
  <c r="J360"/>
  <c r="I359"/>
  <c r="I360" s="1"/>
  <c r="J356"/>
  <c r="I355"/>
  <c r="I356" s="1"/>
  <c r="K356" s="1"/>
  <c r="T356" s="1"/>
  <c r="U356" s="1"/>
  <c r="V20" i="41" l="1"/>
  <c r="L20"/>
  <c r="G16" i="27"/>
  <c r="G15"/>
  <c r="G17"/>
  <c r="K364" i="1"/>
  <c r="T364" s="1"/>
  <c r="U364" s="1"/>
  <c r="K360"/>
  <c r="T360" s="1"/>
  <c r="U360" s="1"/>
  <c r="G1133" i="14" l="1"/>
  <c r="G1132"/>
  <c r="G1131"/>
  <c r="G1130"/>
  <c r="G1129"/>
  <c r="G1124"/>
  <c r="G1122"/>
  <c r="G1120"/>
  <c r="G1125" s="1"/>
  <c r="E1127" s="1"/>
  <c r="G1127" s="1"/>
  <c r="G1116"/>
  <c r="G1113"/>
  <c r="G1117" s="1"/>
  <c r="E1126" s="1"/>
  <c r="F1106"/>
  <c r="G1106" s="1"/>
  <c r="G1109" s="1"/>
  <c r="H1109" s="1"/>
  <c r="G1108"/>
  <c r="G1107"/>
  <c r="G1103"/>
  <c r="G1102"/>
  <c r="G1101"/>
  <c r="G1100"/>
  <c r="G1099"/>
  <c r="G1098"/>
  <c r="G1097"/>
  <c r="G1091"/>
  <c r="G1089"/>
  <c r="G1087"/>
  <c r="G1092" s="1"/>
  <c r="E1095" s="1"/>
  <c r="G1095" s="1"/>
  <c r="G1083"/>
  <c r="G1081"/>
  <c r="G1079"/>
  <c r="G1084" s="1"/>
  <c r="E1094" s="1"/>
  <c r="G1073"/>
  <c r="G1072"/>
  <c r="G1071"/>
  <c r="G1070"/>
  <c r="G1069"/>
  <c r="G1068"/>
  <c r="G1063"/>
  <c r="G1061"/>
  <c r="G1064" s="1"/>
  <c r="E1066" s="1"/>
  <c r="G1059"/>
  <c r="Q1058"/>
  <c r="G1054"/>
  <c r="G1050"/>
  <c r="G1048"/>
  <c r="G1051" s="1"/>
  <c r="E1053" s="1"/>
  <c r="G1046"/>
  <c r="G1040"/>
  <c r="G1039"/>
  <c r="G1038"/>
  <c r="G1037"/>
  <c r="G1036"/>
  <c r="G1035"/>
  <c r="G1030"/>
  <c r="G1028"/>
  <c r="G1031" s="1"/>
  <c r="E1033" s="1"/>
  <c r="G1026"/>
  <c r="G1021"/>
  <c r="G1017"/>
  <c r="G1015"/>
  <c r="G1013"/>
  <c r="G1018" s="1"/>
  <c r="E1020" s="1"/>
  <c r="G1008"/>
  <c r="G1007"/>
  <c r="I386" i="1"/>
  <c r="I385"/>
  <c r="I384"/>
  <c r="I383"/>
  <c r="I397"/>
  <c r="I396"/>
  <c r="I395"/>
  <c r="I394"/>
  <c r="I350"/>
  <c r="I349"/>
  <c r="I348"/>
  <c r="I347"/>
  <c r="I346"/>
  <c r="I342"/>
  <c r="I341"/>
  <c r="I340"/>
  <c r="I339"/>
  <c r="I338"/>
  <c r="I337"/>
  <c r="I336"/>
  <c r="I335"/>
  <c r="I334"/>
  <c r="I333"/>
  <c r="F332"/>
  <c r="I332" s="1"/>
  <c r="I331"/>
  <c r="I311"/>
  <c r="I310"/>
  <c r="I309"/>
  <c r="I308"/>
  <c r="I307"/>
  <c r="I306"/>
  <c r="I305"/>
  <c r="I304"/>
  <c r="F303"/>
  <c r="I303" s="1"/>
  <c r="I302"/>
  <c r="I298"/>
  <c r="I297"/>
  <c r="I296"/>
  <c r="I295"/>
  <c r="I294"/>
  <c r="I293"/>
  <c r="I292"/>
  <c r="I291"/>
  <c r="I261"/>
  <c r="I260"/>
  <c r="I259"/>
  <c r="I258"/>
  <c r="I257"/>
  <c r="I252"/>
  <c r="I251"/>
  <c r="I250"/>
  <c r="I249"/>
  <c r="I248"/>
  <c r="I247"/>
  <c r="I246"/>
  <c r="I245"/>
  <c r="I244"/>
  <c r="I243"/>
  <c r="F242"/>
  <c r="I242" s="1"/>
  <c r="I241"/>
  <c r="I286"/>
  <c r="I285"/>
  <c r="I284"/>
  <c r="I283"/>
  <c r="I282"/>
  <c r="I281"/>
  <c r="I279"/>
  <c r="I278"/>
  <c r="I277"/>
  <c r="F276"/>
  <c r="I276" s="1"/>
  <c r="I275"/>
  <c r="F274"/>
  <c r="I274" s="1"/>
  <c r="I273"/>
  <c r="F272"/>
  <c r="I272" s="1"/>
  <c r="I271"/>
  <c r="F270"/>
  <c r="I270" s="1"/>
  <c r="I269"/>
  <c r="I268"/>
  <c r="I267"/>
  <c r="F266"/>
  <c r="I266" s="1"/>
  <c r="I211"/>
  <c r="I210"/>
  <c r="I209"/>
  <c r="I208"/>
  <c r="I207"/>
  <c r="I206"/>
  <c r="I204"/>
  <c r="I203"/>
  <c r="I202"/>
  <c r="I201"/>
  <c r="I199"/>
  <c r="I198"/>
  <c r="I197"/>
  <c r="H195"/>
  <c r="I195" s="1"/>
  <c r="H194"/>
  <c r="I194" s="1"/>
  <c r="H193"/>
  <c r="I193" s="1"/>
  <c r="H192"/>
  <c r="I192" s="1"/>
  <c r="I190"/>
  <c r="I189"/>
  <c r="I188"/>
  <c r="I187"/>
  <c r="I186"/>
  <c r="I185"/>
  <c r="I184"/>
  <c r="I182"/>
  <c r="I181"/>
  <c r="I180"/>
  <c r="I178"/>
  <c r="I177"/>
  <c r="I176"/>
  <c r="I175"/>
  <c r="I215"/>
  <c r="I216"/>
  <c r="I217"/>
  <c r="I218"/>
  <c r="I226"/>
  <c r="I225"/>
  <c r="I224"/>
  <c r="I222"/>
  <c r="I221"/>
  <c r="I220"/>
  <c r="I171"/>
  <c r="I170"/>
  <c r="I169"/>
  <c r="I168"/>
  <c r="I137"/>
  <c r="I136"/>
  <c r="I135"/>
  <c r="I133"/>
  <c r="I132"/>
  <c r="I131"/>
  <c r="I129"/>
  <c r="I128"/>
  <c r="I127"/>
  <c r="I126"/>
  <c r="G164"/>
  <c r="F164"/>
  <c r="G163"/>
  <c r="F163"/>
  <c r="T165"/>
  <c r="S165"/>
  <c r="R165"/>
  <c r="Q165"/>
  <c r="P165"/>
  <c r="O165"/>
  <c r="N165"/>
  <c r="M165"/>
  <c r="L165"/>
  <c r="G151"/>
  <c r="F151"/>
  <c r="G150"/>
  <c r="F150"/>
  <c r="F159"/>
  <c r="I159" s="1"/>
  <c r="I158"/>
  <c r="F157"/>
  <c r="I157" s="1"/>
  <c r="F156"/>
  <c r="I156" s="1"/>
  <c r="F155"/>
  <c r="I155" s="1"/>
  <c r="I113"/>
  <c r="I112"/>
  <c r="I111"/>
  <c r="I109"/>
  <c r="I108"/>
  <c r="I107"/>
  <c r="I105"/>
  <c r="I104"/>
  <c r="I103"/>
  <c r="I102"/>
  <c r="G1009" i="14" l="1"/>
  <c r="F1128" s="1"/>
  <c r="F1034"/>
  <c r="F1134"/>
  <c r="G1134" s="1"/>
  <c r="H1128" s="1"/>
  <c r="G1126"/>
  <c r="E1128"/>
  <c r="G1128" s="1"/>
  <c r="G1094"/>
  <c r="E1096"/>
  <c r="E1055"/>
  <c r="G1053"/>
  <c r="G1066"/>
  <c r="E1067"/>
  <c r="E1022"/>
  <c r="G1020"/>
  <c r="G1033"/>
  <c r="E1034"/>
  <c r="I172" i="1"/>
  <c r="I163"/>
  <c r="I164"/>
  <c r="I150"/>
  <c r="I151"/>
  <c r="U165"/>
  <c r="F1067" i="14" l="1"/>
  <c r="F1096" s="1"/>
  <c r="F1022"/>
  <c r="F1055" s="1"/>
  <c r="G1055" s="1"/>
  <c r="G1056" s="1"/>
  <c r="G1135"/>
  <c r="I165" i="1"/>
  <c r="E18" i="27" l="1"/>
  <c r="G18" s="1"/>
  <c r="J368" i="1"/>
  <c r="K368" s="1"/>
  <c r="T368" s="1"/>
  <c r="U368" s="1"/>
  <c r="G1022" i="14"/>
  <c r="G1023" s="1"/>
  <c r="G1067"/>
  <c r="G1074" s="1"/>
  <c r="G1075" s="1"/>
  <c r="I212" i="1"/>
  <c r="H121" l="1"/>
  <c r="I121" s="1"/>
  <c r="H120"/>
  <c r="I120" s="1"/>
  <c r="H119"/>
  <c r="I119" s="1"/>
  <c r="H118"/>
  <c r="I118" s="1"/>
  <c r="I98"/>
  <c r="I97"/>
  <c r="I96"/>
  <c r="I93"/>
  <c r="I92"/>
  <c r="I91"/>
  <c r="I53"/>
  <c r="I52"/>
  <c r="I51"/>
  <c r="I50"/>
  <c r="I49"/>
  <c r="I48"/>
  <c r="I47"/>
  <c r="I46"/>
  <c r="I42"/>
  <c r="I41"/>
  <c r="I40"/>
  <c r="I39"/>
  <c r="I38"/>
  <c r="I37"/>
  <c r="I36"/>
  <c r="I35"/>
  <c r="I85"/>
  <c r="I84"/>
  <c r="I83"/>
  <c r="I82"/>
  <c r="I81"/>
  <c r="I80"/>
  <c r="I79"/>
  <c r="I78"/>
  <c r="I76"/>
  <c r="I75"/>
  <c r="I73"/>
  <c r="I72"/>
  <c r="I71"/>
  <c r="I69"/>
  <c r="I68"/>
  <c r="I67"/>
  <c r="I65"/>
  <c r="I64"/>
  <c r="I63"/>
  <c r="I62"/>
  <c r="I60"/>
  <c r="I59"/>
  <c r="I58"/>
  <c r="I27"/>
  <c r="I26"/>
  <c r="I24"/>
  <c r="I23"/>
  <c r="I22"/>
  <c r="I20"/>
  <c r="I19"/>
  <c r="I18"/>
  <c r="I16"/>
  <c r="I15"/>
  <c r="I14"/>
  <c r="I13"/>
  <c r="I11"/>
  <c r="I10"/>
  <c r="I9"/>
  <c r="I99" l="1"/>
  <c r="I43"/>
  <c r="I54"/>
  <c r="E16" i="15" l="1"/>
  <c r="E15"/>
  <c r="E12"/>
  <c r="F16" i="38"/>
  <c r="D7"/>
  <c r="F7" s="1"/>
  <c r="I23" i="39"/>
  <c r="I24" s="1"/>
  <c r="D14" i="15" l="1"/>
  <c r="S99" i="1"/>
  <c r="J28"/>
  <c r="N44" i="41"/>
  <c r="N43"/>
  <c r="N42"/>
  <c r="T44"/>
  <c r="T43"/>
  <c r="T42"/>
  <c r="D47" i="42"/>
  <c r="D46"/>
  <c r="D45"/>
  <c r="H47"/>
  <c r="H46"/>
  <c r="H45"/>
  <c r="I40"/>
  <c r="A2"/>
  <c r="B44" i="27"/>
  <c r="B43"/>
  <c r="B42"/>
  <c r="E44"/>
  <c r="E43"/>
  <c r="E42"/>
  <c r="C36"/>
  <c r="C35"/>
  <c r="C2"/>
  <c r="C27"/>
  <c r="C24"/>
  <c r="A2"/>
  <c r="U26" i="41"/>
  <c r="Q26"/>
  <c r="M26"/>
  <c r="D26"/>
  <c r="K21"/>
  <c r="U19"/>
  <c r="S19"/>
  <c r="K19"/>
  <c r="Q16"/>
  <c r="M16"/>
  <c r="U9"/>
  <c r="U10" s="1"/>
  <c r="U11" s="1"/>
  <c r="U12" s="1"/>
  <c r="U15" s="1"/>
  <c r="Q14"/>
  <c r="Q13"/>
  <c r="M14"/>
  <c r="M13"/>
  <c r="D28"/>
  <c r="D27"/>
  <c r="D21"/>
  <c r="D23"/>
  <c r="D25"/>
  <c r="D24"/>
  <c r="D19"/>
  <c r="D18"/>
  <c r="D15"/>
  <c r="D13"/>
  <c r="D14"/>
  <c r="D16"/>
  <c r="D12"/>
  <c r="D11"/>
  <c r="A2"/>
  <c r="A2" i="1"/>
  <c r="A2" i="20" s="1"/>
  <c r="J38" i="42"/>
  <c r="K22" i="41"/>
  <c r="K23"/>
  <c r="U32"/>
  <c r="Q32"/>
  <c r="M32"/>
  <c r="U31"/>
  <c r="Q31"/>
  <c r="M31"/>
  <c r="G31"/>
  <c r="G30"/>
  <c r="V30" s="1"/>
  <c r="E38" i="17"/>
  <c r="E37"/>
  <c r="E36"/>
  <c r="K38"/>
  <c r="K37"/>
  <c r="K36"/>
  <c r="B3"/>
  <c r="G25" i="40"/>
  <c r="G23"/>
  <c r="B29" i="21"/>
  <c r="B28"/>
  <c r="B27"/>
  <c r="C29"/>
  <c r="C28"/>
  <c r="C27"/>
  <c r="A2"/>
  <c r="C4"/>
  <c r="C397" i="39"/>
  <c r="C396"/>
  <c r="C395"/>
  <c r="G397"/>
  <c r="G396"/>
  <c r="G395"/>
  <c r="B58" i="38"/>
  <c r="B57"/>
  <c r="B56"/>
  <c r="E58"/>
  <c r="E57"/>
  <c r="E56"/>
  <c r="B2"/>
  <c r="F281" i="20"/>
  <c r="F280"/>
  <c r="F279"/>
  <c r="J281"/>
  <c r="J280"/>
  <c r="J279"/>
  <c r="G416" i="1"/>
  <c r="G415"/>
  <c r="G414"/>
  <c r="J416"/>
  <c r="J415"/>
  <c r="J414"/>
  <c r="C1140" i="14"/>
  <c r="C1139"/>
  <c r="C1138"/>
  <c r="F1140"/>
  <c r="F1139"/>
  <c r="F1138"/>
  <c r="E13" i="15"/>
  <c r="E14" s="1"/>
  <c r="E17"/>
  <c r="E18" s="1"/>
  <c r="E19" s="1"/>
  <c r="E20" s="1"/>
  <c r="E21" s="1"/>
  <c r="M11"/>
  <c r="M10"/>
  <c r="M9"/>
  <c r="I389" i="39"/>
  <c r="I391" s="1"/>
  <c r="D47" i="38" s="1"/>
  <c r="F47" s="1"/>
  <c r="I383" i="39"/>
  <c r="I381"/>
  <c r="I377"/>
  <c r="I376"/>
  <c r="I368"/>
  <c r="I366"/>
  <c r="I362"/>
  <c r="I361"/>
  <c r="I352"/>
  <c r="I351"/>
  <c r="I350"/>
  <c r="I349"/>
  <c r="I348"/>
  <c r="I347"/>
  <c r="I346"/>
  <c r="I345"/>
  <c r="I344"/>
  <c r="I343"/>
  <c r="I342"/>
  <c r="I341"/>
  <c r="I338"/>
  <c r="I337"/>
  <c r="I328"/>
  <c r="I327"/>
  <c r="I323"/>
  <c r="I322"/>
  <c r="I321"/>
  <c r="I311"/>
  <c r="I310"/>
  <c r="I309"/>
  <c r="I308"/>
  <c r="I305"/>
  <c r="I304"/>
  <c r="I303"/>
  <c r="I302"/>
  <c r="I291"/>
  <c r="I290"/>
  <c r="I287"/>
  <c r="I286"/>
  <c r="I285"/>
  <c r="I288" s="1"/>
  <c r="I275"/>
  <c r="I273"/>
  <c r="I274" s="1"/>
  <c r="I276" s="1"/>
  <c r="I270"/>
  <c r="I269"/>
  <c r="I258"/>
  <c r="I259" s="1"/>
  <c r="I255"/>
  <c r="I254"/>
  <c r="I253"/>
  <c r="I251"/>
  <c r="I250"/>
  <c r="I249"/>
  <c r="I238"/>
  <c r="I239" s="1"/>
  <c r="I235"/>
  <c r="I236" s="1"/>
  <c r="I226"/>
  <c r="I225"/>
  <c r="I222"/>
  <c r="I221"/>
  <c r="I212"/>
  <c r="I213" s="1"/>
  <c r="I209"/>
  <c r="I210" s="1"/>
  <c r="I197"/>
  <c r="I198" s="1"/>
  <c r="I195"/>
  <c r="I196" s="1"/>
  <c r="I192"/>
  <c r="I191"/>
  <c r="I181"/>
  <c r="I182" s="1"/>
  <c r="I178"/>
  <c r="I179" s="1"/>
  <c r="I168"/>
  <c r="I169" s="1"/>
  <c r="I165"/>
  <c r="I164"/>
  <c r="I153"/>
  <c r="I152"/>
  <c r="I148"/>
  <c r="I147"/>
  <c r="I146"/>
  <c r="I135"/>
  <c r="I134"/>
  <c r="I130"/>
  <c r="I129"/>
  <c r="I128"/>
  <c r="I117"/>
  <c r="I118" s="1"/>
  <c r="I119" s="1"/>
  <c r="I113"/>
  <c r="I112"/>
  <c r="I111"/>
  <c r="I114" s="1"/>
  <c r="I115" s="1"/>
  <c r="H120" s="1"/>
  <c r="I122" s="1"/>
  <c r="D17" i="38" s="1"/>
  <c r="F17" s="1"/>
  <c r="I99" i="39"/>
  <c r="I98"/>
  <c r="I97"/>
  <c r="I96"/>
  <c r="I95"/>
  <c r="I91"/>
  <c r="I90"/>
  <c r="I89"/>
  <c r="I77"/>
  <c r="I76"/>
  <c r="I75"/>
  <c r="I74"/>
  <c r="I71"/>
  <c r="I70"/>
  <c r="I60"/>
  <c r="I59"/>
  <c r="I58"/>
  <c r="I57"/>
  <c r="I56"/>
  <c r="I52"/>
  <c r="I51"/>
  <c r="I50"/>
  <c r="I39"/>
  <c r="I38"/>
  <c r="I37"/>
  <c r="I36"/>
  <c r="I35"/>
  <c r="I31"/>
  <c r="I30"/>
  <c r="I29"/>
  <c r="I28"/>
  <c r="I32"/>
  <c r="I33" s="1"/>
  <c r="I15"/>
  <c r="I14"/>
  <c r="I13"/>
  <c r="I9"/>
  <c r="I8"/>
  <c r="I7"/>
  <c r="I10" s="1"/>
  <c r="I11" s="1"/>
  <c r="U39" i="36"/>
  <c r="W39"/>
  <c r="U37"/>
  <c r="W37" s="1"/>
  <c r="U34"/>
  <c r="U35"/>
  <c r="U36" s="1"/>
  <c r="W36" s="1"/>
  <c r="U33"/>
  <c r="W33" s="1"/>
  <c r="U32"/>
  <c r="W32" s="1"/>
  <c r="W27"/>
  <c r="U21"/>
  <c r="U22"/>
  <c r="U19"/>
  <c r="W19" s="1"/>
  <c r="W18"/>
  <c r="U14"/>
  <c r="V310" i="1"/>
  <c r="U29" i="36"/>
  <c r="W29" s="1"/>
  <c r="U7"/>
  <c r="W7" s="1"/>
  <c r="U27"/>
  <c r="U31" s="1"/>
  <c r="W31" s="1"/>
  <c r="U25"/>
  <c r="U24"/>
  <c r="U26"/>
  <c r="U30" s="1"/>
  <c r="W30" s="1"/>
  <c r="U20"/>
  <c r="U23" s="1"/>
  <c r="W23" s="1"/>
  <c r="U9"/>
  <c r="U5"/>
  <c r="U18"/>
  <c r="U16"/>
  <c r="W16" s="1"/>
  <c r="U13"/>
  <c r="U12"/>
  <c r="U11"/>
  <c r="S10"/>
  <c r="U10" s="1"/>
  <c r="U15" s="1"/>
  <c r="W15" s="1"/>
  <c r="S4"/>
  <c r="S5" s="1"/>
  <c r="M63"/>
  <c r="L63"/>
  <c r="K63"/>
  <c r="I63"/>
  <c r="G63"/>
  <c r="E63"/>
  <c r="D63"/>
  <c r="C63"/>
  <c r="H61"/>
  <c r="H63"/>
  <c r="O58"/>
  <c r="A56"/>
  <c r="O55"/>
  <c r="O54"/>
  <c r="O52"/>
  <c r="O45"/>
  <c r="O44"/>
  <c r="O42"/>
  <c r="O35"/>
  <c r="O34"/>
  <c r="O32"/>
  <c r="O23"/>
  <c r="O20"/>
  <c r="O11"/>
  <c r="O10"/>
  <c r="H8"/>
  <c r="H3"/>
  <c r="M3"/>
  <c r="L3"/>
  <c r="K3"/>
  <c r="I3"/>
  <c r="G3"/>
  <c r="E3"/>
  <c r="D3"/>
  <c r="C3"/>
  <c r="O22" s="1"/>
  <c r="R52" i="29"/>
  <c r="F52"/>
  <c r="O52"/>
  <c r="P52" s="1"/>
  <c r="S52" s="1"/>
  <c r="M51"/>
  <c r="T51" s="1"/>
  <c r="L51"/>
  <c r="I50"/>
  <c r="N50" s="1"/>
  <c r="N52" s="1"/>
  <c r="F50"/>
  <c r="O50"/>
  <c r="P50" s="1"/>
  <c r="S50" s="1"/>
  <c r="E50"/>
  <c r="E52"/>
  <c r="G52" s="1"/>
  <c r="Q52" s="1"/>
  <c r="R49"/>
  <c r="F49"/>
  <c r="O49" s="1"/>
  <c r="I48"/>
  <c r="N48" s="1"/>
  <c r="N49" s="1"/>
  <c r="F48"/>
  <c r="O48"/>
  <c r="P48" s="1"/>
  <c r="S48" s="1"/>
  <c r="E48"/>
  <c r="E49"/>
  <c r="R44"/>
  <c r="F44"/>
  <c r="O44" s="1"/>
  <c r="S43"/>
  <c r="Q43"/>
  <c r="L43"/>
  <c r="M43" s="1"/>
  <c r="T43" s="1"/>
  <c r="I42"/>
  <c r="N42" s="1"/>
  <c r="N44" s="1"/>
  <c r="F42"/>
  <c r="O42" s="1"/>
  <c r="E42"/>
  <c r="E44" s="1"/>
  <c r="G44" s="1"/>
  <c r="Q44" s="1"/>
  <c r="R41"/>
  <c r="F41"/>
  <c r="O41" s="1"/>
  <c r="E41"/>
  <c r="N40"/>
  <c r="N41" s="1"/>
  <c r="I40"/>
  <c r="J40"/>
  <c r="R40" s="1"/>
  <c r="F40"/>
  <c r="G40" s="1"/>
  <c r="Q40" s="1"/>
  <c r="E40"/>
  <c r="I35"/>
  <c r="J35" s="1"/>
  <c r="R35" s="1"/>
  <c r="O34"/>
  <c r="N34"/>
  <c r="P34" s="1"/>
  <c r="S34" s="1"/>
  <c r="L34"/>
  <c r="M34"/>
  <c r="I34"/>
  <c r="J34" s="1"/>
  <c r="I33"/>
  <c r="J33"/>
  <c r="R33" s="1"/>
  <c r="O32"/>
  <c r="P32" s="1"/>
  <c r="S32" s="1"/>
  <c r="N32"/>
  <c r="L32"/>
  <c r="M32" s="1"/>
  <c r="I32"/>
  <c r="J32" s="1"/>
  <c r="R32" s="1"/>
  <c r="F31"/>
  <c r="G31"/>
  <c r="Q31" s="1"/>
  <c r="O30"/>
  <c r="P30" s="1"/>
  <c r="S30" s="1"/>
  <c r="N30"/>
  <c r="L30"/>
  <c r="M30" s="1"/>
  <c r="R30" s="1"/>
  <c r="F30"/>
  <c r="G30" s="1"/>
  <c r="Q30" s="1"/>
  <c r="Q36" s="1"/>
  <c r="S23"/>
  <c r="S22"/>
  <c r="S21"/>
  <c r="V18"/>
  <c r="P18"/>
  <c r="V17"/>
  <c r="P17"/>
  <c r="V16"/>
  <c r="P16"/>
  <c r="V15"/>
  <c r="P15"/>
  <c r="V14"/>
  <c r="P14"/>
  <c r="V13"/>
  <c r="P13"/>
  <c r="V12"/>
  <c r="P12"/>
  <c r="V11"/>
  <c r="P11"/>
  <c r="V10"/>
  <c r="P10"/>
  <c r="V9"/>
  <c r="P9"/>
  <c r="V8"/>
  <c r="P8"/>
  <c r="V7"/>
  <c r="P7"/>
  <c r="V6"/>
  <c r="P6"/>
  <c r="V5"/>
  <c r="P5"/>
  <c r="V4"/>
  <c r="P4"/>
  <c r="V130" i="30"/>
  <c r="M129"/>
  <c r="N128"/>
  <c r="R128" s="1"/>
  <c r="S128" s="1"/>
  <c r="U128" s="1"/>
  <c r="G128"/>
  <c r="M128" s="1"/>
  <c r="M127"/>
  <c r="N126"/>
  <c r="R126" s="1"/>
  <c r="G126"/>
  <c r="M126" s="1"/>
  <c r="N125"/>
  <c r="R125" s="1"/>
  <c r="S125" s="1"/>
  <c r="U125" s="1"/>
  <c r="M125"/>
  <c r="O124"/>
  <c r="O123"/>
  <c r="G123"/>
  <c r="N123" s="1"/>
  <c r="R123" s="1"/>
  <c r="S123" s="1"/>
  <c r="T123" s="1"/>
  <c r="J123"/>
  <c r="N122"/>
  <c r="R122"/>
  <c r="S122" s="1"/>
  <c r="U122" s="1"/>
  <c r="M122"/>
  <c r="O121"/>
  <c r="O120"/>
  <c r="G120"/>
  <c r="J120"/>
  <c r="N119"/>
  <c r="R119"/>
  <c r="S119" s="1"/>
  <c r="U119" s="1"/>
  <c r="M119"/>
  <c r="O118"/>
  <c r="O117"/>
  <c r="G117"/>
  <c r="J117" s="1"/>
  <c r="N116"/>
  <c r="R116" s="1"/>
  <c r="S116" s="1"/>
  <c r="U116" s="1"/>
  <c r="M116"/>
  <c r="O115"/>
  <c r="O114"/>
  <c r="N113"/>
  <c r="R113" s="1"/>
  <c r="S113" s="1"/>
  <c r="U113" s="1"/>
  <c r="M113"/>
  <c r="O112"/>
  <c r="O111"/>
  <c r="N111"/>
  <c r="N112" s="1"/>
  <c r="R112" s="1"/>
  <c r="S112" s="1"/>
  <c r="T112" s="1"/>
  <c r="J111"/>
  <c r="G111"/>
  <c r="R110"/>
  <c r="S110" s="1"/>
  <c r="U110" s="1"/>
  <c r="N110"/>
  <c r="M110"/>
  <c r="O109"/>
  <c r="O108"/>
  <c r="G108"/>
  <c r="J108"/>
  <c r="V106"/>
  <c r="M105"/>
  <c r="N104"/>
  <c r="R104"/>
  <c r="J104"/>
  <c r="G104"/>
  <c r="M104" s="1"/>
  <c r="N105"/>
  <c r="R105" s="1"/>
  <c r="S105" s="1"/>
  <c r="U105" s="1"/>
  <c r="R103"/>
  <c r="S103" s="1"/>
  <c r="U103" s="1"/>
  <c r="N103"/>
  <c r="M103"/>
  <c r="O102"/>
  <c r="O101"/>
  <c r="G101"/>
  <c r="J101"/>
  <c r="N100"/>
  <c r="R100"/>
  <c r="S100" s="1"/>
  <c r="U100" s="1"/>
  <c r="M100"/>
  <c r="O99"/>
  <c r="O98"/>
  <c r="J98"/>
  <c r="G98"/>
  <c r="N98"/>
  <c r="R98" s="1"/>
  <c r="S98" s="1"/>
  <c r="T98" s="1"/>
  <c r="R97"/>
  <c r="S97" s="1"/>
  <c r="U97" s="1"/>
  <c r="N97"/>
  <c r="M97"/>
  <c r="O96"/>
  <c r="O95"/>
  <c r="N94"/>
  <c r="R94" s="1"/>
  <c r="S94" s="1"/>
  <c r="U94" s="1"/>
  <c r="M94"/>
  <c r="O93"/>
  <c r="O92"/>
  <c r="N92"/>
  <c r="N93" s="1"/>
  <c r="R93" s="1"/>
  <c r="S93" s="1"/>
  <c r="T93" s="1"/>
  <c r="J92"/>
  <c r="G92"/>
  <c r="R91"/>
  <c r="S91" s="1"/>
  <c r="U91" s="1"/>
  <c r="N91"/>
  <c r="M91"/>
  <c r="O90"/>
  <c r="O89"/>
  <c r="G89"/>
  <c r="J89"/>
  <c r="R86"/>
  <c r="M86"/>
  <c r="S86" s="1"/>
  <c r="U86" s="1"/>
  <c r="O85"/>
  <c r="N85"/>
  <c r="P84"/>
  <c r="O84"/>
  <c r="N84"/>
  <c r="R84" s="1"/>
  <c r="S84" s="1"/>
  <c r="V84" s="1"/>
  <c r="Q83"/>
  <c r="Q85"/>
  <c r="P83"/>
  <c r="O83"/>
  <c r="Q82"/>
  <c r="P82"/>
  <c r="O82"/>
  <c r="R82"/>
  <c r="S82" s="1"/>
  <c r="T82" s="1"/>
  <c r="N82"/>
  <c r="N83"/>
  <c r="R83" s="1"/>
  <c r="S83" s="1"/>
  <c r="V83" s="1"/>
  <c r="G82"/>
  <c r="J82" s="1"/>
  <c r="O81"/>
  <c r="N81"/>
  <c r="R81"/>
  <c r="S81" s="1"/>
  <c r="T81" s="1"/>
  <c r="M81"/>
  <c r="O80"/>
  <c r="N80"/>
  <c r="R80" s="1"/>
  <c r="S80" s="1"/>
  <c r="T80" s="1"/>
  <c r="M80"/>
  <c r="N79"/>
  <c r="R79" s="1"/>
  <c r="S79" s="1"/>
  <c r="U79" s="1"/>
  <c r="M79"/>
  <c r="N78"/>
  <c r="R78"/>
  <c r="S78" s="1"/>
  <c r="U78" s="1"/>
  <c r="M78"/>
  <c r="R76"/>
  <c r="S76" s="1"/>
  <c r="U76" s="1"/>
  <c r="N76"/>
  <c r="M76"/>
  <c r="N75"/>
  <c r="R75" s="1"/>
  <c r="S75" s="1"/>
  <c r="T75" s="1"/>
  <c r="M75"/>
  <c r="J75"/>
  <c r="G75"/>
  <c r="R74"/>
  <c r="S74" s="1"/>
  <c r="U74" s="1"/>
  <c r="N74"/>
  <c r="M74"/>
  <c r="J74"/>
  <c r="O73"/>
  <c r="N73"/>
  <c r="R73"/>
  <c r="S73" s="1"/>
  <c r="T73" s="1"/>
  <c r="M73"/>
  <c r="G73"/>
  <c r="J73" s="1"/>
  <c r="O72"/>
  <c r="N72"/>
  <c r="R72"/>
  <c r="S72" s="1"/>
  <c r="T72" s="1"/>
  <c r="M72"/>
  <c r="O71"/>
  <c r="N71"/>
  <c r="R71" s="1"/>
  <c r="S71" s="1"/>
  <c r="T71" s="1"/>
  <c r="M71"/>
  <c r="N70"/>
  <c r="R70" s="1"/>
  <c r="S70" s="1"/>
  <c r="U70" s="1"/>
  <c r="M70"/>
  <c r="N69"/>
  <c r="R69"/>
  <c r="S69" s="1"/>
  <c r="U69" s="1"/>
  <c r="M69"/>
  <c r="R67"/>
  <c r="S67" s="1"/>
  <c r="U67" s="1"/>
  <c r="N67"/>
  <c r="M67"/>
  <c r="N66"/>
  <c r="R66" s="1"/>
  <c r="S66" s="1"/>
  <c r="T66" s="1"/>
  <c r="M66"/>
  <c r="N65"/>
  <c r="R65" s="1"/>
  <c r="S65" s="1"/>
  <c r="U65" s="1"/>
  <c r="M65"/>
  <c r="J65"/>
  <c r="O64"/>
  <c r="R64" s="1"/>
  <c r="S64" s="1"/>
  <c r="T64" s="1"/>
  <c r="N64"/>
  <c r="M64"/>
  <c r="G64"/>
  <c r="J64" s="1"/>
  <c r="R59"/>
  <c r="M59"/>
  <c r="S59" s="1"/>
  <c r="U59" s="1"/>
  <c r="R58"/>
  <c r="M58"/>
  <c r="S58" s="1"/>
  <c r="U58" s="1"/>
  <c r="Q57"/>
  <c r="O57"/>
  <c r="N57"/>
  <c r="R57"/>
  <c r="S57" s="1"/>
  <c r="T57" s="1"/>
  <c r="N56"/>
  <c r="R56" s="1"/>
  <c r="S56" s="1"/>
  <c r="T56" s="1"/>
  <c r="N55"/>
  <c r="R55" s="1"/>
  <c r="S55" s="1"/>
  <c r="V55" s="1"/>
  <c r="N54"/>
  <c r="R54" s="1"/>
  <c r="S54" s="1"/>
  <c r="V54" s="1"/>
  <c r="P53"/>
  <c r="O53"/>
  <c r="N53"/>
  <c r="R53" s="1"/>
  <c r="S53" s="1"/>
  <c r="T53" s="1"/>
  <c r="Q52"/>
  <c r="P52"/>
  <c r="O52"/>
  <c r="P51"/>
  <c r="O51"/>
  <c r="N51"/>
  <c r="R51" s="1"/>
  <c r="S51" s="1"/>
  <c r="T51" s="1"/>
  <c r="Q50"/>
  <c r="P50"/>
  <c r="O50"/>
  <c r="G50"/>
  <c r="J50" s="1"/>
  <c r="R49"/>
  <c r="S49" s="1"/>
  <c r="U49" s="1"/>
  <c r="M49"/>
  <c r="R48"/>
  <c r="S48" s="1"/>
  <c r="U48" s="1"/>
  <c r="M48"/>
  <c r="R47"/>
  <c r="S47" s="1"/>
  <c r="T47" s="1"/>
  <c r="N47"/>
  <c r="R46"/>
  <c r="S46" s="1"/>
  <c r="T46" s="1"/>
  <c r="N46"/>
  <c r="P45"/>
  <c r="O45"/>
  <c r="R45" s="1"/>
  <c r="S45" s="1"/>
  <c r="T45" s="1"/>
  <c r="N45"/>
  <c r="Q44"/>
  <c r="P44"/>
  <c r="O44"/>
  <c r="Q43"/>
  <c r="P43"/>
  <c r="O43"/>
  <c r="N43"/>
  <c r="N44" s="1"/>
  <c r="R44" s="1"/>
  <c r="S44" s="1"/>
  <c r="T44" s="1"/>
  <c r="G43"/>
  <c r="J43"/>
  <c r="R42"/>
  <c r="M42"/>
  <c r="S42" s="1"/>
  <c r="U42" s="1"/>
  <c r="R41"/>
  <c r="M41"/>
  <c r="S41" s="1"/>
  <c r="U41" s="1"/>
  <c r="Q40"/>
  <c r="O40"/>
  <c r="N40"/>
  <c r="R40"/>
  <c r="S40" s="1"/>
  <c r="T40" s="1"/>
  <c r="N39"/>
  <c r="R39" s="1"/>
  <c r="S39" s="1"/>
  <c r="T39" s="1"/>
  <c r="N38"/>
  <c r="R38" s="1"/>
  <c r="S38" s="1"/>
  <c r="T38" s="1"/>
  <c r="N37"/>
  <c r="R37" s="1"/>
  <c r="S37" s="1"/>
  <c r="T37" s="1"/>
  <c r="P36"/>
  <c r="O36"/>
  <c r="N36"/>
  <c r="R36" s="1"/>
  <c r="S36" s="1"/>
  <c r="T36" s="1"/>
  <c r="Q35"/>
  <c r="P35"/>
  <c r="O35"/>
  <c r="Q34"/>
  <c r="P34"/>
  <c r="O34"/>
  <c r="N34"/>
  <c r="R34" s="1"/>
  <c r="S34" s="1"/>
  <c r="T34" s="1"/>
  <c r="G34"/>
  <c r="J34"/>
  <c r="R33"/>
  <c r="M33"/>
  <c r="S33" s="1"/>
  <c r="U33" s="1"/>
  <c r="R32"/>
  <c r="M32"/>
  <c r="S32" s="1"/>
  <c r="U32" s="1"/>
  <c r="P31"/>
  <c r="O31"/>
  <c r="N31"/>
  <c r="R31"/>
  <c r="S31" s="1"/>
  <c r="T31" s="1"/>
  <c r="N30"/>
  <c r="R30" s="1"/>
  <c r="S30" s="1"/>
  <c r="T30" s="1"/>
  <c r="P29"/>
  <c r="O29"/>
  <c r="N29"/>
  <c r="R29" s="1"/>
  <c r="S29" s="1"/>
  <c r="T29" s="1"/>
  <c r="Q28"/>
  <c r="P28"/>
  <c r="O28"/>
  <c r="Q27"/>
  <c r="O27"/>
  <c r="N27"/>
  <c r="R27" s="1"/>
  <c r="S27" s="1"/>
  <c r="T27" s="1"/>
  <c r="Q26"/>
  <c r="P26"/>
  <c r="O26"/>
  <c r="G26"/>
  <c r="J26" s="1"/>
  <c r="R25"/>
  <c r="S25" s="1"/>
  <c r="U25" s="1"/>
  <c r="M25"/>
  <c r="R24"/>
  <c r="S24" s="1"/>
  <c r="U24" s="1"/>
  <c r="M24"/>
  <c r="Q23"/>
  <c r="P23"/>
  <c r="O23"/>
  <c r="N23"/>
  <c r="R23"/>
  <c r="S23" s="1"/>
  <c r="V23" s="1"/>
  <c r="Q22"/>
  <c r="P22"/>
  <c r="O22"/>
  <c r="R22" s="1"/>
  <c r="S22" s="1"/>
  <c r="T22" s="1"/>
  <c r="G22"/>
  <c r="J22"/>
  <c r="R21"/>
  <c r="M21"/>
  <c r="S21" s="1"/>
  <c r="U21" s="1"/>
  <c r="R20"/>
  <c r="M20"/>
  <c r="S20" s="1"/>
  <c r="U20" s="1"/>
  <c r="Q19"/>
  <c r="O19"/>
  <c r="R19" s="1"/>
  <c r="S19" s="1"/>
  <c r="T19" s="1"/>
  <c r="P18"/>
  <c r="O18"/>
  <c r="R18" s="1"/>
  <c r="S18" s="1"/>
  <c r="T18" s="1"/>
  <c r="Q17"/>
  <c r="P17"/>
  <c r="O17"/>
  <c r="N17"/>
  <c r="R17" s="1"/>
  <c r="S17" s="1"/>
  <c r="V17" s="1"/>
  <c r="Q16"/>
  <c r="P16"/>
  <c r="R16" s="1"/>
  <c r="S16" s="1"/>
  <c r="T16" s="1"/>
  <c r="O16"/>
  <c r="J16"/>
  <c r="G16"/>
  <c r="R15"/>
  <c r="S15" s="1"/>
  <c r="U15" s="1"/>
  <c r="M15"/>
  <c r="R14"/>
  <c r="S14" s="1"/>
  <c r="U14" s="1"/>
  <c r="M14"/>
  <c r="Q13"/>
  <c r="O13"/>
  <c r="N12"/>
  <c r="R12" s="1"/>
  <c r="S12" s="1"/>
  <c r="V12" s="1"/>
  <c r="Q11"/>
  <c r="P11"/>
  <c r="O11"/>
  <c r="R11" s="1"/>
  <c r="S11" s="1"/>
  <c r="V11" s="1"/>
  <c r="Q10"/>
  <c r="P10"/>
  <c r="O10"/>
  <c r="G10"/>
  <c r="J10" s="1"/>
  <c r="R9"/>
  <c r="S9" s="1"/>
  <c r="U9" s="1"/>
  <c r="M9"/>
  <c r="R8"/>
  <c r="S8" s="1"/>
  <c r="U8" s="1"/>
  <c r="M8"/>
  <c r="O7"/>
  <c r="N7"/>
  <c r="N13" s="1"/>
  <c r="R13" s="1"/>
  <c r="S13" s="1"/>
  <c r="V13" s="1"/>
  <c r="N6"/>
  <c r="R6"/>
  <c r="S6" s="1"/>
  <c r="V6" s="1"/>
  <c r="Q5"/>
  <c r="Q7"/>
  <c r="P5"/>
  <c r="O5"/>
  <c r="R5" s="1"/>
  <c r="S5" s="1"/>
  <c r="V5" s="1"/>
  <c r="Q4"/>
  <c r="O4"/>
  <c r="R4" s="1"/>
  <c r="S4" s="1"/>
  <c r="T4" s="1"/>
  <c r="Q3"/>
  <c r="P3"/>
  <c r="O3"/>
  <c r="N3"/>
  <c r="N10" s="1"/>
  <c r="R10" s="1"/>
  <c r="S10" s="1"/>
  <c r="T10" s="1"/>
  <c r="G3"/>
  <c r="J3" s="1"/>
  <c r="S110" i="31"/>
  <c r="T110" s="1"/>
  <c r="V110" s="1"/>
  <c r="N110"/>
  <c r="S109"/>
  <c r="T109" s="1"/>
  <c r="V109" s="1"/>
  <c r="N109"/>
  <c r="S108"/>
  <c r="T108" s="1"/>
  <c r="V108" s="1"/>
  <c r="N108"/>
  <c r="S107"/>
  <c r="T107" s="1"/>
  <c r="V107" s="1"/>
  <c r="N107"/>
  <c r="S106"/>
  <c r="T106" s="1"/>
  <c r="V106" s="1"/>
  <c r="N106"/>
  <c r="S105"/>
  <c r="T105" s="1"/>
  <c r="V105" s="1"/>
  <c r="N105"/>
  <c r="S104"/>
  <c r="T104" s="1"/>
  <c r="V104" s="1"/>
  <c r="N104"/>
  <c r="S103"/>
  <c r="T103" s="1"/>
  <c r="V103" s="1"/>
  <c r="N103"/>
  <c r="S102"/>
  <c r="T102" s="1"/>
  <c r="V102" s="1"/>
  <c r="N102"/>
  <c r="Q101"/>
  <c r="P101"/>
  <c r="O101"/>
  <c r="S101"/>
  <c r="T101" s="1"/>
  <c r="W101" s="1"/>
  <c r="R100"/>
  <c r="Q100"/>
  <c r="P100"/>
  <c r="O100"/>
  <c r="S100" s="1"/>
  <c r="T100" s="1"/>
  <c r="W100" s="1"/>
  <c r="R99"/>
  <c r="P99"/>
  <c r="O99"/>
  <c r="S99" s="1"/>
  <c r="T99" s="1"/>
  <c r="U99" s="1"/>
  <c r="K99"/>
  <c r="H99"/>
  <c r="R98"/>
  <c r="Q98"/>
  <c r="P98"/>
  <c r="O98"/>
  <c r="S98"/>
  <c r="T98" s="1"/>
  <c r="U98" s="1"/>
  <c r="H98"/>
  <c r="K98"/>
  <c r="S97"/>
  <c r="N97"/>
  <c r="T97" s="1"/>
  <c r="V97" s="1"/>
  <c r="S96"/>
  <c r="N96"/>
  <c r="T96" s="1"/>
  <c r="V96" s="1"/>
  <c r="S95"/>
  <c r="N95"/>
  <c r="T95" s="1"/>
  <c r="V95" s="1"/>
  <c r="S94"/>
  <c r="N94"/>
  <c r="T94" s="1"/>
  <c r="V94" s="1"/>
  <c r="S93"/>
  <c r="N93"/>
  <c r="T93" s="1"/>
  <c r="V93" s="1"/>
  <c r="S92"/>
  <c r="N92"/>
  <c r="T92" s="1"/>
  <c r="V92" s="1"/>
  <c r="S91"/>
  <c r="N91"/>
  <c r="T91" s="1"/>
  <c r="V91" s="1"/>
  <c r="S90"/>
  <c r="N90"/>
  <c r="T90" s="1"/>
  <c r="V90" s="1"/>
  <c r="S89"/>
  <c r="N89"/>
  <c r="T89" s="1"/>
  <c r="V89" s="1"/>
  <c r="Q88"/>
  <c r="P88"/>
  <c r="O88"/>
  <c r="S88"/>
  <c r="T88" s="1"/>
  <c r="W88" s="1"/>
  <c r="R87"/>
  <c r="Q87"/>
  <c r="P87"/>
  <c r="O87"/>
  <c r="S87" s="1"/>
  <c r="T87" s="1"/>
  <c r="W87" s="1"/>
  <c r="R86"/>
  <c r="P86"/>
  <c r="K86"/>
  <c r="H86"/>
  <c r="O86"/>
  <c r="S86" s="1"/>
  <c r="T86" s="1"/>
  <c r="U86" s="1"/>
  <c r="R85"/>
  <c r="Q85"/>
  <c r="P85"/>
  <c r="O85"/>
  <c r="S85"/>
  <c r="T85" s="1"/>
  <c r="U85" s="1"/>
  <c r="H85"/>
  <c r="K85" s="1"/>
  <c r="S84"/>
  <c r="T84" s="1"/>
  <c r="V84" s="1"/>
  <c r="N84"/>
  <c r="S83"/>
  <c r="T83" s="1"/>
  <c r="V83" s="1"/>
  <c r="N83"/>
  <c r="S82"/>
  <c r="T82" s="1"/>
  <c r="V82" s="1"/>
  <c r="N82"/>
  <c r="S81"/>
  <c r="T81" s="1"/>
  <c r="V81" s="1"/>
  <c r="N81"/>
  <c r="S80"/>
  <c r="T80" s="1"/>
  <c r="V80" s="1"/>
  <c r="N80"/>
  <c r="S79"/>
  <c r="T79" s="1"/>
  <c r="V79" s="1"/>
  <c r="N79"/>
  <c r="S78"/>
  <c r="T78" s="1"/>
  <c r="V78" s="1"/>
  <c r="N78"/>
  <c r="S77"/>
  <c r="T77" s="1"/>
  <c r="V77" s="1"/>
  <c r="N77"/>
  <c r="S76"/>
  <c r="T76" s="1"/>
  <c r="V76" s="1"/>
  <c r="N76"/>
  <c r="Q75"/>
  <c r="P75"/>
  <c r="O75"/>
  <c r="S75"/>
  <c r="T75" s="1"/>
  <c r="W75" s="1"/>
  <c r="R74"/>
  <c r="Q74"/>
  <c r="P74"/>
  <c r="O74"/>
  <c r="S74" s="1"/>
  <c r="T74" s="1"/>
  <c r="W74" s="1"/>
  <c r="R73"/>
  <c r="P73"/>
  <c r="O73"/>
  <c r="S73" s="1"/>
  <c r="T73" s="1"/>
  <c r="U73" s="1"/>
  <c r="K73"/>
  <c r="H73"/>
  <c r="R72"/>
  <c r="Q72"/>
  <c r="P72"/>
  <c r="O72"/>
  <c r="S72"/>
  <c r="T72" s="1"/>
  <c r="U72" s="1"/>
  <c r="H72"/>
  <c r="K72"/>
  <c r="S71"/>
  <c r="N71"/>
  <c r="T71" s="1"/>
  <c r="V71" s="1"/>
  <c r="S70"/>
  <c r="N70"/>
  <c r="T70" s="1"/>
  <c r="V70" s="1"/>
  <c r="S69"/>
  <c r="N69"/>
  <c r="T69" s="1"/>
  <c r="V69" s="1"/>
  <c r="S68"/>
  <c r="N68"/>
  <c r="T68" s="1"/>
  <c r="V68" s="1"/>
  <c r="S67"/>
  <c r="N67"/>
  <c r="T67" s="1"/>
  <c r="V67" s="1"/>
  <c r="S66"/>
  <c r="N66"/>
  <c r="T66" s="1"/>
  <c r="V66" s="1"/>
  <c r="R65"/>
  <c r="Q65"/>
  <c r="P65"/>
  <c r="O65"/>
  <c r="S65" s="1"/>
  <c r="T65" s="1"/>
  <c r="W65" s="1"/>
  <c r="R64"/>
  <c r="Q64"/>
  <c r="P64"/>
  <c r="O64"/>
  <c r="S64"/>
  <c r="T64" s="1"/>
  <c r="U64" s="1"/>
  <c r="H64"/>
  <c r="K64"/>
  <c r="S63"/>
  <c r="N63"/>
  <c r="T63" s="1"/>
  <c r="V63" s="1"/>
  <c r="S62"/>
  <c r="N62"/>
  <c r="T62" s="1"/>
  <c r="V62" s="1"/>
  <c r="R61"/>
  <c r="Q61"/>
  <c r="P61"/>
  <c r="R60"/>
  <c r="Q60"/>
  <c r="P60"/>
  <c r="O60"/>
  <c r="S60"/>
  <c r="T60" s="1"/>
  <c r="W60" s="1"/>
  <c r="H60"/>
  <c r="K60"/>
  <c r="S59"/>
  <c r="N59"/>
  <c r="T59" s="1"/>
  <c r="V59" s="1"/>
  <c r="S58"/>
  <c r="N58"/>
  <c r="T58" s="1"/>
  <c r="V58" s="1"/>
  <c r="R57"/>
  <c r="Q57"/>
  <c r="P57"/>
  <c r="R56"/>
  <c r="Q56"/>
  <c r="P56"/>
  <c r="O56"/>
  <c r="S56"/>
  <c r="T56" s="1"/>
  <c r="W56" s="1"/>
  <c r="H56"/>
  <c r="K56"/>
  <c r="S55"/>
  <c r="N55"/>
  <c r="T55" s="1"/>
  <c r="V55" s="1"/>
  <c r="S54"/>
  <c r="N54"/>
  <c r="T54" s="1"/>
  <c r="V54" s="1"/>
  <c r="S53"/>
  <c r="N53"/>
  <c r="T53" s="1"/>
  <c r="V53" s="1"/>
  <c r="S52"/>
  <c r="N52"/>
  <c r="T52" s="1"/>
  <c r="V52" s="1"/>
  <c r="S51"/>
  <c r="N51"/>
  <c r="T51" s="1"/>
  <c r="V51" s="1"/>
  <c r="S50"/>
  <c r="N50"/>
  <c r="T50" s="1"/>
  <c r="V50" s="1"/>
  <c r="Q49"/>
  <c r="P49"/>
  <c r="O49"/>
  <c r="S49"/>
  <c r="T49" s="1"/>
  <c r="W49" s="1"/>
  <c r="O48"/>
  <c r="S48" s="1"/>
  <c r="T48" s="1"/>
  <c r="W48" s="1"/>
  <c r="Q47"/>
  <c r="P47"/>
  <c r="O47"/>
  <c r="S47"/>
  <c r="T47" s="1"/>
  <c r="W47" s="1"/>
  <c r="R46"/>
  <c r="Q46"/>
  <c r="P46"/>
  <c r="O46"/>
  <c r="S46" s="1"/>
  <c r="T46" s="1"/>
  <c r="W46" s="1"/>
  <c r="Q45"/>
  <c r="P45"/>
  <c r="O45"/>
  <c r="S45" s="1"/>
  <c r="T45" s="1"/>
  <c r="U45" s="1"/>
  <c r="K45"/>
  <c r="H45"/>
  <c r="R44"/>
  <c r="Q44"/>
  <c r="P44"/>
  <c r="O44"/>
  <c r="S44"/>
  <c r="T44" s="1"/>
  <c r="X44" s="1"/>
  <c r="H44"/>
  <c r="K44"/>
  <c r="Q43"/>
  <c r="P43"/>
  <c r="O43"/>
  <c r="S43"/>
  <c r="T43" s="1"/>
  <c r="U43" s="1"/>
  <c r="K43"/>
  <c r="S42"/>
  <c r="T42" s="1"/>
  <c r="V42" s="1"/>
  <c r="N42"/>
  <c r="S41"/>
  <c r="T41" s="1"/>
  <c r="V41" s="1"/>
  <c r="N41"/>
  <c r="S40"/>
  <c r="T40" s="1"/>
  <c r="V40" s="1"/>
  <c r="N40"/>
  <c r="S39"/>
  <c r="T39" s="1"/>
  <c r="V39" s="1"/>
  <c r="N39"/>
  <c r="S38"/>
  <c r="T38" s="1"/>
  <c r="V38" s="1"/>
  <c r="N38"/>
  <c r="O37"/>
  <c r="S37" s="1"/>
  <c r="T37" s="1"/>
  <c r="W37" s="1"/>
  <c r="Q36"/>
  <c r="P36"/>
  <c r="O36"/>
  <c r="S36" s="1"/>
  <c r="T36" s="1"/>
  <c r="W36" s="1"/>
  <c r="R35"/>
  <c r="Q35"/>
  <c r="P35"/>
  <c r="O35"/>
  <c r="S35"/>
  <c r="T35" s="1"/>
  <c r="W35" s="1"/>
  <c r="R34"/>
  <c r="Q34"/>
  <c r="P34"/>
  <c r="S34" s="1"/>
  <c r="T34" s="1"/>
  <c r="X34" s="1"/>
  <c r="H34"/>
  <c r="K34"/>
  <c r="Q33"/>
  <c r="P33"/>
  <c r="O33"/>
  <c r="S33" s="1"/>
  <c r="T33" s="1"/>
  <c r="U33" s="1"/>
  <c r="H33"/>
  <c r="K33"/>
  <c r="S32"/>
  <c r="N32"/>
  <c r="T32" s="1"/>
  <c r="V32" s="1"/>
  <c r="S31"/>
  <c r="N31"/>
  <c r="T31" s="1"/>
  <c r="V31" s="1"/>
  <c r="S30"/>
  <c r="N30"/>
  <c r="T30" s="1"/>
  <c r="V30" s="1"/>
  <c r="S29"/>
  <c r="N29"/>
  <c r="T29" s="1"/>
  <c r="V29" s="1"/>
  <c r="O28"/>
  <c r="S28"/>
  <c r="T28" s="1"/>
  <c r="X28" s="1"/>
  <c r="R27"/>
  <c r="Q27"/>
  <c r="P27"/>
  <c r="O27"/>
  <c r="S27" s="1"/>
  <c r="T27" s="1"/>
  <c r="W27" s="1"/>
  <c r="R26"/>
  <c r="Q26"/>
  <c r="P26"/>
  <c r="S26" s="1"/>
  <c r="T26" s="1"/>
  <c r="X26" s="1"/>
  <c r="H26"/>
  <c r="K26" s="1"/>
  <c r="Q25"/>
  <c r="P25"/>
  <c r="O25"/>
  <c r="S25" s="1"/>
  <c r="T25" s="1"/>
  <c r="U25" s="1"/>
  <c r="H25"/>
  <c r="K25" s="1"/>
  <c r="S24"/>
  <c r="S23"/>
  <c r="N23"/>
  <c r="T23" s="1"/>
  <c r="V23" s="1"/>
  <c r="R22"/>
  <c r="Q22"/>
  <c r="P22"/>
  <c r="R21"/>
  <c r="Q21"/>
  <c r="P21"/>
  <c r="H21"/>
  <c r="K21" s="1"/>
  <c r="S20"/>
  <c r="T20" s="1"/>
  <c r="V20" s="1"/>
  <c r="N20"/>
  <c r="S19"/>
  <c r="T19" s="1"/>
  <c r="V19" s="1"/>
  <c r="N19"/>
  <c r="S18"/>
  <c r="T18" s="1"/>
  <c r="V18" s="1"/>
  <c r="N18"/>
  <c r="S17"/>
  <c r="T17" s="1"/>
  <c r="V17" s="1"/>
  <c r="N17"/>
  <c r="P16"/>
  <c r="O16"/>
  <c r="S15"/>
  <c r="T15" s="1"/>
  <c r="W15" s="1"/>
  <c r="O15"/>
  <c r="R14"/>
  <c r="R16" s="1"/>
  <c r="S16" s="1"/>
  <c r="T16" s="1"/>
  <c r="X16" s="1"/>
  <c r="Q14"/>
  <c r="P14"/>
  <c r="O14"/>
  <c r="S14" s="1"/>
  <c r="T14" s="1"/>
  <c r="W14" s="1"/>
  <c r="R13"/>
  <c r="Q13"/>
  <c r="P13"/>
  <c r="S13" s="1"/>
  <c r="T13" s="1"/>
  <c r="X13" s="1"/>
  <c r="H13"/>
  <c r="K13" s="1"/>
  <c r="Q12"/>
  <c r="P12"/>
  <c r="S12"/>
  <c r="T12" s="1"/>
  <c r="U12" s="1"/>
  <c r="O12"/>
  <c r="H12"/>
  <c r="K12" s="1"/>
  <c r="S11"/>
  <c r="T11" s="1"/>
  <c r="V11" s="1"/>
  <c r="N11"/>
  <c r="S10"/>
  <c r="T10" s="1"/>
  <c r="V10" s="1"/>
  <c r="N10"/>
  <c r="S9"/>
  <c r="T9" s="1"/>
  <c r="V9" s="1"/>
  <c r="N9"/>
  <c r="S8"/>
  <c r="T8" s="1"/>
  <c r="V8" s="1"/>
  <c r="N8"/>
  <c r="P7"/>
  <c r="O7"/>
  <c r="S6"/>
  <c r="T6" s="1"/>
  <c r="X6" s="1"/>
  <c r="O6"/>
  <c r="R5"/>
  <c r="R7" s="1"/>
  <c r="Q5"/>
  <c r="P5"/>
  <c r="O5"/>
  <c r="S5"/>
  <c r="T5" s="1"/>
  <c r="W5" s="1"/>
  <c r="R4"/>
  <c r="Q4"/>
  <c r="P4"/>
  <c r="S4" s="1"/>
  <c r="T4" s="1"/>
  <c r="X4" s="1"/>
  <c r="H4"/>
  <c r="K4" s="1"/>
  <c r="Q3"/>
  <c r="P3"/>
  <c r="O3"/>
  <c r="O21" s="1"/>
  <c r="H3"/>
  <c r="K3" s="1"/>
  <c r="M60" i="32"/>
  <c r="L60"/>
  <c r="K60"/>
  <c r="I60"/>
  <c r="G60"/>
  <c r="E60"/>
  <c r="D60"/>
  <c r="C60"/>
  <c r="H58"/>
  <c r="H60" s="1"/>
  <c r="O55"/>
  <c r="X53"/>
  <c r="W53"/>
  <c r="A53"/>
  <c r="O52"/>
  <c r="W51"/>
  <c r="W52" s="1"/>
  <c r="X52" s="1"/>
  <c r="O51"/>
  <c r="O49"/>
  <c r="X43"/>
  <c r="W43"/>
  <c r="W50"/>
  <c r="X50" s="1"/>
  <c r="S42"/>
  <c r="R42"/>
  <c r="T42" s="1"/>
  <c r="O42"/>
  <c r="X41"/>
  <c r="W41"/>
  <c r="W48"/>
  <c r="X48" s="1"/>
  <c r="S41"/>
  <c r="T41" s="1"/>
  <c r="R41"/>
  <c r="O41"/>
  <c r="W40"/>
  <c r="W47" s="1"/>
  <c r="X47" s="1"/>
  <c r="S39"/>
  <c r="T39" s="1"/>
  <c r="O39"/>
  <c r="S38"/>
  <c r="T38"/>
  <c r="W37"/>
  <c r="W39" s="1"/>
  <c r="S37"/>
  <c r="T37" s="1"/>
  <c r="V36"/>
  <c r="S36"/>
  <c r="T36" s="1"/>
  <c r="S35"/>
  <c r="T35" s="1"/>
  <c r="S34"/>
  <c r="T34" s="1"/>
  <c r="S33"/>
  <c r="T33" s="1"/>
  <c r="S32"/>
  <c r="T32" s="1"/>
  <c r="O32"/>
  <c r="O31"/>
  <c r="S30"/>
  <c r="S31"/>
  <c r="T31" s="1"/>
  <c r="S29"/>
  <c r="T29" s="1"/>
  <c r="O29"/>
  <c r="S28"/>
  <c r="S25"/>
  <c r="S26" s="1"/>
  <c r="S27" s="1"/>
  <c r="T27" s="1"/>
  <c r="O20"/>
  <c r="V19"/>
  <c r="V18"/>
  <c r="O17"/>
  <c r="V10" s="1"/>
  <c r="V15"/>
  <c r="S11"/>
  <c r="S21" s="1"/>
  <c r="S10"/>
  <c r="T10" s="1"/>
  <c r="R10"/>
  <c r="V8"/>
  <c r="O8"/>
  <c r="S7"/>
  <c r="S19"/>
  <c r="O7"/>
  <c r="R19" s="1"/>
  <c r="T19" s="1"/>
  <c r="V7"/>
  <c r="H5"/>
  <c r="W7"/>
  <c r="M3"/>
  <c r="R14" s="1"/>
  <c r="R24"/>
  <c r="L3"/>
  <c r="R17" s="1"/>
  <c r="K3"/>
  <c r="R23" s="1"/>
  <c r="I3"/>
  <c r="R22" s="1"/>
  <c r="G3"/>
  <c r="R21" s="1"/>
  <c r="E3"/>
  <c r="V28"/>
  <c r="D3"/>
  <c r="R9"/>
  <c r="R25" s="1"/>
  <c r="T25" s="1"/>
  <c r="C3"/>
  <c r="R7" s="1"/>
  <c r="T7" s="1"/>
  <c r="S77" i="33"/>
  <c r="N77"/>
  <c r="T77" s="1"/>
  <c r="V77" s="1"/>
  <c r="S76"/>
  <c r="N76"/>
  <c r="T76" s="1"/>
  <c r="V76" s="1"/>
  <c r="S75"/>
  <c r="N75"/>
  <c r="T75" s="1"/>
  <c r="V75" s="1"/>
  <c r="S74"/>
  <c r="N74"/>
  <c r="T74" s="1"/>
  <c r="V74" s="1"/>
  <c r="S73"/>
  <c r="N73"/>
  <c r="T73" s="1"/>
  <c r="V73" s="1"/>
  <c r="S72"/>
  <c r="N72"/>
  <c r="T72" s="1"/>
  <c r="V72" s="1"/>
  <c r="S71"/>
  <c r="N71"/>
  <c r="T71" s="1"/>
  <c r="V71" s="1"/>
  <c r="S70"/>
  <c r="N70"/>
  <c r="T70" s="1"/>
  <c r="V70" s="1"/>
  <c r="R69"/>
  <c r="Q69"/>
  <c r="P69"/>
  <c r="O69"/>
  <c r="S69" s="1"/>
  <c r="T69" s="1"/>
  <c r="U69" s="1"/>
  <c r="R68"/>
  <c r="Q68"/>
  <c r="P68"/>
  <c r="H68"/>
  <c r="O68" s="1"/>
  <c r="S68" s="1"/>
  <c r="T68" s="1"/>
  <c r="U68" s="1"/>
  <c r="K68"/>
  <c r="S67"/>
  <c r="N67"/>
  <c r="T67" s="1"/>
  <c r="V67" s="1"/>
  <c r="S66"/>
  <c r="N66"/>
  <c r="T66" s="1"/>
  <c r="V66" s="1"/>
  <c r="S65"/>
  <c r="N65"/>
  <c r="T65" s="1"/>
  <c r="V65" s="1"/>
  <c r="S64"/>
  <c r="N64"/>
  <c r="T64" s="1"/>
  <c r="V64" s="1"/>
  <c r="S63"/>
  <c r="N63"/>
  <c r="T63" s="1"/>
  <c r="V63" s="1"/>
  <c r="S62"/>
  <c r="N62"/>
  <c r="T62" s="1"/>
  <c r="V62" s="1"/>
  <c r="S61"/>
  <c r="N61"/>
  <c r="T61" s="1"/>
  <c r="V61" s="1"/>
  <c r="S60"/>
  <c r="N60"/>
  <c r="T60" s="1"/>
  <c r="V60" s="1"/>
  <c r="R59"/>
  <c r="Q59"/>
  <c r="P59"/>
  <c r="O59"/>
  <c r="S59" s="1"/>
  <c r="T59" s="1"/>
  <c r="U59" s="1"/>
  <c r="R58"/>
  <c r="Q58"/>
  <c r="P58"/>
  <c r="H58"/>
  <c r="O58" s="1"/>
  <c r="S58" s="1"/>
  <c r="T58" s="1"/>
  <c r="U58" s="1"/>
  <c r="K58"/>
  <c r="S57"/>
  <c r="N57"/>
  <c r="T57" s="1"/>
  <c r="V57" s="1"/>
  <c r="S56"/>
  <c r="N56"/>
  <c r="T56" s="1"/>
  <c r="V56" s="1"/>
  <c r="S55"/>
  <c r="N55"/>
  <c r="T55" s="1"/>
  <c r="V55" s="1"/>
  <c r="S54"/>
  <c r="N54"/>
  <c r="T54" s="1"/>
  <c r="V54" s="1"/>
  <c r="S53"/>
  <c r="N53"/>
  <c r="T53" s="1"/>
  <c r="V53" s="1"/>
  <c r="S52"/>
  <c r="N52"/>
  <c r="T52" s="1"/>
  <c r="V52" s="1"/>
  <c r="S51"/>
  <c r="N51"/>
  <c r="T51" s="1"/>
  <c r="V51" s="1"/>
  <c r="S50"/>
  <c r="N50"/>
  <c r="T50" s="1"/>
  <c r="V50" s="1"/>
  <c r="R49"/>
  <c r="Q49"/>
  <c r="P49"/>
  <c r="O49"/>
  <c r="S49" s="1"/>
  <c r="T49" s="1"/>
  <c r="U49" s="1"/>
  <c r="R48"/>
  <c r="Q48"/>
  <c r="P48"/>
  <c r="H48"/>
  <c r="O48" s="1"/>
  <c r="S48" s="1"/>
  <c r="T48" s="1"/>
  <c r="U48" s="1"/>
  <c r="K48"/>
  <c r="S47"/>
  <c r="N47"/>
  <c r="T47" s="1"/>
  <c r="V47" s="1"/>
  <c r="S46"/>
  <c r="N46"/>
  <c r="T46" s="1"/>
  <c r="V46" s="1"/>
  <c r="R45"/>
  <c r="Q45"/>
  <c r="P45"/>
  <c r="O45"/>
  <c r="S45" s="1"/>
  <c r="T45" s="1"/>
  <c r="W45" s="1"/>
  <c r="R44"/>
  <c r="Q44"/>
  <c r="P44"/>
  <c r="S44" s="1"/>
  <c r="T44" s="1"/>
  <c r="W44" s="1"/>
  <c r="K44"/>
  <c r="H44"/>
  <c r="S43"/>
  <c r="T43" s="1"/>
  <c r="V43" s="1"/>
  <c r="N43"/>
  <c r="S42"/>
  <c r="T42" s="1"/>
  <c r="V42" s="1"/>
  <c r="N42"/>
  <c r="S41"/>
  <c r="T41" s="1"/>
  <c r="V41" s="1"/>
  <c r="N41"/>
  <c r="S40"/>
  <c r="T40" s="1"/>
  <c r="V40" s="1"/>
  <c r="N40"/>
  <c r="S39"/>
  <c r="T39" s="1"/>
  <c r="V39" s="1"/>
  <c r="N39"/>
  <c r="S38"/>
  <c r="T38" s="1"/>
  <c r="V38" s="1"/>
  <c r="N38"/>
  <c r="R37"/>
  <c r="Q37"/>
  <c r="P37"/>
  <c r="O37"/>
  <c r="S37"/>
  <c r="T37" s="1"/>
  <c r="W37" s="1"/>
  <c r="R36"/>
  <c r="P36"/>
  <c r="O36"/>
  <c r="S36" s="1"/>
  <c r="T36" s="1"/>
  <c r="U36" s="1"/>
  <c r="R35"/>
  <c r="Q35"/>
  <c r="P35"/>
  <c r="S35"/>
  <c r="T35" s="1"/>
  <c r="X35" s="1"/>
  <c r="H35"/>
  <c r="K35"/>
  <c r="Q34"/>
  <c r="P34"/>
  <c r="O34"/>
  <c r="S34"/>
  <c r="T34" s="1"/>
  <c r="U34" s="1"/>
  <c r="H34"/>
  <c r="K34"/>
  <c r="S33"/>
  <c r="N33"/>
  <c r="T33" s="1"/>
  <c r="V33" s="1"/>
  <c r="S32"/>
  <c r="N32"/>
  <c r="T32" s="1"/>
  <c r="V32" s="1"/>
  <c r="S31"/>
  <c r="N31"/>
  <c r="T31" s="1"/>
  <c r="V31" s="1"/>
  <c r="S30"/>
  <c r="N30"/>
  <c r="T30" s="1"/>
  <c r="V30" s="1"/>
  <c r="S29"/>
  <c r="N29"/>
  <c r="T29" s="1"/>
  <c r="V29" s="1"/>
  <c r="S28"/>
  <c r="N28"/>
  <c r="T28" s="1"/>
  <c r="V28" s="1"/>
  <c r="R27"/>
  <c r="Q27"/>
  <c r="P27"/>
  <c r="O27"/>
  <c r="S27" s="1"/>
  <c r="T27" s="1"/>
  <c r="W27" s="1"/>
  <c r="R26"/>
  <c r="P26"/>
  <c r="O26"/>
  <c r="S26" s="1"/>
  <c r="T26" s="1"/>
  <c r="U26" s="1"/>
  <c r="R25"/>
  <c r="Q25"/>
  <c r="S25"/>
  <c r="T25" s="1"/>
  <c r="X25" s="1"/>
  <c r="P25"/>
  <c r="H25"/>
  <c r="K25" s="1"/>
  <c r="Q24"/>
  <c r="P24"/>
  <c r="S24"/>
  <c r="T24" s="1"/>
  <c r="U24" s="1"/>
  <c r="O24"/>
  <c r="H24"/>
  <c r="K24" s="1"/>
  <c r="S23"/>
  <c r="T23" s="1"/>
  <c r="V23" s="1"/>
  <c r="N23"/>
  <c r="S22"/>
  <c r="T22" s="1"/>
  <c r="V22" s="1"/>
  <c r="N22"/>
  <c r="S21"/>
  <c r="T21" s="1"/>
  <c r="V21" s="1"/>
  <c r="N21"/>
  <c r="S20"/>
  <c r="T20" s="1"/>
  <c r="V20" s="1"/>
  <c r="N20"/>
  <c r="R19"/>
  <c r="Q19"/>
  <c r="P19"/>
  <c r="O19"/>
  <c r="S19"/>
  <c r="T19" s="1"/>
  <c r="W19" s="1"/>
  <c r="R18"/>
  <c r="Q18"/>
  <c r="P18"/>
  <c r="S18"/>
  <c r="T18" s="1"/>
  <c r="X18" s="1"/>
  <c r="H18"/>
  <c r="K18"/>
  <c r="Q17"/>
  <c r="P17"/>
  <c r="O17"/>
  <c r="S17"/>
  <c r="T17" s="1"/>
  <c r="U17" s="1"/>
  <c r="H17"/>
  <c r="K17"/>
  <c r="S16"/>
  <c r="N16"/>
  <c r="T16" s="1"/>
  <c r="V16" s="1"/>
  <c r="S15"/>
  <c r="N15"/>
  <c r="T15" s="1"/>
  <c r="V15" s="1"/>
  <c r="S14"/>
  <c r="N14"/>
  <c r="T14" s="1"/>
  <c r="V14" s="1"/>
  <c r="S13"/>
  <c r="N13"/>
  <c r="T13" s="1"/>
  <c r="V13" s="1"/>
  <c r="R12"/>
  <c r="Q12"/>
  <c r="P12"/>
  <c r="O12"/>
  <c r="S12" s="1"/>
  <c r="T12" s="1"/>
  <c r="W12" s="1"/>
  <c r="R11"/>
  <c r="Q11"/>
  <c r="P11"/>
  <c r="S11" s="1"/>
  <c r="T11" s="1"/>
  <c r="X11" s="1"/>
  <c r="X78" s="1"/>
  <c r="K11"/>
  <c r="H11"/>
  <c r="Q10"/>
  <c r="P10"/>
  <c r="O10"/>
  <c r="S10" s="1"/>
  <c r="T10" s="1"/>
  <c r="U10" s="1"/>
  <c r="K10"/>
  <c r="H10"/>
  <c r="S9"/>
  <c r="T9" s="1"/>
  <c r="V9" s="1"/>
  <c r="N9"/>
  <c r="S8"/>
  <c r="T8" s="1"/>
  <c r="V8" s="1"/>
  <c r="N8"/>
  <c r="S7"/>
  <c r="T7" s="1"/>
  <c r="V7" s="1"/>
  <c r="N7"/>
  <c r="S6"/>
  <c r="T6" s="1"/>
  <c r="V6" s="1"/>
  <c r="V78" s="1"/>
  <c r="N6"/>
  <c r="R5"/>
  <c r="Q5"/>
  <c r="P5"/>
  <c r="O5"/>
  <c r="S5"/>
  <c r="T5" s="1"/>
  <c r="W5" s="1"/>
  <c r="R4"/>
  <c r="Q4"/>
  <c r="P4"/>
  <c r="S4" s="1"/>
  <c r="T4" s="1"/>
  <c r="W4" s="1"/>
  <c r="H4"/>
  <c r="K4" s="1"/>
  <c r="Q3"/>
  <c r="P3"/>
  <c r="O3"/>
  <c r="S3" s="1"/>
  <c r="T3" s="1"/>
  <c r="U3" s="1"/>
  <c r="K3"/>
  <c r="H3"/>
  <c r="M53" i="34"/>
  <c r="H53"/>
  <c r="G53"/>
  <c r="E53"/>
  <c r="D53"/>
  <c r="C53"/>
  <c r="O48"/>
  <c r="W41"/>
  <c r="X41" s="1"/>
  <c r="O41"/>
  <c r="O40"/>
  <c r="W38"/>
  <c r="X38" s="1"/>
  <c r="O38"/>
  <c r="X35"/>
  <c r="W35"/>
  <c r="W32"/>
  <c r="X32" s="1"/>
  <c r="X31"/>
  <c r="W31"/>
  <c r="W34"/>
  <c r="O31"/>
  <c r="W30"/>
  <c r="X30" s="1"/>
  <c r="O30"/>
  <c r="O28"/>
  <c r="T27"/>
  <c r="S27"/>
  <c r="T26"/>
  <c r="S26"/>
  <c r="T25"/>
  <c r="S25"/>
  <c r="T24"/>
  <c r="S24"/>
  <c r="S22"/>
  <c r="T22" s="1"/>
  <c r="S21"/>
  <c r="T21"/>
  <c r="S20"/>
  <c r="T20"/>
  <c r="O19"/>
  <c r="S18"/>
  <c r="S19" s="1"/>
  <c r="T19" s="1"/>
  <c r="O16"/>
  <c r="V9"/>
  <c r="V7"/>
  <c r="O7"/>
  <c r="W6"/>
  <c r="W9" s="1"/>
  <c r="W8"/>
  <c r="X8" s="1"/>
  <c r="S6"/>
  <c r="S9" s="1"/>
  <c r="O6"/>
  <c r="R14"/>
  <c r="M2"/>
  <c r="R13"/>
  <c r="H2"/>
  <c r="R12"/>
  <c r="R19" s="1"/>
  <c r="G2"/>
  <c r="R16" s="1"/>
  <c r="E2"/>
  <c r="V23" s="1"/>
  <c r="D2"/>
  <c r="R8"/>
  <c r="R18" s="1"/>
  <c r="T18" s="1"/>
  <c r="C2"/>
  <c r="O18"/>
  <c r="V10" s="1"/>
  <c r="P63" i="35"/>
  <c r="P61"/>
  <c r="S61" s="1"/>
  <c r="M61"/>
  <c r="P59"/>
  <c r="P60"/>
  <c r="P57"/>
  <c r="P56"/>
  <c r="P53"/>
  <c r="P54" s="1"/>
  <c r="P50"/>
  <c r="S50" s="1"/>
  <c r="M50"/>
  <c r="O49"/>
  <c r="T49"/>
  <c r="O48"/>
  <c r="R48" s="1"/>
  <c r="H48"/>
  <c r="P47"/>
  <c r="S47" s="1"/>
  <c r="M47"/>
  <c r="O46"/>
  <c r="R46" s="1"/>
  <c r="E46"/>
  <c r="H46" s="1"/>
  <c r="P45"/>
  <c r="M45"/>
  <c r="S45" s="1"/>
  <c r="R44"/>
  <c r="O44"/>
  <c r="H44"/>
  <c r="P43"/>
  <c r="O42"/>
  <c r="M43" s="1"/>
  <c r="S43" s="1"/>
  <c r="E42"/>
  <c r="H42" s="1"/>
  <c r="P40"/>
  <c r="S40"/>
  <c r="M40"/>
  <c r="P39"/>
  <c r="S39" s="1"/>
  <c r="M39"/>
  <c r="O38"/>
  <c r="T38" s="1"/>
  <c r="T64" s="1"/>
  <c r="T66" s="1"/>
  <c r="O37"/>
  <c r="R37"/>
  <c r="H37"/>
  <c r="P36"/>
  <c r="M36"/>
  <c r="S36"/>
  <c r="P35"/>
  <c r="S35" s="1"/>
  <c r="M35"/>
  <c r="R34"/>
  <c r="O34"/>
  <c r="H34"/>
  <c r="E34"/>
  <c r="S33"/>
  <c r="S32"/>
  <c r="Q31"/>
  <c r="Q30"/>
  <c r="H29"/>
  <c r="G29"/>
  <c r="O29" s="1"/>
  <c r="S27"/>
  <c r="O27"/>
  <c r="R26"/>
  <c r="O26"/>
  <c r="H26"/>
  <c r="Q25"/>
  <c r="N25"/>
  <c r="N24"/>
  <c r="Q24" s="1"/>
  <c r="Q64" s="1"/>
  <c r="Q66" s="1"/>
  <c r="H24"/>
  <c r="K13"/>
  <c r="K11"/>
  <c r="M62"/>
  <c r="K7"/>
  <c r="K17" s="1"/>
  <c r="M5"/>
  <c r="E4"/>
  <c r="C2"/>
  <c r="R34" i="29"/>
  <c r="R36" s="1"/>
  <c r="T45"/>
  <c r="T46" s="1"/>
  <c r="S36"/>
  <c r="G48"/>
  <c r="Q48" s="1"/>
  <c r="G50"/>
  <c r="Q50" s="1"/>
  <c r="T53"/>
  <c r="T54" s="1"/>
  <c r="R85" i="30"/>
  <c r="S85" s="1"/>
  <c r="V85" s="1"/>
  <c r="V87" s="1"/>
  <c r="U61"/>
  <c r="U60"/>
  <c r="U87"/>
  <c r="R7"/>
  <c r="S7" s="1"/>
  <c r="V7" s="1"/>
  <c r="R43"/>
  <c r="S43"/>
  <c r="T43" s="1"/>
  <c r="N102"/>
  <c r="R102" s="1"/>
  <c r="S102" s="1"/>
  <c r="T102" s="1"/>
  <c r="N89"/>
  <c r="G95"/>
  <c r="J95"/>
  <c r="N99"/>
  <c r="R99"/>
  <c r="S99" s="1"/>
  <c r="T99" s="1"/>
  <c r="N101"/>
  <c r="R101"/>
  <c r="S101" s="1"/>
  <c r="T101" s="1"/>
  <c r="N108"/>
  <c r="G114"/>
  <c r="N115" s="1"/>
  <c r="N118"/>
  <c r="R118"/>
  <c r="S118" s="1"/>
  <c r="T118" s="1"/>
  <c r="N120"/>
  <c r="R120"/>
  <c r="S120" s="1"/>
  <c r="T120" s="1"/>
  <c r="N121"/>
  <c r="R121"/>
  <c r="S121" s="1"/>
  <c r="T121" s="1"/>
  <c r="N24" i="31"/>
  <c r="T24"/>
  <c r="V24" s="1"/>
  <c r="O57"/>
  <c r="S57"/>
  <c r="T57" s="1"/>
  <c r="W57" s="1"/>
  <c r="O61"/>
  <c r="S61"/>
  <c r="T61" s="1"/>
  <c r="W61" s="1"/>
  <c r="S20" i="32"/>
  <c r="T20"/>
  <c r="W9"/>
  <c r="W10"/>
  <c r="X10" s="1"/>
  <c r="X7"/>
  <c r="W8"/>
  <c r="X8"/>
  <c r="H3"/>
  <c r="R13"/>
  <c r="R28" s="1"/>
  <c r="S9"/>
  <c r="T9"/>
  <c r="O19"/>
  <c r="V11"/>
  <c r="V27"/>
  <c r="S8"/>
  <c r="T8" s="1"/>
  <c r="W11"/>
  <c r="W13" s="1"/>
  <c r="W19" s="1"/>
  <c r="W21" s="1"/>
  <c r="W23" s="1"/>
  <c r="W26" s="1"/>
  <c r="X26" s="1"/>
  <c r="R15"/>
  <c r="R18"/>
  <c r="W42"/>
  <c r="W44"/>
  <c r="X44" s="1"/>
  <c r="T30"/>
  <c r="X34" i="34"/>
  <c r="W37"/>
  <c r="R17"/>
  <c r="S8"/>
  <c r="T8" s="1"/>
  <c r="R6"/>
  <c r="T6" s="1"/>
  <c r="S14"/>
  <c r="W33"/>
  <c r="W36" s="1"/>
  <c r="W39" s="1"/>
  <c r="V6"/>
  <c r="X6"/>
  <c r="N64" i="35"/>
  <c r="P62"/>
  <c r="S62" s="1"/>
  <c r="R42"/>
  <c r="P55"/>
  <c r="K8"/>
  <c r="M59" s="1"/>
  <c r="S59" s="1"/>
  <c r="R115" i="30"/>
  <c r="S115" s="1"/>
  <c r="T115" s="1"/>
  <c r="N114"/>
  <c r="R114" s="1"/>
  <c r="S114" s="1"/>
  <c r="T114" s="1"/>
  <c r="N109"/>
  <c r="R109"/>
  <c r="S109" s="1"/>
  <c r="T109" s="1"/>
  <c r="R108"/>
  <c r="S108"/>
  <c r="T108" s="1"/>
  <c r="N96"/>
  <c r="R96" s="1"/>
  <c r="S96" s="1"/>
  <c r="T96" s="1"/>
  <c r="N90"/>
  <c r="R90" s="1"/>
  <c r="S90" s="1"/>
  <c r="T90" s="1"/>
  <c r="N95"/>
  <c r="R95" s="1"/>
  <c r="S95" s="1"/>
  <c r="T95" s="1"/>
  <c r="R89"/>
  <c r="S89" s="1"/>
  <c r="T89" s="1"/>
  <c r="X42" i="32"/>
  <c r="W49"/>
  <c r="X49"/>
  <c r="T28"/>
  <c r="X11"/>
  <c r="X9"/>
  <c r="W15"/>
  <c r="X37" i="34"/>
  <c r="W40"/>
  <c r="X40" s="1"/>
  <c r="T14"/>
  <c r="S15"/>
  <c r="T15"/>
  <c r="X33"/>
  <c r="K14" i="35"/>
  <c r="M60"/>
  <c r="X15" i="32"/>
  <c r="W14"/>
  <c r="X14" s="1"/>
  <c r="X13"/>
  <c r="X36" i="34"/>
  <c r="X39"/>
  <c r="M63" i="35"/>
  <c r="S63" s="1"/>
  <c r="S60"/>
  <c r="W20" i="32"/>
  <c r="X20" s="1"/>
  <c r="X19"/>
  <c r="W22"/>
  <c r="X22" s="1"/>
  <c r="X21"/>
  <c r="X23"/>
  <c r="W25"/>
  <c r="X25" s="1"/>
  <c r="W24"/>
  <c r="X24" s="1"/>
  <c r="W29"/>
  <c r="W30" s="1"/>
  <c r="W33" s="1"/>
  <c r="X33" s="1"/>
  <c r="E25" i="13"/>
  <c r="E21"/>
  <c r="E20"/>
  <c r="E19"/>
  <c r="E18"/>
  <c r="E17"/>
  <c r="E16"/>
  <c r="E15"/>
  <c r="E14"/>
  <c r="E13"/>
  <c r="E11"/>
  <c r="E10"/>
  <c r="E9"/>
  <c r="E8"/>
  <c r="E7"/>
  <c r="I401" i="1"/>
  <c r="I403" s="1"/>
  <c r="G254" i="28"/>
  <c r="G227"/>
  <c r="E225"/>
  <c r="G225" s="1"/>
  <c r="D225"/>
  <c r="G171"/>
  <c r="G170"/>
  <c r="F160"/>
  <c r="F234" s="1"/>
  <c r="D158"/>
  <c r="D233" s="1"/>
  <c r="D159"/>
  <c r="D232" s="1"/>
  <c r="D143"/>
  <c r="D142"/>
  <c r="D160" s="1"/>
  <c r="D115"/>
  <c r="E103"/>
  <c r="E178" s="1"/>
  <c r="D103"/>
  <c r="D178" s="1"/>
  <c r="G232" i="14"/>
  <c r="G230"/>
  <c r="H29"/>
  <c r="H18"/>
  <c r="C28" i="27"/>
  <c r="I390" i="1"/>
  <c r="E183" i="28"/>
  <c r="D42"/>
  <c r="D57" s="1"/>
  <c r="G162"/>
  <c r="G152"/>
  <c r="D149"/>
  <c r="G136"/>
  <c r="D226"/>
  <c r="G226" s="1"/>
  <c r="E224"/>
  <c r="E169"/>
  <c r="G169"/>
  <c r="E168"/>
  <c r="D168"/>
  <c r="D207" s="1"/>
  <c r="F159"/>
  <c r="F232" s="1"/>
  <c r="F235" s="1"/>
  <c r="F158"/>
  <c r="F233" s="1"/>
  <c r="F148"/>
  <c r="D148"/>
  <c r="F143"/>
  <c r="G143"/>
  <c r="D134"/>
  <c r="D133"/>
  <c r="B134"/>
  <c r="B133"/>
  <c r="D122"/>
  <c r="D121"/>
  <c r="G116"/>
  <c r="G115"/>
  <c r="D109"/>
  <c r="G109"/>
  <c r="D108"/>
  <c r="G108"/>
  <c r="F89"/>
  <c r="E89"/>
  <c r="D89"/>
  <c r="C89"/>
  <c r="B89"/>
  <c r="G77"/>
  <c r="F83"/>
  <c r="G68"/>
  <c r="D76"/>
  <c r="G76"/>
  <c r="D75"/>
  <c r="G75"/>
  <c r="C72"/>
  <c r="C83"/>
  <c r="G83" s="1"/>
  <c r="D45"/>
  <c r="D61"/>
  <c r="E43"/>
  <c r="D12"/>
  <c r="D20" s="1"/>
  <c r="D11"/>
  <c r="D40" s="1"/>
  <c r="D43"/>
  <c r="E59"/>
  <c r="F21"/>
  <c r="F20"/>
  <c r="F19"/>
  <c r="F18"/>
  <c r="E21"/>
  <c r="E20"/>
  <c r="E26"/>
  <c r="E30" s="1"/>
  <c r="E19"/>
  <c r="E25" s="1"/>
  <c r="E29" s="1"/>
  <c r="E18"/>
  <c r="E24"/>
  <c r="D18"/>
  <c r="D24"/>
  <c r="D28" s="1"/>
  <c r="C21"/>
  <c r="C20"/>
  <c r="C26"/>
  <c r="C19"/>
  <c r="C25"/>
  <c r="C18"/>
  <c r="B21"/>
  <c r="B20"/>
  <c r="B26"/>
  <c r="B30" s="1"/>
  <c r="B19"/>
  <c r="B25" s="1"/>
  <c r="B29" s="1"/>
  <c r="B18"/>
  <c r="B24"/>
  <c r="G260"/>
  <c r="G259"/>
  <c r="R249"/>
  <c r="S249"/>
  <c r="G249"/>
  <c r="G237"/>
  <c r="G236"/>
  <c r="B231"/>
  <c r="G217"/>
  <c r="G216"/>
  <c r="G212"/>
  <c r="G213"/>
  <c r="G202"/>
  <c r="G201"/>
  <c r="G199"/>
  <c r="G198"/>
  <c r="G196"/>
  <c r="G195"/>
  <c r="D193"/>
  <c r="G193"/>
  <c r="D192"/>
  <c r="G192"/>
  <c r="D191"/>
  <c r="G191"/>
  <c r="D190"/>
  <c r="G190"/>
  <c r="D189"/>
  <c r="G189"/>
  <c r="G173"/>
  <c r="G161"/>
  <c r="G151"/>
  <c r="D150"/>
  <c r="G150" s="1"/>
  <c r="G135"/>
  <c r="F134"/>
  <c r="F133"/>
  <c r="E124"/>
  <c r="E125"/>
  <c r="E126" s="1"/>
  <c r="E127" s="1"/>
  <c r="E128" s="1"/>
  <c r="E122"/>
  <c r="F121"/>
  <c r="F122"/>
  <c r="G110"/>
  <c r="G98"/>
  <c r="G97"/>
  <c r="G96"/>
  <c r="G95"/>
  <c r="E61"/>
  <c r="C61"/>
  <c r="B61"/>
  <c r="B60"/>
  <c r="C59"/>
  <c r="G58"/>
  <c r="F57"/>
  <c r="F56"/>
  <c r="F55"/>
  <c r="F54"/>
  <c r="E42"/>
  <c r="E57" s="1"/>
  <c r="C42"/>
  <c r="B42"/>
  <c r="B57"/>
  <c r="E41"/>
  <c r="E56"/>
  <c r="C41"/>
  <c r="C56"/>
  <c r="B41"/>
  <c r="B56"/>
  <c r="E40"/>
  <c r="E55"/>
  <c r="C40"/>
  <c r="C55"/>
  <c r="B40"/>
  <c r="B55"/>
  <c r="E39"/>
  <c r="E54"/>
  <c r="D39"/>
  <c r="D54"/>
  <c r="C39"/>
  <c r="C54"/>
  <c r="B39"/>
  <c r="B54"/>
  <c r="G10"/>
  <c r="C3"/>
  <c r="E33" i="27"/>
  <c r="E32"/>
  <c r="E31"/>
  <c r="E30"/>
  <c r="I252" i="20"/>
  <c r="E27" i="27"/>
  <c r="E26"/>
  <c r="E25"/>
  <c r="G973" i="14"/>
  <c r="G926"/>
  <c r="G909"/>
  <c r="J902"/>
  <c r="J901"/>
  <c r="E13" i="27"/>
  <c r="H43" i="22"/>
  <c r="N63"/>
  <c r="G10"/>
  <c r="S33" i="26"/>
  <c r="J33"/>
  <c r="F30" i="25"/>
  <c r="I30"/>
  <c r="D20" i="4"/>
  <c r="A2" i="28" s="1"/>
  <c r="G12" i="25"/>
  <c r="G11"/>
  <c r="A6" i="13"/>
  <c r="A7"/>
  <c r="A8" s="1"/>
  <c r="A9" s="1"/>
  <c r="A10" s="1"/>
  <c r="A11" s="1"/>
  <c r="A12" s="1"/>
  <c r="A13" s="1"/>
  <c r="A14" s="1"/>
  <c r="A15" s="1"/>
  <c r="A16" s="1"/>
  <c r="A17" s="1"/>
  <c r="A18" s="1"/>
  <c r="A19" s="1"/>
  <c r="A20" s="1"/>
  <c r="A21" s="1"/>
  <c r="A22" s="1"/>
  <c r="A23" s="1"/>
  <c r="A24" s="1"/>
  <c r="A25" s="1"/>
  <c r="A26" s="1"/>
  <c r="A27" s="1"/>
  <c r="F249" i="20"/>
  <c r="I249" s="1"/>
  <c r="I232"/>
  <c r="H231"/>
  <c r="F231"/>
  <c r="I230"/>
  <c r="F229"/>
  <c r="I229" s="1"/>
  <c r="B345" i="1"/>
  <c r="I200" i="20"/>
  <c r="I199"/>
  <c r="I198"/>
  <c r="I197"/>
  <c r="I196"/>
  <c r="I195"/>
  <c r="I194"/>
  <c r="I193"/>
  <c r="I192"/>
  <c r="I191"/>
  <c r="F189"/>
  <c r="I189"/>
  <c r="F188"/>
  <c r="I188"/>
  <c r="G187"/>
  <c r="F187"/>
  <c r="F186"/>
  <c r="F184"/>
  <c r="I184" s="1"/>
  <c r="G183"/>
  <c r="G185" s="1"/>
  <c r="F183"/>
  <c r="I183" s="1"/>
  <c r="F182"/>
  <c r="I182" s="1"/>
  <c r="I224"/>
  <c r="I223"/>
  <c r="I222"/>
  <c r="I221"/>
  <c r="F220"/>
  <c r="I220" s="1"/>
  <c r="F219"/>
  <c r="I219" s="1"/>
  <c r="F218"/>
  <c r="I218" s="1"/>
  <c r="F217"/>
  <c r="I217" s="1"/>
  <c r="H216"/>
  <c r="F216"/>
  <c r="H215"/>
  <c r="F215"/>
  <c r="I215" s="1"/>
  <c r="H214"/>
  <c r="F214"/>
  <c r="F211"/>
  <c r="F210"/>
  <c r="F208"/>
  <c r="F207"/>
  <c r="H206"/>
  <c r="F206"/>
  <c r="H205"/>
  <c r="F205"/>
  <c r="H204"/>
  <c r="F204"/>
  <c r="H203"/>
  <c r="F203"/>
  <c r="H202"/>
  <c r="H212" s="1"/>
  <c r="I212" s="1"/>
  <c r="F202"/>
  <c r="I202" s="1"/>
  <c r="I111"/>
  <c r="I110"/>
  <c r="I113"/>
  <c r="I112"/>
  <c r="F109"/>
  <c r="I109" s="1"/>
  <c r="F108"/>
  <c r="I108" s="1"/>
  <c r="F107"/>
  <c r="I107" s="1"/>
  <c r="F106"/>
  <c r="I106" s="1"/>
  <c r="F105"/>
  <c r="I105" s="1"/>
  <c r="F104"/>
  <c r="I104" s="1"/>
  <c r="I98"/>
  <c r="I97"/>
  <c r="I96"/>
  <c r="I95"/>
  <c r="I94"/>
  <c r="I93"/>
  <c r="I92"/>
  <c r="I91"/>
  <c r="I90"/>
  <c r="I89"/>
  <c r="F87"/>
  <c r="I87" s="1"/>
  <c r="F86"/>
  <c r="I86" s="1"/>
  <c r="G85"/>
  <c r="F85"/>
  <c r="F84"/>
  <c r="F82"/>
  <c r="I82" s="1"/>
  <c r="F81"/>
  <c r="G81"/>
  <c r="G83"/>
  <c r="F80"/>
  <c r="I80"/>
  <c r="I158"/>
  <c r="I160"/>
  <c r="F157"/>
  <c r="I157" s="1"/>
  <c r="H159"/>
  <c r="F71"/>
  <c r="I71" s="1"/>
  <c r="H143"/>
  <c r="H70"/>
  <c r="F70"/>
  <c r="H144"/>
  <c r="F144"/>
  <c r="F235" i="1"/>
  <c r="I235" s="1"/>
  <c r="I152" i="20"/>
  <c r="F143"/>
  <c r="H142"/>
  <c r="F142"/>
  <c r="I151"/>
  <c r="I150"/>
  <c r="I149"/>
  <c r="F147"/>
  <c r="I147"/>
  <c r="F146"/>
  <c r="I146"/>
  <c r="F145"/>
  <c r="I145"/>
  <c r="F148"/>
  <c r="I148"/>
  <c r="H130"/>
  <c r="H140"/>
  <c r="F136"/>
  <c r="F135"/>
  <c r="H134"/>
  <c r="H133"/>
  <c r="H132"/>
  <c r="H131"/>
  <c r="F139"/>
  <c r="J24" i="24"/>
  <c r="L19"/>
  <c r="N19" s="1"/>
  <c r="L18"/>
  <c r="K22"/>
  <c r="J22"/>
  <c r="F138" i="20"/>
  <c r="F134"/>
  <c r="F133"/>
  <c r="F132"/>
  <c r="I132" s="1"/>
  <c r="F131"/>
  <c r="F130"/>
  <c r="I13" i="24"/>
  <c r="M16"/>
  <c r="M7"/>
  <c r="K15"/>
  <c r="P9"/>
  <c r="P11" s="1"/>
  <c r="K9"/>
  <c r="J9"/>
  <c r="J11"/>
  <c r="M8"/>
  <c r="N7"/>
  <c r="N9" s="1"/>
  <c r="I124" i="20"/>
  <c r="I123"/>
  <c r="G122"/>
  <c r="F122"/>
  <c r="I118"/>
  <c r="D29" i="41" s="1"/>
  <c r="I74" i="20"/>
  <c r="I73"/>
  <c r="H69"/>
  <c r="F69"/>
  <c r="F68"/>
  <c r="H67"/>
  <c r="F67"/>
  <c r="F66"/>
  <c r="H65"/>
  <c r="I65"/>
  <c r="I72"/>
  <c r="H68"/>
  <c r="H66"/>
  <c r="H64"/>
  <c r="F64"/>
  <c r="I58"/>
  <c r="H57"/>
  <c r="H56"/>
  <c r="F56"/>
  <c r="H55"/>
  <c r="I55" s="1"/>
  <c r="F54"/>
  <c r="F57" s="1"/>
  <c r="I57" s="1"/>
  <c r="H53"/>
  <c r="H54" s="1"/>
  <c r="I54" s="1"/>
  <c r="F53"/>
  <c r="I31"/>
  <c r="I48"/>
  <c r="I47"/>
  <c r="I49"/>
  <c r="I46"/>
  <c r="I45"/>
  <c r="I44"/>
  <c r="I43"/>
  <c r="I36"/>
  <c r="F23"/>
  <c r="I23" s="1"/>
  <c r="F21"/>
  <c r="I21" s="1"/>
  <c r="F20"/>
  <c r="I20" s="1"/>
  <c r="I24"/>
  <c r="I22"/>
  <c r="I19"/>
  <c r="I14"/>
  <c r="I13"/>
  <c r="I12"/>
  <c r="I11"/>
  <c r="I10"/>
  <c r="D34" i="41"/>
  <c r="I380" i="1"/>
  <c r="C23" i="27" s="1"/>
  <c r="E971" i="14"/>
  <c r="I374" i="1"/>
  <c r="E924" i="14"/>
  <c r="I407" i="1"/>
  <c r="E45" i="22" s="1"/>
  <c r="I187" i="20"/>
  <c r="H210"/>
  <c r="I210" s="1"/>
  <c r="H207"/>
  <c r="I206"/>
  <c r="I214"/>
  <c r="I203"/>
  <c r="I204"/>
  <c r="I205"/>
  <c r="I207"/>
  <c r="H213"/>
  <c r="I213"/>
  <c r="H208"/>
  <c r="I208"/>
  <c r="H211"/>
  <c r="I211"/>
  <c r="I216"/>
  <c r="H209"/>
  <c r="I209" s="1"/>
  <c r="I81"/>
  <c r="I85"/>
  <c r="I70"/>
  <c r="I144"/>
  <c r="I142"/>
  <c r="I143"/>
  <c r="I69"/>
  <c r="H138"/>
  <c r="I138" s="1"/>
  <c r="H139"/>
  <c r="H135"/>
  <c r="I68"/>
  <c r="I67"/>
  <c r="H137"/>
  <c r="I137" s="1"/>
  <c r="H141"/>
  <c r="I66"/>
  <c r="H136"/>
  <c r="M10" i="24"/>
  <c r="I64" i="20"/>
  <c r="O118"/>
  <c r="I53"/>
  <c r="I56"/>
  <c r="P645" i="14"/>
  <c r="P644"/>
  <c r="O583"/>
  <c r="N583"/>
  <c r="L583"/>
  <c r="J583"/>
  <c r="I316" i="1"/>
  <c r="G315"/>
  <c r="F315"/>
  <c r="I377"/>
  <c r="T377"/>
  <c r="U377" s="1"/>
  <c r="F929" i="14"/>
  <c r="G929" s="1"/>
  <c r="G925"/>
  <c r="F976"/>
  <c r="G976" s="1"/>
  <c r="G972"/>
  <c r="G996"/>
  <c r="G997" s="1"/>
  <c r="J252" i="20" s="1"/>
  <c r="K252" s="1"/>
  <c r="T252" s="1"/>
  <c r="G1004" i="14"/>
  <c r="G1005" s="1"/>
  <c r="J249" i="20" s="1"/>
  <c r="G1000" i="14"/>
  <c r="G1001" s="1"/>
  <c r="G992"/>
  <c r="G993" s="1"/>
  <c r="F924" s="1"/>
  <c r="H876"/>
  <c r="F796"/>
  <c r="G796" s="1"/>
  <c r="F786"/>
  <c r="G786" s="1"/>
  <c r="F770"/>
  <c r="G770" s="1"/>
  <c r="F755"/>
  <c r="G755" s="1"/>
  <c r="F704"/>
  <c r="G704" s="1"/>
  <c r="E643"/>
  <c r="P643" s="1"/>
  <c r="G656"/>
  <c r="C493"/>
  <c r="E487"/>
  <c r="C487"/>
  <c r="C465"/>
  <c r="E458"/>
  <c r="C458"/>
  <c r="C438"/>
  <c r="E431"/>
  <c r="C431"/>
  <c r="C413"/>
  <c r="D410"/>
  <c r="E410" s="1"/>
  <c r="P410" s="1"/>
  <c r="E406"/>
  <c r="C406"/>
  <c r="C391"/>
  <c r="C380"/>
  <c r="E372"/>
  <c r="C372"/>
  <c r="G367"/>
  <c r="D378"/>
  <c r="E378" s="1"/>
  <c r="D377"/>
  <c r="E377" s="1"/>
  <c r="P377" s="1"/>
  <c r="E328"/>
  <c r="E361"/>
  <c r="C361"/>
  <c r="E272"/>
  <c r="E342"/>
  <c r="C342"/>
  <c r="E316"/>
  <c r="E304"/>
  <c r="E292"/>
  <c r="E280"/>
  <c r="F270"/>
  <c r="G270" s="1"/>
  <c r="P270" s="1"/>
  <c r="F268"/>
  <c r="G268" s="1"/>
  <c r="P268" s="1"/>
  <c r="E253"/>
  <c r="E242"/>
  <c r="D213"/>
  <c r="D205"/>
  <c r="G205"/>
  <c r="P205" s="1"/>
  <c r="D197"/>
  <c r="G197" s="1"/>
  <c r="P197" s="1"/>
  <c r="G185"/>
  <c r="P185" s="1"/>
  <c r="F184"/>
  <c r="G184" s="1"/>
  <c r="P184" s="1"/>
  <c r="G183"/>
  <c r="P183" s="1"/>
  <c r="F182"/>
  <c r="G182" s="1"/>
  <c r="P182" s="1"/>
  <c r="F160"/>
  <c r="G160" s="1"/>
  <c r="P160" s="1"/>
  <c r="G161"/>
  <c r="P161" s="1"/>
  <c r="D13" i="15"/>
  <c r="L22"/>
  <c r="L13"/>
  <c r="O409" i="14"/>
  <c r="O416" s="1"/>
  <c r="Q145" i="28" s="1"/>
  <c r="N409" i="14"/>
  <c r="N416" s="1"/>
  <c r="P145" i="28" s="1"/>
  <c r="M409" i="14"/>
  <c r="M416" s="1"/>
  <c r="O145" i="28" s="1"/>
  <c r="K409" i="14"/>
  <c r="K416" s="1"/>
  <c r="M145" i="28" s="1"/>
  <c r="J409" i="14"/>
  <c r="J416" s="1"/>
  <c r="L145" i="28" s="1"/>
  <c r="H409" i="14"/>
  <c r="H416" s="1"/>
  <c r="J145" i="28" s="1"/>
  <c r="D411" i="14"/>
  <c r="G411" s="1"/>
  <c r="I236" i="1"/>
  <c r="H234"/>
  <c r="F234"/>
  <c r="H233"/>
  <c r="F233"/>
  <c r="H232"/>
  <c r="F232"/>
  <c r="H231"/>
  <c r="F231"/>
  <c r="O373" i="14"/>
  <c r="N373"/>
  <c r="M373"/>
  <c r="K373"/>
  <c r="J373"/>
  <c r="H373"/>
  <c r="H395"/>
  <c r="O300"/>
  <c r="O308" s="1"/>
  <c r="S40" i="20" s="1"/>
  <c r="D306" i="14"/>
  <c r="P302"/>
  <c r="P301"/>
  <c r="F301"/>
  <c r="G301" s="1"/>
  <c r="L99" i="1"/>
  <c r="I114"/>
  <c r="C9" i="13" s="1"/>
  <c r="I94" i="1"/>
  <c r="S94" s="1"/>
  <c r="A4" i="23"/>
  <c r="A5" s="1"/>
  <c r="A6" s="1"/>
  <c r="A7" s="1"/>
  <c r="A8" s="1"/>
  <c r="A9" s="1"/>
  <c r="A10" s="1"/>
  <c r="A11" s="1"/>
  <c r="A12" s="1"/>
  <c r="A13" s="1"/>
  <c r="A14" s="1"/>
  <c r="A15" s="1"/>
  <c r="A16" s="1"/>
  <c r="A17" s="1"/>
  <c r="A18" s="1"/>
  <c r="A19" s="1"/>
  <c r="A20" s="1"/>
  <c r="A21" s="1"/>
  <c r="A22" s="1"/>
  <c r="B10" i="10"/>
  <c r="C10"/>
  <c r="C11" s="1"/>
  <c r="D10"/>
  <c r="E10"/>
  <c r="E11" s="1"/>
  <c r="E12" s="1"/>
  <c r="E13" s="1"/>
  <c r="E14" s="1"/>
  <c r="E15" s="1"/>
  <c r="E16" s="1"/>
  <c r="E17" s="1"/>
  <c r="E18" s="1"/>
  <c r="E19" s="1"/>
  <c r="E20" s="1"/>
  <c r="E21" s="1"/>
  <c r="E22" s="1"/>
  <c r="E23" s="1"/>
  <c r="E24" s="1"/>
  <c r="E25" s="1"/>
  <c r="E26" s="1"/>
  <c r="E27" s="1"/>
  <c r="E28" s="1"/>
  <c r="E29" s="1"/>
  <c r="E30" s="1"/>
  <c r="E31" s="1"/>
  <c r="E32" s="1"/>
  <c r="E33" s="1"/>
  <c r="E34" s="1"/>
  <c r="E35" s="1"/>
  <c r="E36" s="1"/>
  <c r="E37" s="1"/>
  <c r="E38" s="1"/>
  <c r="E39" s="1"/>
  <c r="E40" s="1"/>
  <c r="E41" s="1"/>
  <c r="E42" s="1"/>
  <c r="E43" s="1"/>
  <c r="E44" s="1"/>
  <c r="E45" s="1"/>
  <c r="E46" s="1"/>
  <c r="E47" s="1"/>
  <c r="E48" s="1"/>
  <c r="E49" s="1"/>
  <c r="E50" s="1"/>
  <c r="E51" s="1"/>
  <c r="E52" s="1"/>
  <c r="E53" s="1"/>
  <c r="E54" s="1"/>
  <c r="E55" s="1"/>
  <c r="E56" s="1"/>
  <c r="E57" s="1"/>
  <c r="E58" s="1"/>
  <c r="E59" s="1"/>
  <c r="E60" s="1"/>
  <c r="E61" s="1"/>
  <c r="E62" s="1"/>
  <c r="E63" s="1"/>
  <c r="E64" s="1"/>
  <c r="E65" s="1"/>
  <c r="E66" s="1"/>
  <c r="E67" s="1"/>
  <c r="E68" s="1"/>
  <c r="E69" s="1"/>
  <c r="E70" s="1"/>
  <c r="E71" s="1"/>
  <c r="E72" s="1"/>
  <c r="E73" s="1"/>
  <c r="E74" s="1"/>
  <c r="E75" s="1"/>
  <c r="E76" s="1"/>
  <c r="E77" s="1"/>
  <c r="E78" s="1"/>
  <c r="E79" s="1"/>
  <c r="E80" s="1"/>
  <c r="E81" s="1"/>
  <c r="E82" s="1"/>
  <c r="E83" s="1"/>
  <c r="E84" s="1"/>
  <c r="E85" s="1"/>
  <c r="E86" s="1"/>
  <c r="E87" s="1"/>
  <c r="E88" s="1"/>
  <c r="E89" s="1"/>
  <c r="E90" s="1"/>
  <c r="E91" s="1"/>
  <c r="E92" s="1"/>
  <c r="E93" s="1"/>
  <c r="E94" s="1"/>
  <c r="E95" s="1"/>
  <c r="E96" s="1"/>
  <c r="E97" s="1"/>
  <c r="E98" s="1"/>
  <c r="E99" s="1"/>
  <c r="E100" s="1"/>
  <c r="E101" s="1"/>
  <c r="E102" s="1"/>
  <c r="E103" s="1"/>
  <c r="E104" s="1"/>
  <c r="F10"/>
  <c r="B11"/>
  <c r="B12" s="1"/>
  <c r="B13" s="1"/>
  <c r="B14" s="1"/>
  <c r="B15" s="1"/>
  <c r="B16" s="1"/>
  <c r="B17" s="1"/>
  <c r="B18" s="1"/>
  <c r="B19" s="1"/>
  <c r="B20" s="1"/>
  <c r="B21" s="1"/>
  <c r="B22" s="1"/>
  <c r="B23" s="1"/>
  <c r="B24" s="1"/>
  <c r="B25" s="1"/>
  <c r="B26" s="1"/>
  <c r="B27" s="1"/>
  <c r="D11"/>
  <c r="D12" s="1"/>
  <c r="D13" s="1"/>
  <c r="D14" s="1"/>
  <c r="D15" s="1"/>
  <c r="D16" s="1"/>
  <c r="D17" s="1"/>
  <c r="D18" s="1"/>
  <c r="D19" s="1"/>
  <c r="D20" s="1"/>
  <c r="D21" s="1"/>
  <c r="D22" s="1"/>
  <c r="D23" s="1"/>
  <c r="D24" s="1"/>
  <c r="D25" s="1"/>
  <c r="D26" s="1"/>
  <c r="D27" s="1"/>
  <c r="D28" s="1"/>
  <c r="D29" s="1"/>
  <c r="D30" s="1"/>
  <c r="D31" s="1"/>
  <c r="D32" s="1"/>
  <c r="D33" s="1"/>
  <c r="D34" s="1"/>
  <c r="D35" s="1"/>
  <c r="D36" s="1"/>
  <c r="D37" s="1"/>
  <c r="D38" s="1"/>
  <c r="D39" s="1"/>
  <c r="D40" s="1"/>
  <c r="D41" s="1"/>
  <c r="D42" s="1"/>
  <c r="D43" s="1"/>
  <c r="D44" s="1"/>
  <c r="D45" s="1"/>
  <c r="D46" s="1"/>
  <c r="D47" s="1"/>
  <c r="D48" s="1"/>
  <c r="D49" s="1"/>
  <c r="D50" s="1"/>
  <c r="D51" s="1"/>
  <c r="D52" s="1"/>
  <c r="D53" s="1"/>
  <c r="D54" s="1"/>
  <c r="D55" s="1"/>
  <c r="D56" s="1"/>
  <c r="D57" s="1"/>
  <c r="D58" s="1"/>
  <c r="D59" s="1"/>
  <c r="D60" s="1"/>
  <c r="D61" s="1"/>
  <c r="D62" s="1"/>
  <c r="F11"/>
  <c r="F12" s="1"/>
  <c r="F13" s="1"/>
  <c r="F14" s="1"/>
  <c r="F15" s="1"/>
  <c r="F16" s="1"/>
  <c r="F17" s="1"/>
  <c r="F18" s="1"/>
  <c r="F19" s="1"/>
  <c r="F20" s="1"/>
  <c r="F21" s="1"/>
  <c r="F22" s="1"/>
  <c r="F23" s="1"/>
  <c r="F24" s="1"/>
  <c r="F25" s="1"/>
  <c r="F26" s="1"/>
  <c r="F27" s="1"/>
  <c r="F28" s="1"/>
  <c r="F29" s="1"/>
  <c r="F30" s="1"/>
  <c r="F31" s="1"/>
  <c r="F32" s="1"/>
  <c r="F33" s="1"/>
  <c r="F34" s="1"/>
  <c r="F35" s="1"/>
  <c r="F36" s="1"/>
  <c r="F37" s="1"/>
  <c r="F38" s="1"/>
  <c r="F39" s="1"/>
  <c r="F40" s="1"/>
  <c r="F41" s="1"/>
  <c r="F42" s="1"/>
  <c r="F43" s="1"/>
  <c r="F44" s="1"/>
  <c r="F45" s="1"/>
  <c r="F46" s="1"/>
  <c r="F47" s="1"/>
  <c r="F48" s="1"/>
  <c r="F49" s="1"/>
  <c r="F50" s="1"/>
  <c r="F51" s="1"/>
  <c r="F52" s="1"/>
  <c r="F53" s="1"/>
  <c r="F54" s="1"/>
  <c r="F55" s="1"/>
  <c r="F56" s="1"/>
  <c r="F57" s="1"/>
  <c r="F58" s="1"/>
  <c r="F59" s="1"/>
  <c r="F60" s="1"/>
  <c r="F61" s="1"/>
  <c r="F62" s="1"/>
  <c r="F63" s="1"/>
  <c r="F64" s="1"/>
  <c r="F65" s="1"/>
  <c r="F66" s="1"/>
  <c r="F67" s="1"/>
  <c r="F68" s="1"/>
  <c r="F69" s="1"/>
  <c r="F70" s="1"/>
  <c r="F71" s="1"/>
  <c r="F72" s="1"/>
  <c r="F73" s="1"/>
  <c r="F74" s="1"/>
  <c r="F75" s="1"/>
  <c r="F76" s="1"/>
  <c r="F77" s="1"/>
  <c r="F78" s="1"/>
  <c r="F79" s="1"/>
  <c r="F80" s="1"/>
  <c r="F81" s="1"/>
  <c r="F82" s="1"/>
  <c r="F83" s="1"/>
  <c r="F84" s="1"/>
  <c r="F85" s="1"/>
  <c r="F86" s="1"/>
  <c r="F87" s="1"/>
  <c r="F88" s="1"/>
  <c r="F89" s="1"/>
  <c r="F90" s="1"/>
  <c r="F91" s="1"/>
  <c r="F92" s="1"/>
  <c r="F93" s="1"/>
  <c r="F94" s="1"/>
  <c r="F95" s="1"/>
  <c r="F96" s="1"/>
  <c r="F97" s="1"/>
  <c r="F98" s="1"/>
  <c r="F99" s="1"/>
  <c r="F100" s="1"/>
  <c r="F101" s="1"/>
  <c r="F102" s="1"/>
  <c r="F103" s="1"/>
  <c r="F104" s="1"/>
  <c r="C3" i="9"/>
  <c r="K4"/>
  <c r="M4"/>
  <c r="O4"/>
  <c r="P7"/>
  <c r="A8"/>
  <c r="P8"/>
  <c r="A9"/>
  <c r="C9"/>
  <c r="D9"/>
  <c r="H9" s="1"/>
  <c r="I9" s="1"/>
  <c r="P9" s="1"/>
  <c r="F9"/>
  <c r="G9"/>
  <c r="A10"/>
  <c r="C10"/>
  <c r="D10"/>
  <c r="H10" s="1"/>
  <c r="I10" s="1"/>
  <c r="P10" s="1"/>
  <c r="F10"/>
  <c r="G10"/>
  <c r="A11"/>
  <c r="C11"/>
  <c r="D11"/>
  <c r="H11" s="1"/>
  <c r="I11" s="1"/>
  <c r="P11" s="1"/>
  <c r="F21" i="8" s="1"/>
  <c r="G21" s="1"/>
  <c r="G24" s="1"/>
  <c r="F11" i="9"/>
  <c r="G11"/>
  <c r="A12"/>
  <c r="C12"/>
  <c r="D12"/>
  <c r="H12" s="1"/>
  <c r="I12" s="1"/>
  <c r="F12"/>
  <c r="G12"/>
  <c r="L12"/>
  <c r="M12"/>
  <c r="M17" s="1"/>
  <c r="A13"/>
  <c r="C13"/>
  <c r="D13"/>
  <c r="H13" s="1"/>
  <c r="I13" s="1"/>
  <c r="F13"/>
  <c r="G13"/>
  <c r="J13"/>
  <c r="N13"/>
  <c r="A14"/>
  <c r="C14"/>
  <c r="D14"/>
  <c r="H14" s="1"/>
  <c r="I14" s="1"/>
  <c r="F14"/>
  <c r="G14"/>
  <c r="J14"/>
  <c r="N14"/>
  <c r="A15"/>
  <c r="C15"/>
  <c r="D15"/>
  <c r="H15" s="1"/>
  <c r="I15" s="1"/>
  <c r="F15"/>
  <c r="G15"/>
  <c r="J15"/>
  <c r="N15"/>
  <c r="C16"/>
  <c r="D16"/>
  <c r="H16" s="1"/>
  <c r="I16" s="1"/>
  <c r="P16" s="1"/>
  <c r="F16" i="8" s="1"/>
  <c r="G16" s="1"/>
  <c r="G19" s="1"/>
  <c r="F16" i="9"/>
  <c r="G16"/>
  <c r="N16"/>
  <c r="H17"/>
  <c r="I17" s="1"/>
  <c r="L17"/>
  <c r="C18"/>
  <c r="D18"/>
  <c r="H18" s="1"/>
  <c r="I18" s="1"/>
  <c r="F18"/>
  <c r="G18"/>
  <c r="J18"/>
  <c r="N18"/>
  <c r="C19"/>
  <c r="D19"/>
  <c r="H19" s="1"/>
  <c r="I19" s="1"/>
  <c r="F19"/>
  <c r="G19"/>
  <c r="J19"/>
  <c r="K19"/>
  <c r="N19"/>
  <c r="F20"/>
  <c r="G20"/>
  <c r="C21"/>
  <c r="D21"/>
  <c r="H21" s="1"/>
  <c r="I21" s="1"/>
  <c r="F21"/>
  <c r="G21"/>
  <c r="J21"/>
  <c r="N21"/>
  <c r="M8" i="15"/>
  <c r="F399" i="14" s="1"/>
  <c r="G399" s="1"/>
  <c r="I399" s="1"/>
  <c r="I409" s="1"/>
  <c r="I417" s="1"/>
  <c r="M76" i="20" s="1"/>
  <c r="E29" i="27"/>
  <c r="L12" i="15"/>
  <c r="F14"/>
  <c r="M14" s="1"/>
  <c r="F22" i="42" s="1"/>
  <c r="L14" i="15"/>
  <c r="G15"/>
  <c r="J15"/>
  <c r="K15"/>
  <c r="G16"/>
  <c r="I16"/>
  <c r="L16"/>
  <c r="G17"/>
  <c r="I17" s="1"/>
  <c r="L17"/>
  <c r="G18"/>
  <c r="I18" s="1"/>
  <c r="L18"/>
  <c r="G19"/>
  <c r="I19" s="1"/>
  <c r="L19"/>
  <c r="G20"/>
  <c r="I20" s="1"/>
  <c r="L20"/>
  <c r="G21"/>
  <c r="L21"/>
  <c r="F22"/>
  <c r="M22" s="1"/>
  <c r="G22"/>
  <c r="M23"/>
  <c r="M24"/>
  <c r="M25"/>
  <c r="M26"/>
  <c r="M27"/>
  <c r="G28"/>
  <c r="M28"/>
  <c r="F63" i="14" s="1"/>
  <c r="G63" s="1"/>
  <c r="D64" s="1"/>
  <c r="G64" s="1"/>
  <c r="G29" i="15"/>
  <c r="M29"/>
  <c r="G30"/>
  <c r="M30"/>
  <c r="G31"/>
  <c r="M31"/>
  <c r="F403" i="14" s="1"/>
  <c r="G403" s="1"/>
  <c r="P403" s="1"/>
  <c r="G32" i="15"/>
  <c r="M32"/>
  <c r="M33"/>
  <c r="F691" i="14" s="1"/>
  <c r="G691" s="1"/>
  <c r="P691" s="1"/>
  <c r="H42" i="15"/>
  <c r="B14" i="14"/>
  <c r="B25"/>
  <c r="B59" s="1"/>
  <c r="B69" s="1"/>
  <c r="B81" s="1"/>
  <c r="B105" s="1"/>
  <c r="J54" i="1"/>
  <c r="I23" i="14"/>
  <c r="J23"/>
  <c r="K23"/>
  <c r="M23"/>
  <c r="N23"/>
  <c r="P23"/>
  <c r="H34"/>
  <c r="I34"/>
  <c r="J34"/>
  <c r="K34"/>
  <c r="M34"/>
  <c r="N34"/>
  <c r="P34"/>
  <c r="G42"/>
  <c r="P42" s="1"/>
  <c r="P45" s="1"/>
  <c r="I45"/>
  <c r="K45"/>
  <c r="M45"/>
  <c r="N45"/>
  <c r="H52"/>
  <c r="H57" s="1"/>
  <c r="I57"/>
  <c r="J57"/>
  <c r="K57"/>
  <c r="M57"/>
  <c r="N57"/>
  <c r="P57"/>
  <c r="I68"/>
  <c r="J68"/>
  <c r="K68"/>
  <c r="M68"/>
  <c r="N68"/>
  <c r="J80"/>
  <c r="L80"/>
  <c r="M80"/>
  <c r="N80"/>
  <c r="F90"/>
  <c r="G90" s="1"/>
  <c r="D91" s="1"/>
  <c r="G91" s="1"/>
  <c r="P91" s="1"/>
  <c r="J92"/>
  <c r="L92"/>
  <c r="M92"/>
  <c r="N92"/>
  <c r="F102"/>
  <c r="G102" s="1"/>
  <c r="D103" s="1"/>
  <c r="G103" s="1"/>
  <c r="P103" s="1"/>
  <c r="J104"/>
  <c r="J588" s="1"/>
  <c r="J595" s="1"/>
  <c r="L104"/>
  <c r="L712" s="1"/>
  <c r="L718" s="1"/>
  <c r="L720" s="1"/>
  <c r="M104"/>
  <c r="M588" s="1"/>
  <c r="M595" s="1"/>
  <c r="N104"/>
  <c r="N712" s="1"/>
  <c r="N718" s="1"/>
  <c r="N720" s="1"/>
  <c r="F114"/>
  <c r="G114" s="1"/>
  <c r="P114" s="1"/>
  <c r="P116" s="1"/>
  <c r="J116"/>
  <c r="L116"/>
  <c r="M116"/>
  <c r="N116"/>
  <c r="F126"/>
  <c r="G126" s="1"/>
  <c r="J128"/>
  <c r="L128"/>
  <c r="M128"/>
  <c r="N128"/>
  <c r="F138"/>
  <c r="G138" s="1"/>
  <c r="J140"/>
  <c r="L140"/>
  <c r="M140"/>
  <c r="N140"/>
  <c r="F150"/>
  <c r="G150" s="1"/>
  <c r="D151" s="1"/>
  <c r="G151" s="1"/>
  <c r="P151" s="1"/>
  <c r="J152"/>
  <c r="L152"/>
  <c r="M152"/>
  <c r="N152"/>
  <c r="G159"/>
  <c r="P159" s="1"/>
  <c r="F163"/>
  <c r="G163" s="1"/>
  <c r="P163" s="1"/>
  <c r="F164"/>
  <c r="G164" s="1"/>
  <c r="P164" s="1"/>
  <c r="P165"/>
  <c r="J169"/>
  <c r="K169"/>
  <c r="M169"/>
  <c r="F179"/>
  <c r="G179" s="1"/>
  <c r="P179" s="1"/>
  <c r="F180"/>
  <c r="G180" s="1"/>
  <c r="P180" s="1"/>
  <c r="G186"/>
  <c r="P186"/>
  <c r="J188"/>
  <c r="J192"/>
  <c r="J200" s="1"/>
  <c r="K188"/>
  <c r="K192" s="1"/>
  <c r="K200" s="1"/>
  <c r="N188"/>
  <c r="N192" s="1"/>
  <c r="N200" s="1"/>
  <c r="P195"/>
  <c r="P196"/>
  <c r="P203"/>
  <c r="P204"/>
  <c r="P211"/>
  <c r="P212"/>
  <c r="E221"/>
  <c r="E260" s="1"/>
  <c r="E222"/>
  <c r="E261" s="1"/>
  <c r="E223"/>
  <c r="E262" s="1"/>
  <c r="F226"/>
  <c r="G226" s="1"/>
  <c r="F227"/>
  <c r="G227" s="1"/>
  <c r="P227" s="1"/>
  <c r="F233"/>
  <c r="F271" s="1"/>
  <c r="G271" s="1"/>
  <c r="P271" s="1"/>
  <c r="H235"/>
  <c r="H245" s="1"/>
  <c r="J235"/>
  <c r="J256" s="1"/>
  <c r="K235"/>
  <c r="K246" s="1"/>
  <c r="N235"/>
  <c r="N245" s="1"/>
  <c r="F239"/>
  <c r="G239" s="1"/>
  <c r="P239"/>
  <c r="P240"/>
  <c r="D244"/>
  <c r="O246"/>
  <c r="F250"/>
  <c r="G250" s="1"/>
  <c r="P250"/>
  <c r="P251"/>
  <c r="D255"/>
  <c r="O256"/>
  <c r="O257" s="1"/>
  <c r="S16" i="20" s="1"/>
  <c r="F265" i="14"/>
  <c r="G265" s="1"/>
  <c r="F266"/>
  <c r="G266" s="1"/>
  <c r="C272"/>
  <c r="H273"/>
  <c r="H312" s="1"/>
  <c r="J273"/>
  <c r="J300" s="1"/>
  <c r="K273"/>
  <c r="K312" s="1"/>
  <c r="N273"/>
  <c r="N312" s="1"/>
  <c r="F277"/>
  <c r="G277" s="1"/>
  <c r="P277"/>
  <c r="P278"/>
  <c r="D282"/>
  <c r="O284"/>
  <c r="F289"/>
  <c r="G289" s="1"/>
  <c r="P289"/>
  <c r="P290"/>
  <c r="D294"/>
  <c r="J295"/>
  <c r="K295"/>
  <c r="N295"/>
  <c r="J296"/>
  <c r="K296"/>
  <c r="N296"/>
  <c r="O296"/>
  <c r="F313"/>
  <c r="G313" s="1"/>
  <c r="P313"/>
  <c r="P314"/>
  <c r="D318"/>
  <c r="O320"/>
  <c r="B321"/>
  <c r="B334" s="1"/>
  <c r="E322"/>
  <c r="N324" s="1"/>
  <c r="F325"/>
  <c r="G325" s="1"/>
  <c r="P325"/>
  <c r="P326"/>
  <c r="D330"/>
  <c r="O332"/>
  <c r="F338"/>
  <c r="G338" s="1"/>
  <c r="P338" s="1"/>
  <c r="F340"/>
  <c r="G340" s="1"/>
  <c r="P340" s="1"/>
  <c r="F341"/>
  <c r="G341" s="1"/>
  <c r="E344"/>
  <c r="I345"/>
  <c r="J345"/>
  <c r="K345"/>
  <c r="L345"/>
  <c r="M345"/>
  <c r="N345"/>
  <c r="F359"/>
  <c r="F370" s="1"/>
  <c r="G370" s="1"/>
  <c r="P370" s="1"/>
  <c r="F360"/>
  <c r="G360" s="1"/>
  <c r="H362"/>
  <c r="H387" s="1"/>
  <c r="H394" s="1"/>
  <c r="J362"/>
  <c r="K362"/>
  <c r="K376" s="1"/>
  <c r="M362"/>
  <c r="N362"/>
  <c r="N376" s="1"/>
  <c r="O362"/>
  <c r="D388"/>
  <c r="E388" s="1"/>
  <c r="P388" s="1"/>
  <c r="D389"/>
  <c r="E389"/>
  <c r="F404"/>
  <c r="G404" s="1"/>
  <c r="P404" s="1"/>
  <c r="F405"/>
  <c r="G405" s="1"/>
  <c r="P405" s="1"/>
  <c r="H417"/>
  <c r="F429"/>
  <c r="G429" s="1"/>
  <c r="P429" s="1"/>
  <c r="F430"/>
  <c r="G430" s="1"/>
  <c r="G1096" s="1"/>
  <c r="G1104" s="1"/>
  <c r="H432"/>
  <c r="H434" s="1"/>
  <c r="J432"/>
  <c r="J434" s="1"/>
  <c r="L432"/>
  <c r="L434" s="1"/>
  <c r="M432"/>
  <c r="M434" s="1"/>
  <c r="N432"/>
  <c r="N434" s="1"/>
  <c r="O432"/>
  <c r="O434" s="1"/>
  <c r="E435"/>
  <c r="P435" s="1"/>
  <c r="F435"/>
  <c r="G435"/>
  <c r="E436"/>
  <c r="E438" s="1"/>
  <c r="F436"/>
  <c r="G436"/>
  <c r="F456"/>
  <c r="G456" s="1"/>
  <c r="P456" s="1"/>
  <c r="F457"/>
  <c r="G457" s="1"/>
  <c r="P457" s="1"/>
  <c r="H459"/>
  <c r="H461"/>
  <c r="J459"/>
  <c r="J461"/>
  <c r="L459"/>
  <c r="L461"/>
  <c r="M459"/>
  <c r="M461" s="1"/>
  <c r="N459"/>
  <c r="N461" s="1"/>
  <c r="O459"/>
  <c r="O461" s="1"/>
  <c r="E462"/>
  <c r="P462" s="1"/>
  <c r="F462"/>
  <c r="G462"/>
  <c r="E463"/>
  <c r="E465" s="1"/>
  <c r="F463"/>
  <c r="G463"/>
  <c r="D467"/>
  <c r="F476"/>
  <c r="E11" i="27" s="1"/>
  <c r="E12" s="1"/>
  <c r="F484" i="14"/>
  <c r="G484" s="1"/>
  <c r="F485"/>
  <c r="G485" s="1"/>
  <c r="H488"/>
  <c r="H491" s="1"/>
  <c r="J488"/>
  <c r="J491" s="1"/>
  <c r="L488"/>
  <c r="L491" s="1"/>
  <c r="M488"/>
  <c r="M491" s="1"/>
  <c r="N488"/>
  <c r="N491" s="1"/>
  <c r="O488"/>
  <c r="O491" s="1"/>
  <c r="D495"/>
  <c r="B525"/>
  <c r="B549" s="1"/>
  <c r="B607"/>
  <c r="B650" s="1"/>
  <c r="B698" s="1"/>
  <c r="B731" s="1"/>
  <c r="B739" s="1"/>
  <c r="F507"/>
  <c r="G507" s="1"/>
  <c r="I507" s="1"/>
  <c r="F511"/>
  <c r="G511" s="1"/>
  <c r="F512"/>
  <c r="G512" s="1"/>
  <c r="P512" s="1"/>
  <c r="H515"/>
  <c r="H517" s="1"/>
  <c r="J515"/>
  <c r="J517" s="1"/>
  <c r="L515"/>
  <c r="L517" s="1"/>
  <c r="M515"/>
  <c r="M517" s="1"/>
  <c r="N515"/>
  <c r="N517" s="1"/>
  <c r="O515"/>
  <c r="O517" s="1"/>
  <c r="D520"/>
  <c r="G528"/>
  <c r="F531"/>
  <c r="G531" s="1"/>
  <c r="P531" s="1"/>
  <c r="F535"/>
  <c r="G535" s="1"/>
  <c r="P535" s="1"/>
  <c r="F536"/>
  <c r="F580" s="1"/>
  <c r="G580" s="1"/>
  <c r="P580" s="1"/>
  <c r="H539"/>
  <c r="H541" s="1"/>
  <c r="J539"/>
  <c r="J541" s="1"/>
  <c r="L539"/>
  <c r="L541" s="1"/>
  <c r="M539"/>
  <c r="M541" s="1"/>
  <c r="N539"/>
  <c r="N541" s="1"/>
  <c r="O539"/>
  <c r="O541" s="1"/>
  <c r="D544"/>
  <c r="F552"/>
  <c r="E14" i="27" s="1"/>
  <c r="F559" i="14"/>
  <c r="G559" s="1"/>
  <c r="P559" s="1"/>
  <c r="H561"/>
  <c r="H563"/>
  <c r="J561"/>
  <c r="J563"/>
  <c r="L561"/>
  <c r="L563"/>
  <c r="M561"/>
  <c r="M563"/>
  <c r="N561"/>
  <c r="N563"/>
  <c r="O561"/>
  <c r="O563" s="1"/>
  <c r="D566"/>
  <c r="H588"/>
  <c r="H595" s="1"/>
  <c r="H597" s="1"/>
  <c r="L588"/>
  <c r="L595" s="1"/>
  <c r="O588"/>
  <c r="O595" s="1"/>
  <c r="O603" s="1"/>
  <c r="O604" s="1"/>
  <c r="S118" i="20" s="1"/>
  <c r="F589" i="14"/>
  <c r="G589" s="1"/>
  <c r="P589" s="1"/>
  <c r="F591"/>
  <c r="G591" s="1"/>
  <c r="F592"/>
  <c r="G592" s="1"/>
  <c r="P592" s="1"/>
  <c r="F593"/>
  <c r="G593" s="1"/>
  <c r="P593" s="1"/>
  <c r="D600"/>
  <c r="F610"/>
  <c r="G610" s="1"/>
  <c r="G612"/>
  <c r="F613"/>
  <c r="G613" s="1"/>
  <c r="F614"/>
  <c r="G614" s="1"/>
  <c r="D622"/>
  <c r="G631"/>
  <c r="P631" s="1"/>
  <c r="G632"/>
  <c r="F633"/>
  <c r="G633" s="1"/>
  <c r="F634"/>
  <c r="G634" s="1"/>
  <c r="G635"/>
  <c r="G638"/>
  <c r="E642"/>
  <c r="P642"/>
  <c r="F643"/>
  <c r="G643"/>
  <c r="D647"/>
  <c r="G653"/>
  <c r="F655"/>
  <c r="G655" s="1"/>
  <c r="F657" s="1"/>
  <c r="G657" s="1"/>
  <c r="G666"/>
  <c r="G667"/>
  <c r="F668"/>
  <c r="G668" s="1"/>
  <c r="F669"/>
  <c r="G669" s="1"/>
  <c r="F670"/>
  <c r="G670" s="1"/>
  <c r="G673"/>
  <c r="E677"/>
  <c r="G677" s="1"/>
  <c r="E678"/>
  <c r="F678"/>
  <c r="G678"/>
  <c r="D681"/>
  <c r="F688"/>
  <c r="G688" s="1"/>
  <c r="P688" s="1"/>
  <c r="G689"/>
  <c r="F690"/>
  <c r="G690" s="1"/>
  <c r="G693"/>
  <c r="P693"/>
  <c r="G701"/>
  <c r="F703"/>
  <c r="G703" s="1"/>
  <c r="O712"/>
  <c r="O718" s="1"/>
  <c r="O720" s="1"/>
  <c r="G713"/>
  <c r="G715"/>
  <c r="P715" s="1"/>
  <c r="F716"/>
  <c r="G716" s="1"/>
  <c r="P716" s="1"/>
  <c r="H718"/>
  <c r="H720" s="1"/>
  <c r="E721"/>
  <c r="G721" s="1"/>
  <c r="E722"/>
  <c r="P722" s="1"/>
  <c r="F722"/>
  <c r="G722"/>
  <c r="D726"/>
  <c r="F733"/>
  <c r="G733" s="1"/>
  <c r="G734"/>
  <c r="G735"/>
  <c r="G740"/>
  <c r="G741"/>
  <c r="G742"/>
  <c r="G743"/>
  <c r="G744"/>
  <c r="G745"/>
  <c r="G746"/>
  <c r="F747" s="1"/>
  <c r="G747" s="1"/>
  <c r="G748" s="1"/>
  <c r="G749" s="1"/>
  <c r="E748"/>
  <c r="F754"/>
  <c r="G754" s="1"/>
  <c r="F756" s="1"/>
  <c r="G756" s="1"/>
  <c r="F759"/>
  <c r="G759" s="1"/>
  <c r="G760" s="1"/>
  <c r="B765"/>
  <c r="B780" s="1"/>
  <c r="B806" s="1"/>
  <c r="F769"/>
  <c r="G769" s="1"/>
  <c r="F771" s="1"/>
  <c r="G771" s="1"/>
  <c r="F774"/>
  <c r="G774" s="1"/>
  <c r="G775" s="1"/>
  <c r="F785"/>
  <c r="G785" s="1"/>
  <c r="F787" s="1"/>
  <c r="E787"/>
  <c r="F790"/>
  <c r="G790" s="1"/>
  <c r="G791" s="1"/>
  <c r="F795"/>
  <c r="G795" s="1"/>
  <c r="F797" s="1"/>
  <c r="G797" s="1"/>
  <c r="E797"/>
  <c r="F800"/>
  <c r="G800" s="1"/>
  <c r="G801" s="1"/>
  <c r="F807"/>
  <c r="G807" s="1"/>
  <c r="F808"/>
  <c r="G808" s="1"/>
  <c r="F809"/>
  <c r="G809" s="1"/>
  <c r="G810"/>
  <c r="F812"/>
  <c r="G812" s="1"/>
  <c r="F820"/>
  <c r="G820"/>
  <c r="E821"/>
  <c r="F822" s="1"/>
  <c r="G822" s="1"/>
  <c r="F821"/>
  <c r="G821"/>
  <c r="E831"/>
  <c r="G831" s="1"/>
  <c r="E832"/>
  <c r="G832" s="1"/>
  <c r="E838"/>
  <c r="G838" s="1"/>
  <c r="E839"/>
  <c r="G839" s="1"/>
  <c r="E845"/>
  <c r="G845" s="1"/>
  <c r="E846"/>
  <c r="G846" s="1"/>
  <c r="F853"/>
  <c r="G853" s="1"/>
  <c r="G858"/>
  <c r="F859"/>
  <c r="G859" s="1"/>
  <c r="F860"/>
  <c r="G860" s="1"/>
  <c r="F861"/>
  <c r="G861" s="1"/>
  <c r="F862"/>
  <c r="G862" s="1"/>
  <c r="F863"/>
  <c r="G863" s="1"/>
  <c r="H877"/>
  <c r="H878"/>
  <c r="F884"/>
  <c r="G886"/>
  <c r="G889"/>
  <c r="F890"/>
  <c r="G890" s="1"/>
  <c r="F891"/>
  <c r="G891" s="1"/>
  <c r="F892"/>
  <c r="G892" s="1"/>
  <c r="F893"/>
  <c r="G893" s="1"/>
  <c r="F894"/>
  <c r="G894" s="1"/>
  <c r="F895"/>
  <c r="G895" s="1"/>
  <c r="F896"/>
  <c r="G896" s="1"/>
  <c r="H902"/>
  <c r="H903"/>
  <c r="H904"/>
  <c r="F906"/>
  <c r="G908"/>
  <c r="G912"/>
  <c r="F913"/>
  <c r="F930" s="1"/>
  <c r="G930" s="1"/>
  <c r="F914"/>
  <c r="F931" s="1"/>
  <c r="G931" s="1"/>
  <c r="F915"/>
  <c r="G915" s="1"/>
  <c r="F916"/>
  <c r="F933" s="1"/>
  <c r="G933" s="1"/>
  <c r="F917"/>
  <c r="F934" s="1"/>
  <c r="G934" s="1"/>
  <c r="F918"/>
  <c r="G918" s="1"/>
  <c r="F919"/>
  <c r="G919" s="1"/>
  <c r="H943"/>
  <c r="H944"/>
  <c r="H945"/>
  <c r="F947"/>
  <c r="G949"/>
  <c r="G952"/>
  <c r="F953"/>
  <c r="G953" s="1"/>
  <c r="F954"/>
  <c r="F978" s="1"/>
  <c r="G978" s="1"/>
  <c r="F955"/>
  <c r="F979" s="1"/>
  <c r="G979" s="1"/>
  <c r="F956"/>
  <c r="G956" s="1"/>
  <c r="F957"/>
  <c r="G957" s="1"/>
  <c r="F958"/>
  <c r="G958" s="1"/>
  <c r="F959"/>
  <c r="G959" s="1"/>
  <c r="F965"/>
  <c r="G965" s="1"/>
  <c r="F966"/>
  <c r="G966" s="1"/>
  <c r="F967"/>
  <c r="G967" s="1"/>
  <c r="G988"/>
  <c r="G989" s="1"/>
  <c r="G990" s="1"/>
  <c r="G7" i="8"/>
  <c r="G10"/>
  <c r="G14"/>
  <c r="H14"/>
  <c r="G22"/>
  <c r="F29"/>
  <c r="F209" s="1"/>
  <c r="G209" s="1"/>
  <c r="E31"/>
  <c r="G31"/>
  <c r="G35"/>
  <c r="F41"/>
  <c r="G41" s="1"/>
  <c r="G43"/>
  <c r="G47"/>
  <c r="G55"/>
  <c r="F59"/>
  <c r="G59" s="1"/>
  <c r="G67"/>
  <c r="G79"/>
  <c r="G91"/>
  <c r="G163"/>
  <c r="G165"/>
  <c r="G166"/>
  <c r="F195"/>
  <c r="G195" s="1"/>
  <c r="F200"/>
  <c r="G200" s="1"/>
  <c r="G202"/>
  <c r="G203"/>
  <c r="G213"/>
  <c r="G215"/>
  <c r="G216"/>
  <c r="F244"/>
  <c r="G244" s="1"/>
  <c r="G246"/>
  <c r="G247"/>
  <c r="G248"/>
  <c r="G251"/>
  <c r="G252"/>
  <c r="G253"/>
  <c r="G254"/>
  <c r="G258"/>
  <c r="G259"/>
  <c r="G264"/>
  <c r="G265"/>
  <c r="G270"/>
  <c r="G271"/>
  <c r="G281"/>
  <c r="G282"/>
  <c r="G283"/>
  <c r="G286"/>
  <c r="G287"/>
  <c r="F292"/>
  <c r="G292" s="1"/>
  <c r="F294"/>
  <c r="G294" s="1"/>
  <c r="F300"/>
  <c r="G300" s="1"/>
  <c r="F302"/>
  <c r="G302" s="1"/>
  <c r="F312"/>
  <c r="G312" s="1"/>
  <c r="F313"/>
  <c r="G313" s="1"/>
  <c r="F314"/>
  <c r="G314" s="1"/>
  <c r="F317"/>
  <c r="G317" s="1"/>
  <c r="G318"/>
  <c r="F323"/>
  <c r="G323"/>
  <c r="F332"/>
  <c r="G332"/>
  <c r="E338"/>
  <c r="F341"/>
  <c r="G341" s="1"/>
  <c r="F349"/>
  <c r="G349" s="1"/>
  <c r="G350"/>
  <c r="G352"/>
  <c r="G353"/>
  <c r="F362"/>
  <c r="G362" s="1"/>
  <c r="G366"/>
  <c r="G367"/>
  <c r="G368"/>
  <c r="F378"/>
  <c r="G378" s="1"/>
  <c r="G379"/>
  <c r="G380"/>
  <c r="G390"/>
  <c r="G391"/>
  <c r="G399"/>
  <c r="G400"/>
  <c r="G462"/>
  <c r="G463"/>
  <c r="G464"/>
  <c r="G465"/>
  <c r="F472"/>
  <c r="G472" s="1"/>
  <c r="G479"/>
  <c r="G480"/>
  <c r="G481"/>
  <c r="G496"/>
  <c r="G497"/>
  <c r="G498"/>
  <c r="F507"/>
  <c r="G507" s="1"/>
  <c r="G513"/>
  <c r="G514"/>
  <c r="G515"/>
  <c r="G523"/>
  <c r="G525"/>
  <c r="G526"/>
  <c r="G527"/>
  <c r="G533"/>
  <c r="G535"/>
  <c r="G536"/>
  <c r="G537"/>
  <c r="G539"/>
  <c r="G540"/>
  <c r="G542"/>
  <c r="G543"/>
  <c r="G544"/>
  <c r="G545"/>
  <c r="F546"/>
  <c r="G546"/>
  <c r="F547"/>
  <c r="G547"/>
  <c r="G548"/>
  <c r="G550"/>
  <c r="G553"/>
  <c r="G554"/>
  <c r="G555"/>
  <c r="G557"/>
  <c r="G558" s="1"/>
  <c r="G562"/>
  <c r="F565"/>
  <c r="G565" s="1"/>
  <c r="G567"/>
  <c r="G568"/>
  <c r="G569"/>
  <c r="G570"/>
  <c r="G571"/>
  <c r="G572"/>
  <c r="H581"/>
  <c r="H582"/>
  <c r="H583"/>
  <c r="H584"/>
  <c r="H585"/>
  <c r="H586"/>
  <c r="H587" s="1"/>
  <c r="E589" s="1"/>
  <c r="G589" s="1"/>
  <c r="G593"/>
  <c r="G594"/>
  <c r="G595"/>
  <c r="G596"/>
  <c r="G597"/>
  <c r="G598"/>
  <c r="G599"/>
  <c r="G600"/>
  <c r="H606"/>
  <c r="H607"/>
  <c r="H608"/>
  <c r="E609"/>
  <c r="H609"/>
  <c r="H610"/>
  <c r="H611"/>
  <c r="E612" s="1"/>
  <c r="G612"/>
  <c r="G616"/>
  <c r="G617"/>
  <c r="G618"/>
  <c r="G619"/>
  <c r="G620"/>
  <c r="G621"/>
  <c r="G622"/>
  <c r="G623"/>
  <c r="H632"/>
  <c r="H633"/>
  <c r="H634"/>
  <c r="H635"/>
  <c r="H636"/>
  <c r="H637"/>
  <c r="E638" s="1"/>
  <c r="G638" s="1"/>
  <c r="G651" s="1"/>
  <c r="G652" s="1"/>
  <c r="G642"/>
  <c r="G643"/>
  <c r="G644"/>
  <c r="G645"/>
  <c r="G646"/>
  <c r="G647"/>
  <c r="G648"/>
  <c r="G649"/>
  <c r="G654"/>
  <c r="G655"/>
  <c r="G656" s="1"/>
  <c r="G658"/>
  <c r="G659"/>
  <c r="G660"/>
  <c r="A662"/>
  <c r="G662"/>
  <c r="G664" s="1"/>
  <c r="F670"/>
  <c r="G670" s="1"/>
  <c r="G672"/>
  <c r="G673"/>
  <c r="G674"/>
  <c r="G684"/>
  <c r="G685"/>
  <c r="G686"/>
  <c r="G687"/>
  <c r="G693"/>
  <c r="G694"/>
  <c r="G695"/>
  <c r="G696"/>
  <c r="F639" s="1"/>
  <c r="G639" s="1"/>
  <c r="A2" i="13"/>
  <c r="I30" i="20"/>
  <c r="I39"/>
  <c r="I122"/>
  <c r="I130"/>
  <c r="I131"/>
  <c r="I133"/>
  <c r="I134"/>
  <c r="I135"/>
  <c r="I136"/>
  <c r="I139"/>
  <c r="I140"/>
  <c r="I141"/>
  <c r="I165"/>
  <c r="I166"/>
  <c r="I167"/>
  <c r="I168"/>
  <c r="C173"/>
  <c r="F173"/>
  <c r="C174"/>
  <c r="F174"/>
  <c r="C175"/>
  <c r="F175"/>
  <c r="C176"/>
  <c r="F176"/>
  <c r="I177"/>
  <c r="I237"/>
  <c r="I240"/>
  <c r="I243"/>
  <c r="C22" i="27" s="1"/>
  <c r="I246" i="20"/>
  <c r="I260"/>
  <c r="C30" i="27" s="1"/>
  <c r="C263" i="20"/>
  <c r="I263" s="1"/>
  <c r="K263" s="1"/>
  <c r="T263" s="1"/>
  <c r="U263" s="1"/>
  <c r="I266"/>
  <c r="I269"/>
  <c r="C32" i="27" s="1"/>
  <c r="C272" i="20"/>
  <c r="I272" s="1"/>
  <c r="I86" i="1"/>
  <c r="I142"/>
  <c r="I143"/>
  <c r="I144"/>
  <c r="I145"/>
  <c r="I322"/>
  <c r="I323" s="1"/>
  <c r="C27" i="41" s="1"/>
  <c r="I326" i="1"/>
  <c r="I327"/>
  <c r="I371"/>
  <c r="C20" i="27" s="1"/>
  <c r="B4" i="21"/>
  <c r="G11" i="22"/>
  <c r="G12"/>
  <c r="G13" s="1"/>
  <c r="G45"/>
  <c r="K45"/>
  <c r="L50"/>
  <c r="F4" i="17"/>
  <c r="F374" i="8"/>
  <c r="G374" s="1"/>
  <c r="F159"/>
  <c r="G159" s="1"/>
  <c r="F508"/>
  <c r="G508" s="1"/>
  <c r="F377" i="14"/>
  <c r="M712"/>
  <c r="M718"/>
  <c r="M720" s="1"/>
  <c r="O387"/>
  <c r="O394" s="1"/>
  <c r="J387"/>
  <c r="J395" s="1"/>
  <c r="K256"/>
  <c r="K257" s="1"/>
  <c r="O16" i="20" s="1"/>
  <c r="F677" i="14"/>
  <c r="G642"/>
  <c r="F389"/>
  <c r="H288"/>
  <c r="H295" s="1"/>
  <c r="J105" i="28" s="1"/>
  <c r="H300" i="14"/>
  <c r="H307" s="1"/>
  <c r="J100" i="28" s="1"/>
  <c r="G389" i="14"/>
  <c r="J246"/>
  <c r="J245"/>
  <c r="H324"/>
  <c r="H332"/>
  <c r="F483"/>
  <c r="G483" s="1"/>
  <c r="P483" s="1"/>
  <c r="F510"/>
  <c r="G510" s="1"/>
  <c r="P510" s="1"/>
  <c r="F558"/>
  <c r="G558" s="1"/>
  <c r="F225"/>
  <c r="G225" s="1"/>
  <c r="F241" s="1"/>
  <c r="F264"/>
  <c r="G264" s="1"/>
  <c r="F358"/>
  <c r="F369" s="1"/>
  <c r="G369" s="1"/>
  <c r="F428"/>
  <c r="G428" s="1"/>
  <c r="F455"/>
  <c r="G455" s="1"/>
  <c r="F178"/>
  <c r="G178" s="1"/>
  <c r="F534"/>
  <c r="F578" s="1"/>
  <c r="G578" s="1"/>
  <c r="F714"/>
  <c r="G714" s="1"/>
  <c r="F2" i="13"/>
  <c r="A2" i="22"/>
  <c r="A2" i="8"/>
  <c r="P412" i="14"/>
  <c r="F411"/>
  <c r="K245"/>
  <c r="G213"/>
  <c r="P213" s="1"/>
  <c r="F388"/>
  <c r="M376"/>
  <c r="M383" s="1"/>
  <c r="K300"/>
  <c r="K307" s="1"/>
  <c r="N417"/>
  <c r="M387"/>
  <c r="M394"/>
  <c r="G377"/>
  <c r="H296"/>
  <c r="P463"/>
  <c r="F736"/>
  <c r="G736" s="1"/>
  <c r="O376"/>
  <c r="O384" s="1"/>
  <c r="P436"/>
  <c r="N256"/>
  <c r="N257" s="1"/>
  <c r="R16" i="20" s="1"/>
  <c r="O417" i="14"/>
  <c r="G388"/>
  <c r="H246"/>
  <c r="N300"/>
  <c r="N307" s="1"/>
  <c r="J417"/>
  <c r="G378"/>
  <c r="N276"/>
  <c r="N284" s="1"/>
  <c r="R50" i="20" s="1"/>
  <c r="F378" i="14"/>
  <c r="P379"/>
  <c r="P528"/>
  <c r="M395"/>
  <c r="K384"/>
  <c r="K383"/>
  <c r="G410"/>
  <c r="H308"/>
  <c r="N588"/>
  <c r="N595" s="1"/>
  <c r="H882"/>
  <c r="E884" s="1"/>
  <c r="H256"/>
  <c r="H257"/>
  <c r="J394"/>
  <c r="N387"/>
  <c r="N395" s="1"/>
  <c r="J712"/>
  <c r="J718" s="1"/>
  <c r="J720" s="1"/>
  <c r="K324"/>
  <c r="K332" s="1"/>
  <c r="O32" i="20" s="1"/>
  <c r="J376" i="14"/>
  <c r="J383" s="1"/>
  <c r="F410"/>
  <c r="K276"/>
  <c r="E411"/>
  <c r="H331"/>
  <c r="M417"/>
  <c r="J384"/>
  <c r="F721"/>
  <c r="K331"/>
  <c r="N246"/>
  <c r="H376"/>
  <c r="J324"/>
  <c r="K417"/>
  <c r="G233"/>
  <c r="P233" s="1"/>
  <c r="J312"/>
  <c r="J319" s="1"/>
  <c r="P721"/>
  <c r="G924"/>
  <c r="J276"/>
  <c r="H729"/>
  <c r="H730" s="1"/>
  <c r="H727"/>
  <c r="H728" s="1"/>
  <c r="F971"/>
  <c r="G971" s="1"/>
  <c r="N496"/>
  <c r="N497" s="1"/>
  <c r="P185" i="28" s="1"/>
  <c r="N498" i="14"/>
  <c r="N499" s="1"/>
  <c r="H496"/>
  <c r="H497"/>
  <c r="H498"/>
  <c r="H499" s="1"/>
  <c r="O498"/>
  <c r="O499" s="1"/>
  <c r="O496"/>
  <c r="O497" s="1"/>
  <c r="Q185" i="28" s="1"/>
  <c r="J498" i="14"/>
  <c r="J499" s="1"/>
  <c r="J496"/>
  <c r="J497" s="1"/>
  <c r="L185" i="28" s="1"/>
  <c r="L498" i="14"/>
  <c r="L499"/>
  <c r="L496"/>
  <c r="L497"/>
  <c r="M496"/>
  <c r="M497"/>
  <c r="M498"/>
  <c r="M499" s="1"/>
  <c r="H276"/>
  <c r="H283" s="1"/>
  <c r="J112" i="28" s="1"/>
  <c r="O727" i="14"/>
  <c r="O728" s="1"/>
  <c r="Q175" i="28" s="1"/>
  <c r="O729" i="14"/>
  <c r="O730" s="1"/>
  <c r="J470"/>
  <c r="J471" s="1"/>
  <c r="J468"/>
  <c r="J469" s="1"/>
  <c r="L164" i="28" s="1"/>
  <c r="H336" i="14"/>
  <c r="L468"/>
  <c r="L469" s="1"/>
  <c r="N164" i="28" s="1"/>
  <c r="L470" i="14"/>
  <c r="L471" s="1"/>
  <c r="J208"/>
  <c r="H605"/>
  <c r="H606" s="1"/>
  <c r="H601"/>
  <c r="H602" s="1"/>
  <c r="H468"/>
  <c r="H469" s="1"/>
  <c r="H470"/>
  <c r="H471" s="1"/>
  <c r="P389"/>
  <c r="E391"/>
  <c r="L729"/>
  <c r="L730" s="1"/>
  <c r="L727"/>
  <c r="L728" s="1"/>
  <c r="N394"/>
  <c r="K284"/>
  <c r="K283"/>
  <c r="E413"/>
  <c r="P411"/>
  <c r="J320"/>
  <c r="J331"/>
  <c r="J332"/>
  <c r="H384"/>
  <c r="H383"/>
  <c r="J284"/>
  <c r="N50" i="20" s="1"/>
  <c r="J283" i="14"/>
  <c r="H284"/>
  <c r="L50" i="20" s="1"/>
  <c r="N99" i="1"/>
  <c r="J216" i="14"/>
  <c r="H337"/>
  <c r="F231"/>
  <c r="F269" s="1"/>
  <c r="G269" s="1"/>
  <c r="P269" s="1"/>
  <c r="I176" i="20"/>
  <c r="I174"/>
  <c r="I175"/>
  <c r="I173"/>
  <c r="N32"/>
  <c r="L32"/>
  <c r="S32"/>
  <c r="S50"/>
  <c r="S252"/>
  <c r="O50"/>
  <c r="N226"/>
  <c r="O226"/>
  <c r="Q226"/>
  <c r="L27" i="22"/>
  <c r="L54" s="1"/>
  <c r="L55" s="1"/>
  <c r="D40" i="14"/>
  <c r="G40"/>
  <c r="G231"/>
  <c r="P231" s="1"/>
  <c r="D30"/>
  <c r="G30" s="1"/>
  <c r="G31" s="1"/>
  <c r="J903"/>
  <c r="F19"/>
  <c r="G954"/>
  <c r="P633"/>
  <c r="P558"/>
  <c r="G359"/>
  <c r="P359" s="1"/>
  <c r="D53"/>
  <c r="G53" s="1"/>
  <c r="G54" s="1"/>
  <c r="O13" i="15"/>
  <c r="D123" i="28"/>
  <c r="D183" s="1"/>
  <c r="G183" s="1"/>
  <c r="G13"/>
  <c r="D21"/>
  <c r="G103"/>
  <c r="G121"/>
  <c r="G142"/>
  <c r="C57"/>
  <c r="D59"/>
  <c r="Q100"/>
  <c r="D20" i="14"/>
  <c r="G20" s="1"/>
  <c r="G21" s="1"/>
  <c r="H23"/>
  <c r="Q23" s="1"/>
  <c r="H50" i="28"/>
  <c r="H39" i="14"/>
  <c r="H45" s="1"/>
  <c r="D87" i="28"/>
  <c r="G87" s="1"/>
  <c r="G148"/>
  <c r="D223"/>
  <c r="G168"/>
  <c r="D88"/>
  <c r="G88" s="1"/>
  <c r="E223"/>
  <c r="G223" s="1"/>
  <c r="E207"/>
  <c r="G207"/>
  <c r="G159"/>
  <c r="G42"/>
  <c r="G134"/>
  <c r="G40"/>
  <c r="D55"/>
  <c r="G55" s="1"/>
  <c r="G57"/>
  <c r="M84"/>
  <c r="G11"/>
  <c r="G61"/>
  <c r="D124"/>
  <c r="D125" s="1"/>
  <c r="G122"/>
  <c r="G218"/>
  <c r="G43"/>
  <c r="G133"/>
  <c r="G158"/>
  <c r="G59"/>
  <c r="G18"/>
  <c r="D19"/>
  <c r="G19" s="1"/>
  <c r="G22" s="1"/>
  <c r="G123"/>
  <c r="G45"/>
  <c r="G21"/>
  <c r="G89"/>
  <c r="G232"/>
  <c r="B28"/>
  <c r="B32"/>
  <c r="C29"/>
  <c r="G54"/>
  <c r="C30"/>
  <c r="E32"/>
  <c r="E28"/>
  <c r="G20"/>
  <c r="D26"/>
  <c r="D30"/>
  <c r="L70"/>
  <c r="J70"/>
  <c r="Q70"/>
  <c r="P84"/>
  <c r="G39"/>
  <c r="D32"/>
  <c r="C24"/>
  <c r="G24" s="1"/>
  <c r="Q84"/>
  <c r="G12"/>
  <c r="J72"/>
  <c r="D41"/>
  <c r="G41" s="1"/>
  <c r="J84"/>
  <c r="N185"/>
  <c r="Q105"/>
  <c r="L105"/>
  <c r="M105"/>
  <c r="P105"/>
  <c r="D235"/>
  <c r="G235"/>
  <c r="M112"/>
  <c r="L79"/>
  <c r="P209"/>
  <c r="L209"/>
  <c r="L72"/>
  <c r="Q72"/>
  <c r="J209"/>
  <c r="N209"/>
  <c r="Q79"/>
  <c r="Q209"/>
  <c r="G124"/>
  <c r="J79"/>
  <c r="D25"/>
  <c r="L112"/>
  <c r="Q112"/>
  <c r="J118"/>
  <c r="L118"/>
  <c r="Q118"/>
  <c r="M118"/>
  <c r="G50"/>
  <c r="D56"/>
  <c r="G56" s="1"/>
  <c r="E6" i="13"/>
  <c r="C28" i="28"/>
  <c r="C32" s="1"/>
  <c r="G26"/>
  <c r="G30"/>
  <c r="L91"/>
  <c r="M91"/>
  <c r="Q91"/>
  <c r="M138"/>
  <c r="J138"/>
  <c r="D29"/>
  <c r="G29" s="1"/>
  <c r="G25"/>
  <c r="G28"/>
  <c r="Q63"/>
  <c r="J63"/>
  <c r="P130"/>
  <c r="L130"/>
  <c r="M130"/>
  <c r="O130"/>
  <c r="Q130"/>
  <c r="J130"/>
  <c r="E22" i="13"/>
  <c r="O185" i="28"/>
  <c r="J185"/>
  <c r="M63"/>
  <c r="O63"/>
  <c r="L63"/>
  <c r="E5" i="13"/>
  <c r="D18"/>
  <c r="G84" i="20"/>
  <c r="I84" s="1"/>
  <c r="I83"/>
  <c r="G186"/>
  <c r="I186"/>
  <c r="I185"/>
  <c r="N76"/>
  <c r="S76"/>
  <c r="R76"/>
  <c r="N237"/>
  <c r="Q237"/>
  <c r="S237"/>
  <c r="N240"/>
  <c r="Q240"/>
  <c r="S240"/>
  <c r="N243"/>
  <c r="Q243"/>
  <c r="S243"/>
  <c r="N246"/>
  <c r="Q246"/>
  <c r="S246"/>
  <c r="P249"/>
  <c r="R249"/>
  <c r="P252"/>
  <c r="R252"/>
  <c r="D15" i="13"/>
  <c r="D27"/>
  <c r="F27" s="1"/>
  <c r="K260" i="20"/>
  <c r="T260" s="1"/>
  <c r="U260" s="1"/>
  <c r="K266"/>
  <c r="T266" s="1"/>
  <c r="U266" s="1"/>
  <c r="O76"/>
  <c r="Q76"/>
  <c r="L76"/>
  <c r="L16"/>
  <c r="P237"/>
  <c r="R237"/>
  <c r="P240"/>
  <c r="R240"/>
  <c r="P243"/>
  <c r="R243"/>
  <c r="P246"/>
  <c r="R246"/>
  <c r="N249"/>
  <c r="Q249"/>
  <c r="S249"/>
  <c r="N252"/>
  <c r="Q252"/>
  <c r="D10" i="13"/>
  <c r="D12"/>
  <c r="D14"/>
  <c r="D25"/>
  <c r="K269" i="20"/>
  <c r="T269" s="1"/>
  <c r="U269" s="1"/>
  <c r="K208" i="14"/>
  <c r="M70" i="28"/>
  <c r="P511" i="14"/>
  <c r="H905"/>
  <c r="F642"/>
  <c r="P266"/>
  <c r="H63"/>
  <c r="H68" s="1"/>
  <c r="H946"/>
  <c r="E947" s="1"/>
  <c r="G914"/>
  <c r="N567"/>
  <c r="N568" s="1"/>
  <c r="N569"/>
  <c r="N570" s="1"/>
  <c r="R178" i="20" s="1"/>
  <c r="L569" i="14"/>
  <c r="L570" s="1"/>
  <c r="P178" i="20" s="1"/>
  <c r="L567" i="14"/>
  <c r="L568" s="1"/>
  <c r="H569"/>
  <c r="H570" s="1"/>
  <c r="L178" i="20" s="1"/>
  <c r="H567" i="14"/>
  <c r="H568"/>
  <c r="N521"/>
  <c r="N522"/>
  <c r="N523"/>
  <c r="N524"/>
  <c r="L523"/>
  <c r="L524" s="1"/>
  <c r="L521"/>
  <c r="L522" s="1"/>
  <c r="H523"/>
  <c r="H524" s="1"/>
  <c r="H521"/>
  <c r="H522" s="1"/>
  <c r="P485"/>
  <c r="P226"/>
  <c r="P90"/>
  <c r="P92" s="1"/>
  <c r="P591"/>
  <c r="M567"/>
  <c r="M568" s="1"/>
  <c r="O218" i="28" s="1"/>
  <c r="M569" i="14"/>
  <c r="M570" s="1"/>
  <c r="Q178" i="20" s="1"/>
  <c r="J569" i="14"/>
  <c r="J570" s="1"/>
  <c r="N178" i="20" s="1"/>
  <c r="J567" i="14"/>
  <c r="J568" s="1"/>
  <c r="O523"/>
  <c r="O524" s="1"/>
  <c r="O521"/>
  <c r="O522" s="1"/>
  <c r="M521"/>
  <c r="M522" s="1"/>
  <c r="M523"/>
  <c r="M524" s="1"/>
  <c r="J521"/>
  <c r="J522"/>
  <c r="J523"/>
  <c r="J524"/>
  <c r="H338"/>
  <c r="Q34"/>
  <c r="H339"/>
  <c r="P714"/>
  <c r="P204" i="28"/>
  <c r="P264" i="14"/>
  <c r="O383"/>
  <c r="O395"/>
  <c r="M384"/>
  <c r="N283"/>
  <c r="K308"/>
  <c r="O40" i="20" s="1"/>
  <c r="L603" i="14"/>
  <c r="L604"/>
  <c r="P118" i="20" s="1"/>
  <c r="L597" i="14"/>
  <c r="M603"/>
  <c r="M604" s="1"/>
  <c r="Q118" i="20" s="1"/>
  <c r="M597" i="14"/>
  <c r="M601" s="1"/>
  <c r="M602" s="1"/>
  <c r="O178" i="28" s="1"/>
  <c r="O597" i="14"/>
  <c r="O601" s="1"/>
  <c r="O602" s="1"/>
  <c r="Q178" i="28" s="1"/>
  <c r="K387" i="14"/>
  <c r="K394" s="1"/>
  <c r="E7" i="27"/>
  <c r="K29" i="22"/>
  <c r="F856" i="14"/>
  <c r="G856" s="1"/>
  <c r="F337"/>
  <c r="G337" s="1"/>
  <c r="O337" s="1"/>
  <c r="O345" s="1"/>
  <c r="E907"/>
  <c r="E906"/>
  <c r="K216"/>
  <c r="M72" i="28"/>
  <c r="E948" i="14"/>
  <c r="J218" i="28"/>
  <c r="L204"/>
  <c r="K395" i="14"/>
  <c r="P112" i="28"/>
  <c r="O605" i="14"/>
  <c r="O606" s="1"/>
  <c r="S234" i="20" s="1"/>
  <c r="M605" i="14"/>
  <c r="M606" s="1"/>
  <c r="Q234" i="20" s="1"/>
  <c r="L605" i="14"/>
  <c r="L606" s="1"/>
  <c r="P234" i="20" s="1"/>
  <c r="L601" i="14"/>
  <c r="L602" s="1"/>
  <c r="N178" i="28" s="1"/>
  <c r="Q138"/>
  <c r="I329" i="39" l="1"/>
  <c r="I330" s="1"/>
  <c r="J246" i="20"/>
  <c r="H252" i="28"/>
  <c r="I252" s="1"/>
  <c r="R252" s="1"/>
  <c r="S252" s="1"/>
  <c r="J380" i="1"/>
  <c r="E23" i="27" s="1"/>
  <c r="E24" s="1"/>
  <c r="G847" i="14"/>
  <c r="N545"/>
  <c r="N546" s="1"/>
  <c r="N547"/>
  <c r="N548" s="1"/>
  <c r="L547"/>
  <c r="L548" s="1"/>
  <c r="L545"/>
  <c r="L546" s="1"/>
  <c r="H545"/>
  <c r="H546" s="1"/>
  <c r="H547"/>
  <c r="H548" s="1"/>
  <c r="O545"/>
  <c r="O546" s="1"/>
  <c r="O547"/>
  <c r="O548" s="1"/>
  <c r="M545"/>
  <c r="M546" s="1"/>
  <c r="M547"/>
  <c r="M548" s="1"/>
  <c r="J547"/>
  <c r="J548" s="1"/>
  <c r="J545"/>
  <c r="J546" s="1"/>
  <c r="P150"/>
  <c r="P152" s="1"/>
  <c r="P102"/>
  <c r="P104" s="1"/>
  <c r="P712" s="1"/>
  <c r="G29" i="8"/>
  <c r="F53"/>
  <c r="F555" i="14"/>
  <c r="G555" s="1"/>
  <c r="I555" s="1"/>
  <c r="F529"/>
  <c r="G529" s="1"/>
  <c r="I529" s="1"/>
  <c r="F506"/>
  <c r="G506" s="1"/>
  <c r="I506" s="1"/>
  <c r="F478"/>
  <c r="G478" s="1"/>
  <c r="I478" s="1"/>
  <c r="F449"/>
  <c r="G449" s="1"/>
  <c r="I449" s="1"/>
  <c r="G772"/>
  <c r="G777" s="1"/>
  <c r="P430"/>
  <c r="G1034"/>
  <c r="G1041" s="1"/>
  <c r="G1042" s="1"/>
  <c r="G552"/>
  <c r="P552" s="1"/>
  <c r="F229"/>
  <c r="F267" s="1"/>
  <c r="G267" s="1"/>
  <c r="P267" s="1"/>
  <c r="I416"/>
  <c r="K145" i="28" s="1"/>
  <c r="F371" i="14"/>
  <c r="G371" s="1"/>
  <c r="P371" s="1"/>
  <c r="F556"/>
  <c r="G556" s="1"/>
  <c r="P556" s="1"/>
  <c r="F982"/>
  <c r="G982" s="1"/>
  <c r="G798"/>
  <c r="F422"/>
  <c r="G422" s="1"/>
  <c r="I422" s="1"/>
  <c r="O94" i="1"/>
  <c r="I45" i="22"/>
  <c r="L45" s="1"/>
  <c r="I315" i="1"/>
  <c r="C26" i="41" s="1"/>
  <c r="O114" i="1"/>
  <c r="L114"/>
  <c r="N114"/>
  <c r="S114"/>
  <c r="L147"/>
  <c r="I328"/>
  <c r="C28" i="41" s="1"/>
  <c r="G28" s="1"/>
  <c r="I231" i="1"/>
  <c r="L94"/>
  <c r="C8" i="13"/>
  <c r="F8" s="1"/>
  <c r="C9" i="41"/>
  <c r="G9" s="1"/>
  <c r="V9" s="1"/>
  <c r="I122" i="1"/>
  <c r="C11" i="41" s="1"/>
  <c r="G11" s="1"/>
  <c r="V11" s="1"/>
  <c r="I262" i="1"/>
  <c r="I160"/>
  <c r="L160" s="1"/>
  <c r="O99"/>
  <c r="F159" i="20"/>
  <c r="I159" s="1"/>
  <c r="D22" i="41" s="1"/>
  <c r="C7" i="13"/>
  <c r="F7" s="1"/>
  <c r="G27" i="27"/>
  <c r="L172" i="1"/>
  <c r="I232"/>
  <c r="I233"/>
  <c r="I234"/>
  <c r="C16" i="41"/>
  <c r="G16" s="1"/>
  <c r="R16" s="1"/>
  <c r="L122" i="1"/>
  <c r="N94"/>
  <c r="I312"/>
  <c r="C23" i="13" s="1"/>
  <c r="I287" i="1"/>
  <c r="I138"/>
  <c r="C12" i="41" s="1"/>
  <c r="G12" s="1"/>
  <c r="V12" s="1"/>
  <c r="I227" i="1"/>
  <c r="S172"/>
  <c r="C15" i="13"/>
  <c r="F15" s="1"/>
  <c r="C33" i="27"/>
  <c r="G33" s="1"/>
  <c r="K272" i="20"/>
  <c r="T272" s="1"/>
  <c r="U272" s="1"/>
  <c r="G32" i="27"/>
  <c r="C31"/>
  <c r="G31" s="1"/>
  <c r="K246" i="20"/>
  <c r="T246" s="1"/>
  <c r="C21" i="27"/>
  <c r="G834" i="14"/>
  <c r="F616"/>
  <c r="G616" s="1"/>
  <c r="F252"/>
  <c r="G252" s="1"/>
  <c r="G253" s="1"/>
  <c r="P253" s="1"/>
  <c r="F658"/>
  <c r="G658" s="1"/>
  <c r="F977"/>
  <c r="G977" s="1"/>
  <c r="G358"/>
  <c r="P358" s="1"/>
  <c r="F983"/>
  <c r="G983" s="1"/>
  <c r="G28" i="22"/>
  <c r="E848" i="14"/>
  <c r="E841"/>
  <c r="G833"/>
  <c r="G757"/>
  <c r="G762" s="1"/>
  <c r="G763" s="1"/>
  <c r="G764" s="1"/>
  <c r="I712"/>
  <c r="I718" s="1"/>
  <c r="I720" s="1"/>
  <c r="I588"/>
  <c r="I595" s="1"/>
  <c r="F554"/>
  <c r="F530"/>
  <c r="G530" s="1"/>
  <c r="I530" s="1"/>
  <c r="I539" s="1"/>
  <c r="I541" s="1"/>
  <c r="F505"/>
  <c r="G505" s="1"/>
  <c r="I505" s="1"/>
  <c r="F479"/>
  <c r="G479" s="1"/>
  <c r="I479" s="1"/>
  <c r="F477"/>
  <c r="G477" s="1"/>
  <c r="I477" s="1"/>
  <c r="F452"/>
  <c r="G452" s="1"/>
  <c r="I452" s="1"/>
  <c r="I459" s="1"/>
  <c r="I461" s="1"/>
  <c r="F425"/>
  <c r="G425" s="1"/>
  <c r="I425" s="1"/>
  <c r="F354"/>
  <c r="F262"/>
  <c r="D166"/>
  <c r="G166" s="1"/>
  <c r="P166" s="1"/>
  <c r="F72"/>
  <c r="G72" s="1"/>
  <c r="I72" s="1"/>
  <c r="I80" s="1"/>
  <c r="F692"/>
  <c r="G692" s="1"/>
  <c r="P690"/>
  <c r="P360"/>
  <c r="F594"/>
  <c r="G29" i="22"/>
  <c r="D234" i="14"/>
  <c r="G234" s="1"/>
  <c r="P234" s="1"/>
  <c r="F723"/>
  <c r="G723" s="1"/>
  <c r="F717"/>
  <c r="G717" s="1"/>
  <c r="P717" s="1"/>
  <c r="F513"/>
  <c r="F518" s="1"/>
  <c r="G518" s="1"/>
  <c r="F25" i="13"/>
  <c r="N25" s="1"/>
  <c r="G534" i="14"/>
  <c r="P534" s="1"/>
  <c r="P225"/>
  <c r="G955"/>
  <c r="G916"/>
  <c r="F935"/>
  <c r="G935" s="1"/>
  <c r="F981"/>
  <c r="G981" s="1"/>
  <c r="G884"/>
  <c r="F579"/>
  <c r="G579" s="1"/>
  <c r="P579" s="1"/>
  <c r="G30" i="27"/>
  <c r="F489" i="8"/>
  <c r="G489" s="1"/>
  <c r="F475"/>
  <c r="G475" s="1"/>
  <c r="G913" i="14"/>
  <c r="G848"/>
  <c r="G849" s="1"/>
  <c r="G840"/>
  <c r="E834"/>
  <c r="F615"/>
  <c r="F620" s="1"/>
  <c r="G620" s="1"/>
  <c r="F9" i="13"/>
  <c r="I515" i="14"/>
  <c r="I517" s="1"/>
  <c r="I523" s="1"/>
  <c r="I524" s="1"/>
  <c r="P561"/>
  <c r="P563" s="1"/>
  <c r="P567" s="1"/>
  <c r="P568" s="1"/>
  <c r="R218" i="28" s="1"/>
  <c r="F242" i="14"/>
  <c r="G241"/>
  <c r="G242" s="1"/>
  <c r="P242" s="1"/>
  <c r="P634"/>
  <c r="F636"/>
  <c r="G636" s="1"/>
  <c r="G615"/>
  <c r="G617" s="1"/>
  <c r="E619" s="1"/>
  <c r="F253"/>
  <c r="G906"/>
  <c r="F41"/>
  <c r="G41" s="1"/>
  <c r="G43" s="1"/>
  <c r="D44" s="1"/>
  <c r="G44" s="1"/>
  <c r="G45" s="1"/>
  <c r="G44" i="22"/>
  <c r="K44"/>
  <c r="G513" i="14"/>
  <c r="G841"/>
  <c r="G947"/>
  <c r="F406"/>
  <c r="G406" s="1"/>
  <c r="P406" s="1"/>
  <c r="F412"/>
  <c r="F671"/>
  <c r="F679" s="1"/>
  <c r="G679" s="1"/>
  <c r="I27" i="22"/>
  <c r="F560" i="14"/>
  <c r="F564" s="1"/>
  <c r="P569" s="1"/>
  <c r="P570" s="1"/>
  <c r="T178" i="20" s="1"/>
  <c r="G536" i="14"/>
  <c r="P536" s="1"/>
  <c r="P539" s="1"/>
  <c r="P541" s="1"/>
  <c r="P545" s="1"/>
  <c r="P546" s="1"/>
  <c r="D115"/>
  <c r="G115" s="1"/>
  <c r="P115" s="1"/>
  <c r="G476"/>
  <c r="P476" s="1"/>
  <c r="G917"/>
  <c r="F936"/>
  <c r="G936" s="1"/>
  <c r="F503"/>
  <c r="G503" s="1"/>
  <c r="P503" s="1"/>
  <c r="F932"/>
  <c r="G932" s="1"/>
  <c r="G937" s="1"/>
  <c r="G938" s="1"/>
  <c r="G939" s="1"/>
  <c r="E21" i="27" s="1"/>
  <c r="G21" s="1"/>
  <c r="F980" i="14"/>
  <c r="G980" s="1"/>
  <c r="F811"/>
  <c r="G811" s="1"/>
  <c r="F813" s="1"/>
  <c r="G813" s="1"/>
  <c r="G814" s="1"/>
  <c r="F492" i="8"/>
  <c r="G492" s="1"/>
  <c r="I78" i="39"/>
  <c r="I92"/>
  <c r="I93" s="1"/>
  <c r="I199"/>
  <c r="I223"/>
  <c r="I227"/>
  <c r="I149"/>
  <c r="I150" s="1"/>
  <c r="I252"/>
  <c r="I306"/>
  <c r="I40"/>
  <c r="I41" s="1"/>
  <c r="E36" i="27" s="1"/>
  <c r="G36" s="1"/>
  <c r="I16" i="39"/>
  <c r="I17" s="1"/>
  <c r="I53"/>
  <c r="I54" s="1"/>
  <c r="I72"/>
  <c r="H79" s="1"/>
  <c r="I81" s="1"/>
  <c r="D13" i="38" s="1"/>
  <c r="F13" s="1"/>
  <c r="I131" i="39"/>
  <c r="I132" s="1"/>
  <c r="I193"/>
  <c r="H240"/>
  <c r="I242" s="1"/>
  <c r="D35" i="38" s="1"/>
  <c r="F35" s="1"/>
  <c r="I271" i="39"/>
  <c r="H277" s="1"/>
  <c r="I279" s="1"/>
  <c r="D27" i="38" s="1"/>
  <c r="F27" s="1"/>
  <c r="I292" i="39"/>
  <c r="H214"/>
  <c r="I216" s="1"/>
  <c r="D31" i="38" s="1"/>
  <c r="F31" s="1"/>
  <c r="C29" i="27"/>
  <c r="G29" s="1"/>
  <c r="C26"/>
  <c r="G26" s="1"/>
  <c r="C25"/>
  <c r="G25" s="1"/>
  <c r="K380" i="1"/>
  <c r="T380" s="1"/>
  <c r="U380" s="1"/>
  <c r="I152"/>
  <c r="C14" i="41" s="1"/>
  <c r="G14" s="1"/>
  <c r="R14" s="1"/>
  <c r="I253" i="1"/>
  <c r="C21" i="41" s="1"/>
  <c r="G21" s="1"/>
  <c r="V21" s="1"/>
  <c r="C8"/>
  <c r="G8" s="1"/>
  <c r="V8" s="1"/>
  <c r="C10"/>
  <c r="G10" s="1"/>
  <c r="V10" s="1"/>
  <c r="C34"/>
  <c r="G34" s="1"/>
  <c r="W34" s="1"/>
  <c r="G26"/>
  <c r="N26" s="1"/>
  <c r="G737" i="14"/>
  <c r="G738" s="1"/>
  <c r="F223"/>
  <c r="G223" s="1"/>
  <c r="I223" s="1"/>
  <c r="I235" s="1"/>
  <c r="I246" s="1"/>
  <c r="F176"/>
  <c r="G176" s="1"/>
  <c r="I176" s="1"/>
  <c r="I188" s="1"/>
  <c r="I192" s="1"/>
  <c r="I200" s="1"/>
  <c r="F156"/>
  <c r="G156" s="1"/>
  <c r="I156" s="1"/>
  <c r="I169" s="1"/>
  <c r="K63" i="28" s="1"/>
  <c r="F144" i="14"/>
  <c r="G144" s="1"/>
  <c r="I144" s="1"/>
  <c r="I152" s="1"/>
  <c r="F132"/>
  <c r="G132" s="1"/>
  <c r="I132" s="1"/>
  <c r="I140" s="1"/>
  <c r="F120"/>
  <c r="G120" s="1"/>
  <c r="I120" s="1"/>
  <c r="I128" s="1"/>
  <c r="F108"/>
  <c r="G108" s="1"/>
  <c r="I108" s="1"/>
  <c r="I116" s="1"/>
  <c r="F96"/>
  <c r="G96" s="1"/>
  <c r="I96" s="1"/>
  <c r="I104" s="1"/>
  <c r="F84"/>
  <c r="G84" s="1"/>
  <c r="I84" s="1"/>
  <c r="I92" s="1"/>
  <c r="F20" i="42"/>
  <c r="I50" i="28"/>
  <c r="J50" s="1"/>
  <c r="S50" s="1"/>
  <c r="O569" i="14"/>
  <c r="O570" s="1"/>
  <c r="S178" i="20" s="1"/>
  <c r="O567" i="14"/>
  <c r="O568" s="1"/>
  <c r="N468"/>
  <c r="N469" s="1"/>
  <c r="N470"/>
  <c r="N471" s="1"/>
  <c r="N332"/>
  <c r="R32" i="20" s="1"/>
  <c r="N331" i="14"/>
  <c r="P484"/>
  <c r="P488" s="1"/>
  <c r="P491" s="1"/>
  <c r="F487"/>
  <c r="G487" s="1"/>
  <c r="P487" s="1"/>
  <c r="F492"/>
  <c r="G492" s="1"/>
  <c r="O470"/>
  <c r="O471" s="1"/>
  <c r="O468"/>
  <c r="O469" s="1"/>
  <c r="M470"/>
  <c r="M471" s="1"/>
  <c r="M468"/>
  <c r="M469" s="1"/>
  <c r="O164" i="28" s="1"/>
  <c r="P378" i="14"/>
  <c r="E380"/>
  <c r="M79" i="28"/>
  <c r="H340" i="14"/>
  <c r="H341" s="1"/>
  <c r="Q57"/>
  <c r="P515"/>
  <c r="P517" s="1"/>
  <c r="Q266" i="28"/>
  <c r="S404" i="1"/>
  <c r="S407"/>
  <c r="S257" i="20"/>
  <c r="N441" i="14"/>
  <c r="N442" s="1"/>
  <c r="N443"/>
  <c r="N444" s="1"/>
  <c r="L441"/>
  <c r="L442" s="1"/>
  <c r="L443"/>
  <c r="L444" s="1"/>
  <c r="H443"/>
  <c r="H444" s="1"/>
  <c r="H441"/>
  <c r="H442" s="1"/>
  <c r="J154" i="28" s="1"/>
  <c r="N384" i="14"/>
  <c r="N383"/>
  <c r="P138" i="28" s="1"/>
  <c r="K320" i="14"/>
  <c r="K319"/>
  <c r="H320"/>
  <c r="H319"/>
  <c r="J91" i="28"/>
  <c r="R94" i="1"/>
  <c r="N208" i="14"/>
  <c r="P70" i="28"/>
  <c r="J603" i="14"/>
  <c r="J604" s="1"/>
  <c r="N118" i="20" s="1"/>
  <c r="J597" i="14"/>
  <c r="L218" i="28"/>
  <c r="N204"/>
  <c r="J178"/>
  <c r="H603" i="14"/>
  <c r="H604" s="1"/>
  <c r="L118" i="20" s="1"/>
  <c r="O443" i="14"/>
  <c r="O444" s="1"/>
  <c r="O441"/>
  <c r="O442" s="1"/>
  <c r="Q154" i="28" s="1"/>
  <c r="M443" i="14"/>
  <c r="M444" s="1"/>
  <c r="M441"/>
  <c r="M442" s="1"/>
  <c r="J443"/>
  <c r="J444" s="1"/>
  <c r="J441"/>
  <c r="J442" s="1"/>
  <c r="L154" i="28" s="1"/>
  <c r="N320" i="14"/>
  <c r="N319"/>
  <c r="J308"/>
  <c r="N40" i="20" s="1"/>
  <c r="J307" i="14"/>
  <c r="P265"/>
  <c r="F279"/>
  <c r="F327"/>
  <c r="F315"/>
  <c r="F291"/>
  <c r="F272"/>
  <c r="G272" s="1"/>
  <c r="P272" s="1"/>
  <c r="P91" i="28"/>
  <c r="J257" i="14"/>
  <c r="N16" i="20" s="1"/>
  <c r="L84" i="28"/>
  <c r="D139" i="14"/>
  <c r="G139" s="1"/>
  <c r="P139" s="1"/>
  <c r="P138"/>
  <c r="P140" s="1"/>
  <c r="P126"/>
  <c r="P128" s="1"/>
  <c r="D127"/>
  <c r="G127" s="1"/>
  <c r="P127" s="1"/>
  <c r="N729"/>
  <c r="N730" s="1"/>
  <c r="N727"/>
  <c r="N728" s="1"/>
  <c r="H343"/>
  <c r="H344" s="1"/>
  <c r="H345" s="1"/>
  <c r="P273"/>
  <c r="P288" s="1"/>
  <c r="G787"/>
  <c r="G788" s="1"/>
  <c r="G792" s="1"/>
  <c r="G803" s="1"/>
  <c r="K249" i="20"/>
  <c r="T249" s="1"/>
  <c r="G262" i="14"/>
  <c r="I262" s="1"/>
  <c r="I273" s="1"/>
  <c r="G23" i="27"/>
  <c r="V31" i="41"/>
  <c r="G32"/>
  <c r="R32" s="1"/>
  <c r="G27"/>
  <c r="G33"/>
  <c r="V33" s="1"/>
  <c r="G29"/>
  <c r="V29" s="1"/>
  <c r="D21" i="13"/>
  <c r="R126" i="20"/>
  <c r="O26"/>
  <c r="L26"/>
  <c r="N26"/>
  <c r="D11" i="13"/>
  <c r="S26" i="20"/>
  <c r="R26"/>
  <c r="R37"/>
  <c r="N37"/>
  <c r="O37"/>
  <c r="L37"/>
  <c r="D13" i="13"/>
  <c r="S37" i="20"/>
  <c r="L246"/>
  <c r="S126"/>
  <c r="L126"/>
  <c r="G24" i="27"/>
  <c r="P126" i="20"/>
  <c r="S253" i="1"/>
  <c r="P30" i="41"/>
  <c r="N30"/>
  <c r="N31"/>
  <c r="R31"/>
  <c r="O204" i="28"/>
  <c r="Q218"/>
  <c r="S328" i="1"/>
  <c r="N218" i="28"/>
  <c r="P218"/>
  <c r="P64" i="14"/>
  <c r="L234" i="20"/>
  <c r="L240"/>
  <c r="L226"/>
  <c r="L237"/>
  <c r="L249"/>
  <c r="C33" i="28"/>
  <c r="G32"/>
  <c r="D55" i="14"/>
  <c r="G55" s="1"/>
  <c r="G56" s="1"/>
  <c r="G57" s="1"/>
  <c r="P588"/>
  <c r="P595" s="1"/>
  <c r="D32"/>
  <c r="G32" s="1"/>
  <c r="G33" s="1"/>
  <c r="G34" s="1"/>
  <c r="O154" i="28"/>
  <c r="J164"/>
  <c r="P175"/>
  <c r="Q164"/>
  <c r="Q213"/>
  <c r="S323" i="1"/>
  <c r="J175" i="28"/>
  <c r="J727" i="14"/>
  <c r="J728" s="1"/>
  <c r="J729"/>
  <c r="J730" s="1"/>
  <c r="N126" i="20" s="1"/>
  <c r="N603" i="14"/>
  <c r="N604" s="1"/>
  <c r="R118" i="20" s="1"/>
  <c r="N597" i="14"/>
  <c r="P100" i="28"/>
  <c r="M100"/>
  <c r="F458" i="14"/>
  <c r="G458" s="1"/>
  <c r="P458" s="1"/>
  <c r="F464"/>
  <c r="P455"/>
  <c r="P459" s="1"/>
  <c r="P461" s="1"/>
  <c r="P468" s="1"/>
  <c r="P469" s="1"/>
  <c r="M727"/>
  <c r="M728" s="1"/>
  <c r="M729"/>
  <c r="M730" s="1"/>
  <c r="Q126" i="20" s="1"/>
  <c r="L100"/>
  <c r="Q204" i="28"/>
  <c r="J204"/>
  <c r="D22" i="13"/>
  <c r="R100" i="20"/>
  <c r="D126" i="28"/>
  <c r="G125"/>
  <c r="D22" i="14"/>
  <c r="G22" s="1"/>
  <c r="G23"/>
  <c r="P318" i="1"/>
  <c r="S318"/>
  <c r="L318"/>
  <c r="N175" i="28"/>
  <c r="P164"/>
  <c r="N154"/>
  <c r="P154"/>
  <c r="N323" i="1"/>
  <c r="L213" i="28"/>
  <c r="L323" i="1"/>
  <c r="J213" i="28"/>
  <c r="P213"/>
  <c r="R323" i="1"/>
  <c r="O213" i="28"/>
  <c r="Q323" i="1"/>
  <c r="N213" i="28"/>
  <c r="P323" i="1"/>
  <c r="L138" i="28"/>
  <c r="O138"/>
  <c r="P178" i="14"/>
  <c r="P188" s="1"/>
  <c r="P192" s="1"/>
  <c r="D187"/>
  <c r="G187" s="1"/>
  <c r="P187" s="1"/>
  <c r="P428"/>
  <c r="P432" s="1"/>
  <c r="P434" s="1"/>
  <c r="P441" s="1"/>
  <c r="P442" s="1"/>
  <c r="F437"/>
  <c r="F431"/>
  <c r="G431" s="1"/>
  <c r="P431" s="1"/>
  <c r="I28" i="1"/>
  <c r="K28" s="1"/>
  <c r="D26" i="13"/>
  <c r="F26" s="1"/>
  <c r="L26" s="1"/>
  <c r="N170" i="20"/>
  <c r="L170"/>
  <c r="Q170"/>
  <c r="S170"/>
  <c r="R170"/>
  <c r="P170"/>
  <c r="S100"/>
  <c r="F12" i="15"/>
  <c r="M12" s="1"/>
  <c r="F24" i="42" s="1"/>
  <c r="B28" i="10"/>
  <c r="B29" s="1"/>
  <c r="B30" s="1"/>
  <c r="B31" s="1"/>
  <c r="B32" s="1"/>
  <c r="B33" s="1"/>
  <c r="B34" s="1"/>
  <c r="B35" s="1"/>
  <c r="B36" s="1"/>
  <c r="B37" s="1"/>
  <c r="B38" s="1"/>
  <c r="B39" s="1"/>
  <c r="B40" s="1"/>
  <c r="B41" s="1"/>
  <c r="B42" s="1"/>
  <c r="B43" s="1"/>
  <c r="B44" s="1"/>
  <c r="B45" s="1"/>
  <c r="B46" s="1"/>
  <c r="B47" s="1"/>
  <c r="B48" s="1"/>
  <c r="B49" s="1"/>
  <c r="B50" s="1"/>
  <c r="B51" s="1"/>
  <c r="B52" s="1"/>
  <c r="B53" s="1"/>
  <c r="B54" s="1"/>
  <c r="B55" s="1"/>
  <c r="B56" s="1"/>
  <c r="B57" s="1"/>
  <c r="B58" s="1"/>
  <c r="B59" s="1"/>
  <c r="B60" s="1"/>
  <c r="B61" s="1"/>
  <c r="B62" s="1"/>
  <c r="B63" s="1"/>
  <c r="B64" s="1"/>
  <c r="B65" s="1"/>
  <c r="B66" s="1"/>
  <c r="B67" s="1"/>
  <c r="B68" s="1"/>
  <c r="B69" s="1"/>
  <c r="B70" s="1"/>
  <c r="B71" s="1"/>
  <c r="B72" s="1"/>
  <c r="B73" s="1"/>
  <c r="B74" s="1"/>
  <c r="B75" s="1"/>
  <c r="B76" s="1"/>
  <c r="B77" s="1"/>
  <c r="B78" s="1"/>
  <c r="B79" s="1"/>
  <c r="B80" s="1"/>
  <c r="B81" s="1"/>
  <c r="B82" s="1"/>
  <c r="B83" s="1"/>
  <c r="B84" s="1"/>
  <c r="B85" s="1"/>
  <c r="B86" s="1"/>
  <c r="B87" s="1"/>
  <c r="B88" s="1"/>
  <c r="B89" s="1"/>
  <c r="B90" s="1"/>
  <c r="B91" s="1"/>
  <c r="B92" s="1"/>
  <c r="B93" s="1"/>
  <c r="B94" s="1"/>
  <c r="B95" s="1"/>
  <c r="B96" s="1"/>
  <c r="B97" s="1"/>
  <c r="B98" s="1"/>
  <c r="B99" s="1"/>
  <c r="B100" s="1"/>
  <c r="B101" s="1"/>
  <c r="B102" s="1"/>
  <c r="B103" s="1"/>
  <c r="B104" s="1"/>
  <c r="F13" i="15"/>
  <c r="M13" s="1"/>
  <c r="F32" i="42" s="1"/>
  <c r="C12" i="10"/>
  <c r="C13" s="1"/>
  <c r="C14" s="1"/>
  <c r="C15" s="1"/>
  <c r="C16" s="1"/>
  <c r="C17" s="1"/>
  <c r="C18" s="1"/>
  <c r="C19" s="1"/>
  <c r="C20" s="1"/>
  <c r="C21" s="1"/>
  <c r="C22" s="1"/>
  <c r="C23" s="1"/>
  <c r="C24" s="1"/>
  <c r="C25" s="1"/>
  <c r="C26" s="1"/>
  <c r="C27" s="1"/>
  <c r="C28" s="1"/>
  <c r="C29" s="1"/>
  <c r="C30" s="1"/>
  <c r="C31" s="1"/>
  <c r="C32" s="1"/>
  <c r="C33" s="1"/>
  <c r="C34" s="1"/>
  <c r="C35" s="1"/>
  <c r="C36" s="1"/>
  <c r="C37" s="1"/>
  <c r="C38" s="1"/>
  <c r="C39" s="1"/>
  <c r="C40" s="1"/>
  <c r="C41" s="1"/>
  <c r="C42" s="1"/>
  <c r="C43" s="1"/>
  <c r="C44" s="1"/>
  <c r="C45" s="1"/>
  <c r="C46" s="1"/>
  <c r="C47" s="1"/>
  <c r="C48" s="1"/>
  <c r="C49" s="1"/>
  <c r="C50" s="1"/>
  <c r="C51" s="1"/>
  <c r="C52" s="1"/>
  <c r="C53" s="1"/>
  <c r="C54" s="1"/>
  <c r="C55" s="1"/>
  <c r="C56" s="1"/>
  <c r="C57" s="1"/>
  <c r="C58" s="1"/>
  <c r="C59" s="1"/>
  <c r="C60" s="1"/>
  <c r="C61" s="1"/>
  <c r="C62" s="1"/>
  <c r="C63" s="1"/>
  <c r="C64" s="1"/>
  <c r="C65" s="1"/>
  <c r="C66" s="1"/>
  <c r="C67" s="1"/>
  <c r="C68" s="1"/>
  <c r="C69" s="1"/>
  <c r="C70" s="1"/>
  <c r="C71" s="1"/>
  <c r="C72" s="1"/>
  <c r="C73" s="1"/>
  <c r="C74" s="1"/>
  <c r="C75" s="1"/>
  <c r="C76" s="1"/>
  <c r="C77" s="1"/>
  <c r="C78" s="1"/>
  <c r="C79" s="1"/>
  <c r="C80" s="1"/>
  <c r="C81" s="1"/>
  <c r="C82" s="1"/>
  <c r="C83" s="1"/>
  <c r="C84" s="1"/>
  <c r="C85" s="1"/>
  <c r="C86" s="1"/>
  <c r="C87" s="1"/>
  <c r="C88" s="1"/>
  <c r="C89" s="1"/>
  <c r="C90" s="1"/>
  <c r="C91" s="1"/>
  <c r="C92" s="1"/>
  <c r="C93" s="1"/>
  <c r="C94" s="1"/>
  <c r="C95" s="1"/>
  <c r="C96" s="1"/>
  <c r="C97" s="1"/>
  <c r="H20" i="9"/>
  <c r="I20" s="1"/>
  <c r="P20" s="1"/>
  <c r="F506" i="8" s="1"/>
  <c r="G506" s="1"/>
  <c r="D234" i="28"/>
  <c r="G234" s="1"/>
  <c r="G160"/>
  <c r="D224"/>
  <c r="M226" i="20"/>
  <c r="P226"/>
  <c r="S226"/>
  <c r="R226"/>
  <c r="L40"/>
  <c r="N308" i="14"/>
  <c r="R40" i="20" s="1"/>
  <c r="S114"/>
  <c r="G224" i="28"/>
  <c r="F563" i="8"/>
  <c r="G563" s="1"/>
  <c r="F590"/>
  <c r="G590" s="1"/>
  <c r="G602" s="1"/>
  <c r="F613"/>
  <c r="G613" s="1"/>
  <c r="G625" s="1"/>
  <c r="G626" s="1"/>
  <c r="G627" s="1"/>
  <c r="F325"/>
  <c r="G325" s="1"/>
  <c r="F334"/>
  <c r="G334" s="1"/>
  <c r="F343"/>
  <c r="G343" s="1"/>
  <c r="D63" i="10"/>
  <c r="D64" s="1"/>
  <c r="D65" s="1"/>
  <c r="D66" s="1"/>
  <c r="D67" s="1"/>
  <c r="D68" s="1"/>
  <c r="D69" s="1"/>
  <c r="D70" s="1"/>
  <c r="D71" s="1"/>
  <c r="D72" s="1"/>
  <c r="D73" s="1"/>
  <c r="D74" s="1"/>
  <c r="D75" s="1"/>
  <c r="D76" s="1"/>
  <c r="D77" s="1"/>
  <c r="D78" s="1"/>
  <c r="D79" s="1"/>
  <c r="D80" s="1"/>
  <c r="D81" s="1"/>
  <c r="D82" s="1"/>
  <c r="D83" s="1"/>
  <c r="D84" s="1"/>
  <c r="D85" s="1"/>
  <c r="D86" s="1"/>
  <c r="D87" s="1"/>
  <c r="D88" s="1"/>
  <c r="D89" s="1"/>
  <c r="D90" s="1"/>
  <c r="D91" s="1"/>
  <c r="D92" s="1"/>
  <c r="D93" s="1"/>
  <c r="D94" s="1"/>
  <c r="D95" s="1"/>
  <c r="D96" s="1"/>
  <c r="D97" s="1"/>
  <c r="D98" s="1"/>
  <c r="D99" s="1"/>
  <c r="D100" s="1"/>
  <c r="D101" s="1"/>
  <c r="D102" s="1"/>
  <c r="D103" s="1"/>
  <c r="D104" s="1"/>
  <c r="F15" i="15"/>
  <c r="M15" s="1"/>
  <c r="E9" i="27" s="1"/>
  <c r="G233" i="28"/>
  <c r="W16" i="32"/>
  <c r="X16" s="1"/>
  <c r="W17"/>
  <c r="R29" i="35"/>
  <c r="R64" s="1"/>
  <c r="R66" s="1"/>
  <c r="O64"/>
  <c r="S10" i="34"/>
  <c r="X9"/>
  <c r="W10"/>
  <c r="X39" i="32"/>
  <c r="W46"/>
  <c r="X46" s="1"/>
  <c r="O22" i="31"/>
  <c r="S22" s="1"/>
  <c r="T22" s="1"/>
  <c r="U22" s="1"/>
  <c r="S21"/>
  <c r="T21" s="1"/>
  <c r="W21" s="1"/>
  <c r="G358" i="8"/>
  <c r="P21" i="9"/>
  <c r="P19"/>
  <c r="P18"/>
  <c r="F277" i="8" s="1"/>
  <c r="G277" s="1"/>
  <c r="P15" i="9"/>
  <c r="P14"/>
  <c r="F241" i="8" s="1"/>
  <c r="G241" s="1"/>
  <c r="G255" s="1"/>
  <c r="G257" s="1"/>
  <c r="P13" i="9"/>
  <c r="F196" i="8" s="1"/>
  <c r="G196" s="1"/>
  <c r="P12" i="9"/>
  <c r="F363" i="8" s="1"/>
  <c r="F375" s="1"/>
  <c r="G375" s="1"/>
  <c r="G382" s="1"/>
  <c r="W34" i="32"/>
  <c r="X30"/>
  <c r="X29"/>
  <c r="U78" i="33"/>
  <c r="W78"/>
  <c r="X111" i="31"/>
  <c r="S7"/>
  <c r="T7" s="1"/>
  <c r="W7" s="1"/>
  <c r="T21" i="32"/>
  <c r="S24"/>
  <c r="T24" s="1"/>
  <c r="G574" i="8"/>
  <c r="G575" s="1"/>
  <c r="G576" s="1"/>
  <c r="F71"/>
  <c r="F78" i="14"/>
  <c r="G78" s="1"/>
  <c r="P17" i="9"/>
  <c r="F681" i="8" s="1"/>
  <c r="G681" s="1"/>
  <c r="I231" i="20"/>
  <c r="W111" i="31"/>
  <c r="V111"/>
  <c r="W12" i="32"/>
  <c r="X12" s="1"/>
  <c r="R26"/>
  <c r="T26" s="1"/>
  <c r="J114" i="30"/>
  <c r="H4" i="35"/>
  <c r="F4" s="1"/>
  <c r="M55"/>
  <c r="S55" s="1"/>
  <c r="R10" i="34"/>
  <c r="S7"/>
  <c r="T7" s="1"/>
  <c r="W7"/>
  <c r="X7" s="1"/>
  <c r="S23"/>
  <c r="T23" s="1"/>
  <c r="R11" i="32"/>
  <c r="T11" s="1"/>
  <c r="S14"/>
  <c r="W38"/>
  <c r="X37"/>
  <c r="X40"/>
  <c r="X51"/>
  <c r="S3" i="31"/>
  <c r="T3" s="1"/>
  <c r="U3" s="1"/>
  <c r="U111" s="1"/>
  <c r="T87" i="30"/>
  <c r="S104"/>
  <c r="U104" s="1"/>
  <c r="U106" s="1"/>
  <c r="S126"/>
  <c r="U126" s="1"/>
  <c r="P42" i="29"/>
  <c r="S42" s="1"/>
  <c r="P49"/>
  <c r="S49" s="1"/>
  <c r="I42" i="39"/>
  <c r="I44" s="1"/>
  <c r="D9" i="38" s="1"/>
  <c r="F9" s="1"/>
  <c r="H293" i="39"/>
  <c r="I295" s="1"/>
  <c r="D39" i="38" s="1"/>
  <c r="F39" s="1"/>
  <c r="R9" i="34"/>
  <c r="T9" s="1"/>
  <c r="S12" i="32"/>
  <c r="S13"/>
  <c r="P41" i="29"/>
  <c r="S41" s="1"/>
  <c r="P44"/>
  <c r="S44" s="1"/>
  <c r="R3" i="30"/>
  <c r="S3" s="1"/>
  <c r="T3" s="1"/>
  <c r="N26"/>
  <c r="N35"/>
  <c r="R35" s="1"/>
  <c r="S35" s="1"/>
  <c r="T35" s="1"/>
  <c r="N50"/>
  <c r="R92"/>
  <c r="S92" s="1"/>
  <c r="T92" s="1"/>
  <c r="T106" s="1"/>
  <c r="R111"/>
  <c r="S111" s="1"/>
  <c r="T111" s="1"/>
  <c r="N124"/>
  <c r="R124" s="1"/>
  <c r="S124" s="1"/>
  <c r="T124" s="1"/>
  <c r="N127"/>
  <c r="R127" s="1"/>
  <c r="S127" s="1"/>
  <c r="U127" s="1"/>
  <c r="J126"/>
  <c r="N129"/>
  <c r="R129" s="1"/>
  <c r="S129" s="1"/>
  <c r="U129" s="1"/>
  <c r="J128"/>
  <c r="O40" i="29"/>
  <c r="P40" s="1"/>
  <c r="S40" s="1"/>
  <c r="G41"/>
  <c r="Q41" s="1"/>
  <c r="G42"/>
  <c r="Q42" s="1"/>
  <c r="J42"/>
  <c r="R42" s="1"/>
  <c r="G49"/>
  <c r="Q49" s="1"/>
  <c r="Q53" s="1"/>
  <c r="J48"/>
  <c r="R48" s="1"/>
  <c r="J50"/>
  <c r="R50" s="1"/>
  <c r="W26" i="36"/>
  <c r="W40" s="1"/>
  <c r="I61" i="39"/>
  <c r="I62" s="1"/>
  <c r="I100"/>
  <c r="I101" s="1"/>
  <c r="H102" s="1"/>
  <c r="I104" s="1"/>
  <c r="D15" i="38" s="1"/>
  <c r="F15" s="1"/>
  <c r="I136" i="39"/>
  <c r="I137" s="1"/>
  <c r="H138" s="1"/>
  <c r="I140" s="1"/>
  <c r="D19" i="38" s="1"/>
  <c r="F19" s="1"/>
  <c r="I154" i="39"/>
  <c r="I155" s="1"/>
  <c r="H156" s="1"/>
  <c r="I158" s="1"/>
  <c r="D21" i="38" s="1"/>
  <c r="F21" s="1"/>
  <c r="I166" i="39"/>
  <c r="H170" s="1"/>
  <c r="I172" s="1"/>
  <c r="D23" i="38" s="1"/>
  <c r="F23" s="1"/>
  <c r="I256" i="39"/>
  <c r="I260" s="1"/>
  <c r="H261" s="1"/>
  <c r="I263" s="1"/>
  <c r="D37" i="38" s="1"/>
  <c r="I312" i="39"/>
  <c r="I324"/>
  <c r="I325" s="1"/>
  <c r="H331" s="1"/>
  <c r="I333" s="1"/>
  <c r="D43" i="38" s="1"/>
  <c r="F43" s="1"/>
  <c r="I339" i="39"/>
  <c r="I354"/>
  <c r="I363"/>
  <c r="I364" s="1"/>
  <c r="H369" s="1"/>
  <c r="I371" s="1"/>
  <c r="D49" i="38" s="1"/>
  <c r="F49" s="1"/>
  <c r="I378" i="39"/>
  <c r="I379" s="1"/>
  <c r="H384" s="1"/>
  <c r="I386" s="1"/>
  <c r="N117" i="30"/>
  <c r="R117" s="1"/>
  <c r="S117" s="1"/>
  <c r="T117" s="1"/>
  <c r="T130" s="1"/>
  <c r="H63" i="39"/>
  <c r="I65" s="1"/>
  <c r="D11" i="38" s="1"/>
  <c r="F11" s="1"/>
  <c r="H200" i="39"/>
  <c r="I202" s="1"/>
  <c r="D29" i="38" s="1"/>
  <c r="F29" s="1"/>
  <c r="H313" i="39"/>
  <c r="I315" s="1"/>
  <c r="D41" i="38" s="1"/>
  <c r="F41" s="1"/>
  <c r="I256" i="14"/>
  <c r="P369"/>
  <c r="P578"/>
  <c r="G778"/>
  <c r="G779" s="1"/>
  <c r="L25" i="13"/>
  <c r="L27"/>
  <c r="N27"/>
  <c r="N26"/>
  <c r="Q162" i="20"/>
  <c r="S162"/>
  <c r="N162"/>
  <c r="R162"/>
  <c r="L162"/>
  <c r="D20" i="13"/>
  <c r="P162" i="20"/>
  <c r="G659" i="14"/>
  <c r="G660" s="1"/>
  <c r="F706"/>
  <c r="G706" s="1"/>
  <c r="F705"/>
  <c r="G705" s="1"/>
  <c r="F210" i="8"/>
  <c r="G210" s="1"/>
  <c r="G218" s="1"/>
  <c r="F309"/>
  <c r="G309" s="1"/>
  <c r="F161"/>
  <c r="G161" s="1"/>
  <c r="F243"/>
  <c r="F364"/>
  <c r="F509"/>
  <c r="G509" s="1"/>
  <c r="F30"/>
  <c r="G30" s="1"/>
  <c r="G37" s="1"/>
  <c r="F42"/>
  <c r="F473"/>
  <c r="F510"/>
  <c r="G510" s="1"/>
  <c r="F197"/>
  <c r="G197" s="1"/>
  <c r="F211"/>
  <c r="G211" s="1"/>
  <c r="E968" i="14"/>
  <c r="G968" s="1"/>
  <c r="G969" s="1"/>
  <c r="F342"/>
  <c r="P341"/>
  <c r="F279" i="8"/>
  <c r="H183" i="39"/>
  <c r="I185" s="1"/>
  <c r="D25" i="38" s="1"/>
  <c r="F25" s="1"/>
  <c r="H228" i="39"/>
  <c r="I230" s="1"/>
  <c r="D33" i="38" s="1"/>
  <c r="F33" s="1"/>
  <c r="P718" i="14" l="1"/>
  <c r="P720" s="1"/>
  <c r="I468"/>
  <c r="I469" s="1"/>
  <c r="I470"/>
  <c r="I471" s="1"/>
  <c r="M162" i="20" s="1"/>
  <c r="G53" i="8"/>
  <c r="F65"/>
  <c r="G517"/>
  <c r="F308"/>
  <c r="G308" s="1"/>
  <c r="P470" i="14"/>
  <c r="P471" s="1"/>
  <c r="T162" i="20" s="1"/>
  <c r="P523" i="14"/>
  <c r="P524" s="1"/>
  <c r="T114" i="20" s="1"/>
  <c r="I545" i="14"/>
  <c r="I546" s="1"/>
  <c r="I547"/>
  <c r="I548" s="1"/>
  <c r="M170" i="20" s="1"/>
  <c r="F581" i="14"/>
  <c r="G581" s="1"/>
  <c r="F379"/>
  <c r="F380" s="1"/>
  <c r="F372"/>
  <c r="G372" s="1"/>
  <c r="P372" s="1"/>
  <c r="P521"/>
  <c r="P522" s="1"/>
  <c r="R204" i="28" s="1"/>
  <c r="G671" i="14"/>
  <c r="P312"/>
  <c r="P320" s="1"/>
  <c r="U246" i="20"/>
  <c r="G229" i="14"/>
  <c r="P229" s="1"/>
  <c r="P235" s="1"/>
  <c r="G564"/>
  <c r="F390"/>
  <c r="F391" s="1"/>
  <c r="F361"/>
  <c r="G361" s="1"/>
  <c r="P361" s="1"/>
  <c r="I432"/>
  <c r="I434" s="1"/>
  <c r="I443" s="1"/>
  <c r="I444" s="1"/>
  <c r="M154" i="20" s="1"/>
  <c r="I488" i="14"/>
  <c r="I491" s="1"/>
  <c r="G835"/>
  <c r="O147" i="1"/>
  <c r="C15" i="41"/>
  <c r="G15" s="1"/>
  <c r="V15" s="1"/>
  <c r="R318" i="1"/>
  <c r="N318"/>
  <c r="C24" i="13"/>
  <c r="F24" s="1"/>
  <c r="N328" i="1"/>
  <c r="Q328"/>
  <c r="S147"/>
  <c r="R253"/>
  <c r="P253"/>
  <c r="L152"/>
  <c r="R147"/>
  <c r="R328"/>
  <c r="N9" i="41"/>
  <c r="C13"/>
  <c r="G13" s="1"/>
  <c r="R13" s="1"/>
  <c r="R312" i="1"/>
  <c r="C25" i="41"/>
  <c r="G25" s="1"/>
  <c r="L25" s="1"/>
  <c r="C12" i="13"/>
  <c r="F12" s="1"/>
  <c r="L312" i="1"/>
  <c r="S312"/>
  <c r="N122"/>
  <c r="O122"/>
  <c r="C22" i="41"/>
  <c r="G22" s="1"/>
  <c r="L22" s="1"/>
  <c r="R262" i="1"/>
  <c r="L262"/>
  <c r="N312"/>
  <c r="S122"/>
  <c r="R160"/>
  <c r="R9" i="41"/>
  <c r="C19"/>
  <c r="G19" s="1"/>
  <c r="V19" s="1"/>
  <c r="Q262" i="1"/>
  <c r="P262"/>
  <c r="P328"/>
  <c r="Q312"/>
  <c r="P312"/>
  <c r="T328"/>
  <c r="L328"/>
  <c r="C10" i="13"/>
  <c r="F10" s="1"/>
  <c r="J10" s="1"/>
  <c r="O160" i="1"/>
  <c r="R122"/>
  <c r="N8" i="41"/>
  <c r="C14" i="13"/>
  <c r="F14" s="1"/>
  <c r="H14" s="1"/>
  <c r="Q253" i="1"/>
  <c r="L138"/>
  <c r="N172"/>
  <c r="N160"/>
  <c r="O172"/>
  <c r="S160"/>
  <c r="L253"/>
  <c r="R8" i="41"/>
  <c r="I299" i="1"/>
  <c r="C24" i="41" s="1"/>
  <c r="G24" s="1"/>
  <c r="J15" i="13"/>
  <c r="N15"/>
  <c r="N262" i="1"/>
  <c r="N152"/>
  <c r="C13" i="13"/>
  <c r="F13" s="1"/>
  <c r="N13" s="1"/>
  <c r="S262" i="1"/>
  <c r="C20" i="13"/>
  <c r="F20" s="1"/>
  <c r="C21"/>
  <c r="F21" s="1"/>
  <c r="L21" s="1"/>
  <c r="C23" i="41"/>
  <c r="G23" s="1"/>
  <c r="V23" s="1"/>
  <c r="R287" i="1"/>
  <c r="L287"/>
  <c r="N238"/>
  <c r="R10" i="41"/>
  <c r="V32"/>
  <c r="C18"/>
  <c r="G18" s="1"/>
  <c r="T18" s="1"/>
  <c r="L227" i="1"/>
  <c r="S227"/>
  <c r="Q227"/>
  <c r="N227"/>
  <c r="S152"/>
  <c r="R152"/>
  <c r="O152"/>
  <c r="S287"/>
  <c r="N253"/>
  <c r="C19" i="13"/>
  <c r="R138" i="1"/>
  <c r="N138"/>
  <c r="O138"/>
  <c r="C11" i="13"/>
  <c r="F11" s="1"/>
  <c r="S138" i="1"/>
  <c r="H15" i="13"/>
  <c r="P287" i="1"/>
  <c r="O227"/>
  <c r="R227"/>
  <c r="C17" i="13"/>
  <c r="F17" s="1"/>
  <c r="N17" s="1"/>
  <c r="R26" i="41"/>
  <c r="N16"/>
  <c r="P443" i="14"/>
  <c r="P444" s="1"/>
  <c r="T154" i="20" s="1"/>
  <c r="G842" i="14"/>
  <c r="I441"/>
  <c r="I442" s="1"/>
  <c r="K154" i="28" s="1"/>
  <c r="I496" i="14"/>
  <c r="I497" s="1"/>
  <c r="I498"/>
  <c r="I499" s="1"/>
  <c r="M100" i="20" s="1"/>
  <c r="G554" i="14"/>
  <c r="I554" s="1"/>
  <c r="I561" s="1"/>
  <c r="I563" s="1"/>
  <c r="F575"/>
  <c r="G575" s="1"/>
  <c r="I575" s="1"/>
  <c r="I583" s="1"/>
  <c r="I729"/>
  <c r="I730" s="1"/>
  <c r="M126" i="20" s="1"/>
  <c r="I727" i="14"/>
  <c r="I728" s="1"/>
  <c r="G354"/>
  <c r="I354" s="1"/>
  <c r="I362" s="1"/>
  <c r="F364"/>
  <c r="G364" s="1"/>
  <c r="I364" s="1"/>
  <c r="I373" s="1"/>
  <c r="I376" s="1"/>
  <c r="I597"/>
  <c r="I603"/>
  <c r="I604" s="1"/>
  <c r="M118" i="20" s="1"/>
  <c r="F160" i="8"/>
  <c r="G160" s="1"/>
  <c r="G168" s="1"/>
  <c r="P257" i="14"/>
  <c r="T16" i="20" s="1"/>
  <c r="I245" i="14"/>
  <c r="I521"/>
  <c r="I522" s="1"/>
  <c r="M312" i="1" s="1"/>
  <c r="N10" i="41"/>
  <c r="G984" i="14"/>
  <c r="G985" s="1"/>
  <c r="G986" s="1"/>
  <c r="J371" i="1" s="1"/>
  <c r="E20" i="27" s="1"/>
  <c r="N9" i="13"/>
  <c r="H9"/>
  <c r="J9"/>
  <c r="F598" i="14"/>
  <c r="G598" s="1"/>
  <c r="G594"/>
  <c r="G363" i="8"/>
  <c r="G370" s="1"/>
  <c r="F276"/>
  <c r="G276" s="1"/>
  <c r="G288" s="1"/>
  <c r="E291" s="1"/>
  <c r="F291" s="1"/>
  <c r="F242"/>
  <c r="G242" s="1"/>
  <c r="P300" i="14"/>
  <c r="P324"/>
  <c r="P332" s="1"/>
  <c r="T32" i="20" s="1"/>
  <c r="U249"/>
  <c r="J41" i="14"/>
  <c r="J45" s="1"/>
  <c r="Q45" s="1"/>
  <c r="V14" i="41"/>
  <c r="N12"/>
  <c r="F537" i="14"/>
  <c r="J43" i="1"/>
  <c r="H47" i="28"/>
  <c r="I47" s="1"/>
  <c r="L47" s="1"/>
  <c r="G815" i="14"/>
  <c r="G816" s="1"/>
  <c r="F413"/>
  <c r="G412"/>
  <c r="G413" s="1"/>
  <c r="G390"/>
  <c r="G391" s="1"/>
  <c r="F307" i="8"/>
  <c r="G307" s="1"/>
  <c r="G319" s="1"/>
  <c r="F338" s="1"/>
  <c r="G338" s="1"/>
  <c r="E340" s="1"/>
  <c r="P276" i="14"/>
  <c r="P284" s="1"/>
  <c r="T50" i="20" s="1"/>
  <c r="M253" i="1"/>
  <c r="G560" i="14"/>
  <c r="H18" i="39"/>
  <c r="I20" s="1"/>
  <c r="D5" i="38" s="1"/>
  <c r="F5" s="1"/>
  <c r="E35" i="27"/>
  <c r="G35" s="1"/>
  <c r="H355" i="39"/>
  <c r="I357" s="1"/>
  <c r="D45" i="38" s="1"/>
  <c r="F45" s="1"/>
  <c r="I32" i="1"/>
  <c r="V26" i="41"/>
  <c r="I208" i="14"/>
  <c r="M94" i="1"/>
  <c r="K70" i="28"/>
  <c r="Q21" i="9"/>
  <c r="F669" i="8" s="1"/>
  <c r="G669" s="1"/>
  <c r="W35" i="41"/>
  <c r="W37" s="1"/>
  <c r="E34" i="42" s="1"/>
  <c r="L27" i="41"/>
  <c r="C13" i="27"/>
  <c r="G13" s="1"/>
  <c r="V28" i="41"/>
  <c r="C14" i="27"/>
  <c r="G14" s="1"/>
  <c r="P496" i="14"/>
  <c r="P497" s="1"/>
  <c r="P498"/>
  <c r="P499" s="1"/>
  <c r="T100" i="20" s="1"/>
  <c r="R172" i="1"/>
  <c r="P118" i="28"/>
  <c r="I300" i="14"/>
  <c r="I276"/>
  <c r="I324"/>
  <c r="I312"/>
  <c r="I288"/>
  <c r="F292"/>
  <c r="G291"/>
  <c r="G292" s="1"/>
  <c r="P292" s="1"/>
  <c r="P295" s="1"/>
  <c r="G327"/>
  <c r="G328" s="1"/>
  <c r="P328" s="1"/>
  <c r="P331" s="1"/>
  <c r="F328"/>
  <c r="J601"/>
  <c r="J602" s="1"/>
  <c r="L178" i="28" s="1"/>
  <c r="J605" i="14"/>
  <c r="J606" s="1"/>
  <c r="N234" i="20" s="1"/>
  <c r="G804" i="14"/>
  <c r="G805" s="1"/>
  <c r="J398" i="1" s="1"/>
  <c r="G315" i="14"/>
  <c r="G316" s="1"/>
  <c r="P316" s="1"/>
  <c r="P319" s="1"/>
  <c r="F316"/>
  <c r="F280"/>
  <c r="G279"/>
  <c r="N147" i="1"/>
  <c r="L100" i="28"/>
  <c r="N216" i="14"/>
  <c r="R99" i="1"/>
  <c r="P72" i="28"/>
  <c r="N32" i="41"/>
  <c r="L28"/>
  <c r="V16"/>
  <c r="N33"/>
  <c r="R15"/>
  <c r="V27"/>
  <c r="L29"/>
  <c r="N14"/>
  <c r="L21"/>
  <c r="N11"/>
  <c r="R12"/>
  <c r="R11"/>
  <c r="R33"/>
  <c r="N15"/>
  <c r="L252" i="20"/>
  <c r="U252" s="1"/>
  <c r="L243"/>
  <c r="N100"/>
  <c r="Q100"/>
  <c r="P100"/>
  <c r="M54" i="35"/>
  <c r="M53"/>
  <c r="S53" s="1"/>
  <c r="F400" i="14"/>
  <c r="G400" s="1"/>
  <c r="F355"/>
  <c r="J32" i="1"/>
  <c r="H36" i="28"/>
  <c r="I36" s="1"/>
  <c r="J36" s="1"/>
  <c r="S36" s="1"/>
  <c r="S45" i="29"/>
  <c r="S46" s="1"/>
  <c r="R50" i="30"/>
  <c r="S50" s="1"/>
  <c r="T50" s="1"/>
  <c r="N52"/>
  <c r="R52" s="1"/>
  <c r="S52" s="1"/>
  <c r="T52" s="1"/>
  <c r="N28"/>
  <c r="R28" s="1"/>
  <c r="S28" s="1"/>
  <c r="V28" s="1"/>
  <c r="R26"/>
  <c r="S26" s="1"/>
  <c r="T26" s="1"/>
  <c r="T12" i="32"/>
  <c r="S22"/>
  <c r="T22" s="1"/>
  <c r="S17"/>
  <c r="T17" s="1"/>
  <c r="S53" i="29"/>
  <c r="S54" s="1"/>
  <c r="T14" i="32"/>
  <c r="S15"/>
  <c r="D79" i="14"/>
  <c r="G79" s="1"/>
  <c r="P79" s="1"/>
  <c r="P78"/>
  <c r="P80" s="1"/>
  <c r="W11" i="34"/>
  <c r="X11" s="1"/>
  <c r="W12"/>
  <c r="X10"/>
  <c r="W18" i="32"/>
  <c r="X17"/>
  <c r="F619" i="14"/>
  <c r="E621"/>
  <c r="E622" s="1"/>
  <c r="E623" s="1"/>
  <c r="E624" s="1"/>
  <c r="S60" i="20"/>
  <c r="N60"/>
  <c r="L60"/>
  <c r="R60"/>
  <c r="O60"/>
  <c r="D16" i="13"/>
  <c r="Q60" i="20"/>
  <c r="P727" i="14"/>
  <c r="P728" s="1"/>
  <c r="P729"/>
  <c r="P730" s="1"/>
  <c r="T126" i="20" s="1"/>
  <c r="F576" i="14"/>
  <c r="G576" s="1"/>
  <c r="K576" s="1"/>
  <c r="K583" s="1"/>
  <c r="F175"/>
  <c r="G175" s="1"/>
  <c r="L175" s="1"/>
  <c r="L188" s="1"/>
  <c r="L192" s="1"/>
  <c r="L200" s="1"/>
  <c r="E6" i="27"/>
  <c r="F261" i="14"/>
  <c r="G261" s="1"/>
  <c r="L261" s="1"/>
  <c r="L273" s="1"/>
  <c r="F158"/>
  <c r="G158" s="1"/>
  <c r="L158" s="1"/>
  <c r="L169" s="1"/>
  <c r="F222"/>
  <c r="G222" s="1"/>
  <c r="L222" s="1"/>
  <c r="L235" s="1"/>
  <c r="F453"/>
  <c r="G453" s="1"/>
  <c r="K453" s="1"/>
  <c r="K30" i="22"/>
  <c r="K712" i="14"/>
  <c r="K718" s="1"/>
  <c r="F97"/>
  <c r="G97" s="1"/>
  <c r="F426"/>
  <c r="G426" s="1"/>
  <c r="K426" s="1"/>
  <c r="F481"/>
  <c r="G481" s="1"/>
  <c r="K481" s="1"/>
  <c r="E8" i="27"/>
  <c r="F356" i="14"/>
  <c r="F401"/>
  <c r="G401" s="1"/>
  <c r="L401" s="1"/>
  <c r="L409" s="1"/>
  <c r="F532"/>
  <c r="G532" s="1"/>
  <c r="F109"/>
  <c r="G109" s="1"/>
  <c r="F553"/>
  <c r="G553" s="1"/>
  <c r="F504"/>
  <c r="G504" s="1"/>
  <c r="F121"/>
  <c r="G121" s="1"/>
  <c r="F450"/>
  <c r="G450" s="1"/>
  <c r="F145"/>
  <c r="G145" s="1"/>
  <c r="F73"/>
  <c r="G73" s="1"/>
  <c r="G30" i="22"/>
  <c r="F85" i="14"/>
  <c r="G85" s="1"/>
  <c r="K588"/>
  <c r="K595" s="1"/>
  <c r="F423"/>
  <c r="G423" s="1"/>
  <c r="F480"/>
  <c r="G480" s="1"/>
  <c r="F133"/>
  <c r="G133" s="1"/>
  <c r="C6" i="41"/>
  <c r="G6" s="1"/>
  <c r="J6" s="1"/>
  <c r="J35" s="1"/>
  <c r="C7"/>
  <c r="G7" s="1"/>
  <c r="V7" s="1"/>
  <c r="G437" i="14"/>
  <c r="G438" s="1"/>
  <c r="F438"/>
  <c r="J240" i="20"/>
  <c r="K240" s="1"/>
  <c r="T240" s="1"/>
  <c r="H246" i="28"/>
  <c r="I246" s="1"/>
  <c r="R246" s="1"/>
  <c r="S246" s="1"/>
  <c r="J374" i="1"/>
  <c r="K374" s="1"/>
  <c r="T374" s="1"/>
  <c r="U374" s="1"/>
  <c r="H15" i="28"/>
  <c r="I15" s="1"/>
  <c r="J15" s="1"/>
  <c r="K204"/>
  <c r="Q287" i="1"/>
  <c r="O175" i="28"/>
  <c r="G464" i="14"/>
  <c r="G465" s="1"/>
  <c r="F465"/>
  <c r="N605"/>
  <c r="N606" s="1"/>
  <c r="R234" i="20" s="1"/>
  <c r="N601" i="14"/>
  <c r="N602" s="1"/>
  <c r="P178" i="28" s="1"/>
  <c r="U130" i="30"/>
  <c r="Q54" i="29"/>
  <c r="R114" i="20"/>
  <c r="N114"/>
  <c r="P114"/>
  <c r="Q269" i="28"/>
  <c r="R53" i="29"/>
  <c r="R54"/>
  <c r="R45"/>
  <c r="R46"/>
  <c r="Q45"/>
  <c r="Q46" s="1"/>
  <c r="T60" i="30"/>
  <c r="T61" s="1"/>
  <c r="S23" i="32"/>
  <c r="T23" s="1"/>
  <c r="T13"/>
  <c r="W45"/>
  <c r="X45" s="1"/>
  <c r="X38"/>
  <c r="G71" i="8"/>
  <c r="F83"/>
  <c r="W35" i="32"/>
  <c r="X34"/>
  <c r="S16" i="34"/>
  <c r="S13"/>
  <c r="T13" s="1"/>
  <c r="S11"/>
  <c r="T11" s="1"/>
  <c r="T10"/>
  <c r="S12"/>
  <c r="T12" s="1"/>
  <c r="D23" i="13"/>
  <c r="F23" s="1"/>
  <c r="S154" i="20"/>
  <c r="N154"/>
  <c r="R154"/>
  <c r="P154"/>
  <c r="L154"/>
  <c r="D19" i="13"/>
  <c r="Q154" i="20"/>
  <c r="F18" i="15"/>
  <c r="M18" s="1"/>
  <c r="F20"/>
  <c r="M20" s="1"/>
  <c r="F21"/>
  <c r="M21" s="1"/>
  <c r="F65" i="14" s="1"/>
  <c r="G65" s="1"/>
  <c r="C98" i="10"/>
  <c r="C99" s="1"/>
  <c r="C100" s="1"/>
  <c r="C101" s="1"/>
  <c r="C102" s="1"/>
  <c r="C103" s="1"/>
  <c r="C104" s="1"/>
  <c r="F16" i="15"/>
  <c r="M16" s="1"/>
  <c r="F28" i="42" s="1"/>
  <c r="F17" i="15"/>
  <c r="M17" s="1"/>
  <c r="E7" i="14" s="1"/>
  <c r="F7" s="1"/>
  <c r="F19" i="15"/>
  <c r="M19" s="1"/>
  <c r="P216" i="14"/>
  <c r="P208"/>
  <c r="P200"/>
  <c r="G126" i="28"/>
  <c r="D127"/>
  <c r="M262" i="1"/>
  <c r="K164" i="28"/>
  <c r="L175"/>
  <c r="N287" i="1"/>
  <c r="P597" i="14"/>
  <c r="P296"/>
  <c r="T37" i="20" s="1"/>
  <c r="C34" i="28"/>
  <c r="G34" s="1"/>
  <c r="G33"/>
  <c r="Q114" i="20"/>
  <c r="M114"/>
  <c r="L114"/>
  <c r="F948" i="14"/>
  <c r="G948" s="1"/>
  <c r="F854"/>
  <c r="G854" s="1"/>
  <c r="G865" s="1"/>
  <c r="F885"/>
  <c r="G885" s="1"/>
  <c r="F907"/>
  <c r="G907" s="1"/>
  <c r="G279" i="8"/>
  <c r="F310"/>
  <c r="G310" s="1"/>
  <c r="G473"/>
  <c r="G483" s="1"/>
  <c r="F490"/>
  <c r="F476"/>
  <c r="G476" s="1"/>
  <c r="G42"/>
  <c r="G49" s="1"/>
  <c r="F54"/>
  <c r="F278"/>
  <c r="G278" s="1"/>
  <c r="G243"/>
  <c r="E322"/>
  <c r="G261"/>
  <c r="G263"/>
  <c r="F664" i="14"/>
  <c r="G664" s="1"/>
  <c r="G674" s="1"/>
  <c r="E676" s="1"/>
  <c r="F628"/>
  <c r="G628" s="1"/>
  <c r="M122" i="1"/>
  <c r="I257" i="14"/>
  <c r="K84" i="28"/>
  <c r="K91"/>
  <c r="M138" i="1"/>
  <c r="G707" i="14"/>
  <c r="G342"/>
  <c r="F348"/>
  <c r="G348" s="1"/>
  <c r="F376" i="8"/>
  <c r="G376" s="1"/>
  <c r="G364"/>
  <c r="G204"/>
  <c r="G205"/>
  <c r="F668" s="1"/>
  <c r="G668" s="1"/>
  <c r="G676" s="1"/>
  <c r="E296"/>
  <c r="P581" i="14"/>
  <c r="P583" s="1"/>
  <c r="G379"/>
  <c r="R213" i="28"/>
  <c r="T323" i="1"/>
  <c r="H243" i="28"/>
  <c r="I243" s="1"/>
  <c r="R243" s="1"/>
  <c r="S243" s="1"/>
  <c r="T262" i="1"/>
  <c r="R164" i="28"/>
  <c r="T312" i="1"/>
  <c r="K213" i="28"/>
  <c r="M323" i="1"/>
  <c r="R154" i="28"/>
  <c r="T253" i="1"/>
  <c r="M26" i="20"/>
  <c r="G65" i="8" l="1"/>
  <c r="F77"/>
  <c r="P256" i="14"/>
  <c r="P245"/>
  <c r="J237" i="20"/>
  <c r="K237" s="1"/>
  <c r="T237" s="1"/>
  <c r="U237" s="1"/>
  <c r="P246" i="14"/>
  <c r="T26" i="20" s="1"/>
  <c r="C18" i="13"/>
  <c r="F18" s="1"/>
  <c r="S238" i="1"/>
  <c r="C12" i="27"/>
  <c r="G12" s="1"/>
  <c r="L19" i="41"/>
  <c r="N13"/>
  <c r="V13"/>
  <c r="V25"/>
  <c r="V22"/>
  <c r="O238" i="1"/>
  <c r="R238"/>
  <c r="Q238"/>
  <c r="M238"/>
  <c r="L238"/>
  <c r="N10" i="13"/>
  <c r="T19" i="41"/>
  <c r="L23"/>
  <c r="H13" i="13"/>
  <c r="N14"/>
  <c r="H10"/>
  <c r="J13"/>
  <c r="J14"/>
  <c r="M17"/>
  <c r="C22"/>
  <c r="F22" s="1"/>
  <c r="N22" s="1"/>
  <c r="N299" i="1"/>
  <c r="L299"/>
  <c r="R299"/>
  <c r="C11" i="27"/>
  <c r="G11" s="1"/>
  <c r="L24" i="41"/>
  <c r="S299" i="1"/>
  <c r="P299"/>
  <c r="Q299"/>
  <c r="V24" i="41"/>
  <c r="N20" i="13"/>
  <c r="L20"/>
  <c r="F19"/>
  <c r="N19" s="1"/>
  <c r="K32" i="1"/>
  <c r="L32" s="1"/>
  <c r="U32" s="1"/>
  <c r="N21" i="13"/>
  <c r="J17"/>
  <c r="L18" i="41"/>
  <c r="V18"/>
  <c r="J11" i="13"/>
  <c r="H11"/>
  <c r="N11"/>
  <c r="I601" i="14"/>
  <c r="I602" s="1"/>
  <c r="K178" i="28" s="1"/>
  <c r="I605" i="14"/>
  <c r="I606" s="1"/>
  <c r="I387"/>
  <c r="K130" i="28"/>
  <c r="I567" i="14"/>
  <c r="I568" s="1"/>
  <c r="I569"/>
  <c r="I570" s="1"/>
  <c r="M178" i="20" s="1"/>
  <c r="K185" i="28"/>
  <c r="M299" i="1"/>
  <c r="I384" i="14"/>
  <c r="M60" i="20" s="1"/>
  <c r="I383" i="14"/>
  <c r="K175" i="28"/>
  <c r="M287" i="1"/>
  <c r="K209" i="28"/>
  <c r="M318" i="1"/>
  <c r="P603" i="14"/>
  <c r="P604" s="1"/>
  <c r="T118" i="20" s="1"/>
  <c r="U118" s="1"/>
  <c r="E295" i="8"/>
  <c r="F542" i="14"/>
  <c r="G537"/>
  <c r="G539" s="1"/>
  <c r="E541" s="1"/>
  <c r="F52" i="38"/>
  <c r="D13" i="21" s="1"/>
  <c r="E819" i="14"/>
  <c r="F819" s="1"/>
  <c r="G817"/>
  <c r="E330" i="8"/>
  <c r="E331" s="1"/>
  <c r="L274" i="20"/>
  <c r="K43" i="1"/>
  <c r="N43" s="1"/>
  <c r="U43" s="1"/>
  <c r="C7" i="27"/>
  <c r="G7" s="1"/>
  <c r="J37" i="41"/>
  <c r="E22" i="42"/>
  <c r="H22" s="1"/>
  <c r="I22" s="1"/>
  <c r="P7" i="41"/>
  <c r="P35" s="1"/>
  <c r="C5" i="27" s="1"/>
  <c r="N7" i="41"/>
  <c r="L28" i="1"/>
  <c r="U28" s="1"/>
  <c r="I216" i="14"/>
  <c r="K72" i="28"/>
  <c r="M99" i="1"/>
  <c r="K371"/>
  <c r="T371" s="1"/>
  <c r="U371" s="1"/>
  <c r="R185" i="28"/>
  <c r="T299" i="1"/>
  <c r="S274" i="20"/>
  <c r="R114" i="1"/>
  <c r="P79" i="28"/>
  <c r="I296" i="14"/>
  <c r="M37" i="20" s="1"/>
  <c r="I295" i="14"/>
  <c r="I331"/>
  <c r="I332"/>
  <c r="M32" i="20" s="1"/>
  <c r="I308" i="14"/>
  <c r="M40" i="20" s="1"/>
  <c r="I307" i="14"/>
  <c r="G280"/>
  <c r="P280" s="1"/>
  <c r="P283" s="1"/>
  <c r="F303"/>
  <c r="K398" i="1"/>
  <c r="T398" s="1"/>
  <c r="E28" i="27"/>
  <c r="G28" s="1"/>
  <c r="R118" i="28"/>
  <c r="T172" i="1"/>
  <c r="I320" i="14"/>
  <c r="I319"/>
  <c r="I284"/>
  <c r="M50" i="20" s="1"/>
  <c r="I283" i="14"/>
  <c r="R35" i="41"/>
  <c r="E26" i="42" s="1"/>
  <c r="R274" i="20"/>
  <c r="N274"/>
  <c r="Q86" i="1"/>
  <c r="P86"/>
  <c r="L86"/>
  <c r="C6" i="13"/>
  <c r="F6" s="1"/>
  <c r="S86" i="1"/>
  <c r="O86"/>
  <c r="N86"/>
  <c r="M86"/>
  <c r="Q604" i="14"/>
  <c r="P605"/>
  <c r="P606" s="1"/>
  <c r="P601"/>
  <c r="P602" s="1"/>
  <c r="R178" i="28" s="1"/>
  <c r="D128"/>
  <c r="G128" s="1"/>
  <c r="G127"/>
  <c r="R70"/>
  <c r="T94" i="1"/>
  <c r="R79" i="28"/>
  <c r="T114" i="1"/>
  <c r="E12" i="14"/>
  <c r="F12" s="1"/>
  <c r="E10"/>
  <c r="N23" i="13"/>
  <c r="L23"/>
  <c r="S17" i="34"/>
  <c r="T17" s="1"/>
  <c r="T16"/>
  <c r="T53" s="1"/>
  <c r="W36" i="32"/>
  <c r="X36" s="1"/>
  <c r="X35"/>
  <c r="S15" i="28"/>
  <c r="J269"/>
  <c r="C5" i="13"/>
  <c r="F5" s="1"/>
  <c r="K5" s="1"/>
  <c r="K28" s="1"/>
  <c r="K54" i="1"/>
  <c r="L54" s="1"/>
  <c r="U54" s="1"/>
  <c r="G488" i="14"/>
  <c r="G489" s="1"/>
  <c r="K480"/>
  <c r="K488" s="1"/>
  <c r="K491" s="1"/>
  <c r="F486"/>
  <c r="K603"/>
  <c r="K597"/>
  <c r="Q595"/>
  <c r="K145"/>
  <c r="K152" s="1"/>
  <c r="Q152" s="1"/>
  <c r="G152"/>
  <c r="K121"/>
  <c r="K128" s="1"/>
  <c r="Q128" s="1"/>
  <c r="G128"/>
  <c r="K553"/>
  <c r="K561" s="1"/>
  <c r="K563" s="1"/>
  <c r="G561"/>
  <c r="E563" s="1"/>
  <c r="F538"/>
  <c r="K532"/>
  <c r="K539" s="1"/>
  <c r="K541" s="1"/>
  <c r="G356"/>
  <c r="L356" s="1"/>
  <c r="L362" s="1"/>
  <c r="F366"/>
  <c r="G366" s="1"/>
  <c r="L366" s="1"/>
  <c r="L373" s="1"/>
  <c r="L376" s="1"/>
  <c r="K97"/>
  <c r="K104" s="1"/>
  <c r="Q104" s="1"/>
  <c r="G104"/>
  <c r="L245"/>
  <c r="L246"/>
  <c r="P26" i="20" s="1"/>
  <c r="L256" i="14"/>
  <c r="L276"/>
  <c r="L288"/>
  <c r="L300"/>
  <c r="L312"/>
  <c r="L324"/>
  <c r="P94" i="1"/>
  <c r="L208" i="14"/>
  <c r="N70" i="28"/>
  <c r="F621" i="14"/>
  <c r="F622" s="1"/>
  <c r="F623" s="1"/>
  <c r="F624" s="1"/>
  <c r="G619"/>
  <c r="G621" s="1"/>
  <c r="W27" i="32"/>
  <c r="X18"/>
  <c r="W14" i="34"/>
  <c r="X12"/>
  <c r="W13"/>
  <c r="X13" s="1"/>
  <c r="S16" i="32"/>
  <c r="T15"/>
  <c r="V60" i="30"/>
  <c r="V61" s="1"/>
  <c r="P400" i="14"/>
  <c r="P409" s="1"/>
  <c r="G407"/>
  <c r="M56" i="35"/>
  <c r="S54"/>
  <c r="R105" i="28"/>
  <c r="T152" i="1"/>
  <c r="R72" i="28"/>
  <c r="T99" i="1"/>
  <c r="E11" i="14"/>
  <c r="F11" s="1"/>
  <c r="E9"/>
  <c r="E5" i="27"/>
  <c r="K35" i="22"/>
  <c r="F157" i="14"/>
  <c r="G157" s="1"/>
  <c r="G35" i="22"/>
  <c r="P65" i="14"/>
  <c r="G66"/>
  <c r="F574"/>
  <c r="G574" s="1"/>
  <c r="E8"/>
  <c r="F8" s="1"/>
  <c r="G83" i="8"/>
  <c r="F95"/>
  <c r="G95" s="1"/>
  <c r="G140" i="14"/>
  <c r="K133"/>
  <c r="K140" s="1"/>
  <c r="Q140" s="1"/>
  <c r="K423"/>
  <c r="K432" s="1"/>
  <c r="K434" s="1"/>
  <c r="G432"/>
  <c r="K85"/>
  <c r="K92" s="1"/>
  <c r="Q92" s="1"/>
  <c r="G92"/>
  <c r="K73"/>
  <c r="K80" s="1"/>
  <c r="Q80" s="1"/>
  <c r="G80"/>
  <c r="K450"/>
  <c r="K459" s="1"/>
  <c r="K461" s="1"/>
  <c r="G459"/>
  <c r="F514"/>
  <c r="G515"/>
  <c r="E517" s="1"/>
  <c r="K504"/>
  <c r="K515" s="1"/>
  <c r="K517" s="1"/>
  <c r="K109"/>
  <c r="K116" s="1"/>
  <c r="Q116" s="1"/>
  <c r="G116"/>
  <c r="L416"/>
  <c r="L417"/>
  <c r="P76" i="20" s="1"/>
  <c r="Q718" i="14"/>
  <c r="K720"/>
  <c r="N63" i="28"/>
  <c r="M209"/>
  <c r="O318" i="1"/>
  <c r="T287"/>
  <c r="R175" i="28"/>
  <c r="F365" i="14"/>
  <c r="G365" s="1"/>
  <c r="G355"/>
  <c r="R209" i="28"/>
  <c r="T318" i="1"/>
  <c r="L269" i="28"/>
  <c r="S47"/>
  <c r="G20" i="27"/>
  <c r="G380" i="14"/>
  <c r="F295" i="8"/>
  <c r="G291"/>
  <c r="F296"/>
  <c r="E680" i="14"/>
  <c r="F676"/>
  <c r="F322" i="8"/>
  <c r="E327"/>
  <c r="E326"/>
  <c r="F66"/>
  <c r="G54"/>
  <c r="G61" s="1"/>
  <c r="F397" s="1"/>
  <c r="G397" s="1"/>
  <c r="G401" s="1"/>
  <c r="G897" i="14"/>
  <c r="G898" s="1"/>
  <c r="E22" i="27" s="1"/>
  <c r="G22" s="1"/>
  <c r="G960" i="14"/>
  <c r="G961" s="1"/>
  <c r="G962" s="1"/>
  <c r="E824"/>
  <c r="P342"/>
  <c r="G343"/>
  <c r="F687"/>
  <c r="G687" s="1"/>
  <c r="G708"/>
  <c r="M16" i="20"/>
  <c r="G639" i="14"/>
  <c r="E641" s="1"/>
  <c r="P628"/>
  <c r="P636" s="1"/>
  <c r="G269" i="8"/>
  <c r="G273" s="1"/>
  <c r="G267"/>
  <c r="F330"/>
  <c r="E345"/>
  <c r="E344"/>
  <c r="F340"/>
  <c r="F522"/>
  <c r="G522" s="1"/>
  <c r="G529" s="1"/>
  <c r="F387"/>
  <c r="G490"/>
  <c r="G500" s="1"/>
  <c r="F493"/>
  <c r="G493" s="1"/>
  <c r="G920" i="14"/>
  <c r="G921" s="1"/>
  <c r="G922" s="1"/>
  <c r="G866"/>
  <c r="G867" s="1"/>
  <c r="G870"/>
  <c r="F89" i="8" l="1"/>
  <c r="G89" s="1"/>
  <c r="G77"/>
  <c r="T122" i="1"/>
  <c r="R84" i="28"/>
  <c r="R91"/>
  <c r="T138" i="1"/>
  <c r="N35" i="41"/>
  <c r="N37" s="1"/>
  <c r="H28" i="13"/>
  <c r="F30" s="1"/>
  <c r="J30" s="1"/>
  <c r="L19"/>
  <c r="L22"/>
  <c r="M328" i="1"/>
  <c r="K218" i="28"/>
  <c r="I394" i="14"/>
  <c r="I395"/>
  <c r="M227" i="1"/>
  <c r="K138" i="28"/>
  <c r="G54" i="38"/>
  <c r="H51" s="1"/>
  <c r="E543" i="14"/>
  <c r="E544" s="1"/>
  <c r="E545" s="1"/>
  <c r="E546" s="1"/>
  <c r="J323" i="1" s="1"/>
  <c r="K323" s="1"/>
  <c r="F541" i="14"/>
  <c r="G542"/>
  <c r="P547"/>
  <c r="P548" s="1"/>
  <c r="T170" i="20" s="1"/>
  <c r="C17" i="41"/>
  <c r="G17" s="1"/>
  <c r="E28" i="42"/>
  <c r="H28" s="1"/>
  <c r="I28" s="1"/>
  <c r="P37" i="41"/>
  <c r="M114" i="1"/>
  <c r="K79" i="28"/>
  <c r="J17" i="42"/>
  <c r="R37" i="41"/>
  <c r="C4" i="27"/>
  <c r="R112" i="28"/>
  <c r="T160" i="1"/>
  <c r="K118" i="28"/>
  <c r="M172" i="1"/>
  <c r="F13" i="14"/>
  <c r="F26" i="42" s="1"/>
  <c r="H26" s="1"/>
  <c r="I26" s="1"/>
  <c r="K112" i="28"/>
  <c r="M160" i="1"/>
  <c r="F304" i="14"/>
  <c r="G303"/>
  <c r="G304" s="1"/>
  <c r="P304" s="1"/>
  <c r="P307" s="1"/>
  <c r="P308"/>
  <c r="T40" i="20" s="1"/>
  <c r="K100" i="28"/>
  <c r="M147" i="1"/>
  <c r="K105" i="28"/>
  <c r="M152" i="1"/>
  <c r="O212"/>
  <c r="P355" i="14"/>
  <c r="P362" s="1"/>
  <c r="Q362" s="1"/>
  <c r="G362"/>
  <c r="K727"/>
  <c r="K729"/>
  <c r="K730" s="1"/>
  <c r="Q720"/>
  <c r="K521"/>
  <c r="K522" s="1"/>
  <c r="K523"/>
  <c r="K524" s="1"/>
  <c r="K470"/>
  <c r="K471" s="1"/>
  <c r="K468"/>
  <c r="K469" s="1"/>
  <c r="K443"/>
  <c r="K444" s="1"/>
  <c r="K441"/>
  <c r="K442" s="1"/>
  <c r="M574"/>
  <c r="M583" s="1"/>
  <c r="G582"/>
  <c r="G583" s="1"/>
  <c r="G167"/>
  <c r="N157"/>
  <c r="N169" s="1"/>
  <c r="E165"/>
  <c r="F409"/>
  <c r="F414" s="1"/>
  <c r="F415" s="1"/>
  <c r="F416" s="1"/>
  <c r="J76" i="20" s="1"/>
  <c r="K76" s="1"/>
  <c r="D409" i="14"/>
  <c r="D414" s="1"/>
  <c r="E409"/>
  <c r="E414" s="1"/>
  <c r="G409"/>
  <c r="G414" s="1"/>
  <c r="G415" s="1"/>
  <c r="G416" s="1"/>
  <c r="X14" i="34"/>
  <c r="W15"/>
  <c r="W16"/>
  <c r="X27" i="32"/>
  <c r="W28"/>
  <c r="P99" i="1"/>
  <c r="L216" i="14"/>
  <c r="N72" i="28"/>
  <c r="L331" i="14"/>
  <c r="L332"/>
  <c r="P32" i="20" s="1"/>
  <c r="L307" i="14"/>
  <c r="L308"/>
  <c r="P40" i="20" s="1"/>
  <c r="L284" i="14"/>
  <c r="P50" i="20" s="1"/>
  <c r="L283" i="14"/>
  <c r="F588"/>
  <c r="G588" s="1"/>
  <c r="G595" s="1"/>
  <c r="E597" s="1"/>
  <c r="F712"/>
  <c r="G712" s="1"/>
  <c r="G718" s="1"/>
  <c r="L384"/>
  <c r="L383"/>
  <c r="K545"/>
  <c r="K546" s="1"/>
  <c r="K547"/>
  <c r="K548" s="1"/>
  <c r="F563"/>
  <c r="E565"/>
  <c r="K496"/>
  <c r="K497" s="1"/>
  <c r="K498"/>
  <c r="K499" s="1"/>
  <c r="F33" i="13"/>
  <c r="J33" s="1"/>
  <c r="I29" i="22"/>
  <c r="L29" s="1"/>
  <c r="J6" i="13"/>
  <c r="I6"/>
  <c r="I28" s="1"/>
  <c r="F31" s="1"/>
  <c r="N6"/>
  <c r="P365" i="14"/>
  <c r="P373" s="1"/>
  <c r="Q373" s="1"/>
  <c r="G373"/>
  <c r="P238" i="1"/>
  <c r="N145" i="28"/>
  <c r="F517" i="14"/>
  <c r="E519"/>
  <c r="E520" s="1"/>
  <c r="E521" s="1"/>
  <c r="E522" s="1"/>
  <c r="G461"/>
  <c r="G466" s="1"/>
  <c r="G467" s="1"/>
  <c r="G468" s="1"/>
  <c r="G469" s="1"/>
  <c r="F461"/>
  <c r="F466" s="1"/>
  <c r="E461"/>
  <c r="E466" s="1"/>
  <c r="E467" s="1"/>
  <c r="E468" s="1"/>
  <c r="E469" s="1"/>
  <c r="J262" i="1" s="1"/>
  <c r="K262" s="1"/>
  <c r="F434" i="14"/>
  <c r="F439" s="1"/>
  <c r="F440" s="1"/>
  <c r="F441" s="1"/>
  <c r="F442" s="1"/>
  <c r="J154" i="20" s="1"/>
  <c r="K154" s="1"/>
  <c r="D434" i="14"/>
  <c r="D439" s="1"/>
  <c r="G434"/>
  <c r="G439" s="1"/>
  <c r="E434"/>
  <c r="E439" s="1"/>
  <c r="E440" s="1"/>
  <c r="E441" s="1"/>
  <c r="E442" s="1"/>
  <c r="D67"/>
  <c r="G67" s="1"/>
  <c r="P67" s="1"/>
  <c r="P68" s="1"/>
  <c r="Q68" s="1"/>
  <c r="M57" i="35"/>
  <c r="S57" s="1"/>
  <c r="S56"/>
  <c r="P416" i="14"/>
  <c r="Q409"/>
  <c r="P417"/>
  <c r="S18" i="32"/>
  <c r="T18" s="1"/>
  <c r="T16"/>
  <c r="G622" i="14"/>
  <c r="G623" s="1"/>
  <c r="G624" s="1"/>
  <c r="L319"/>
  <c r="L320"/>
  <c r="L296"/>
  <c r="P37" i="20" s="1"/>
  <c r="L295" i="14"/>
  <c r="L257"/>
  <c r="P16" i="20" s="1"/>
  <c r="P122" i="1"/>
  <c r="N84" i="28"/>
  <c r="N91"/>
  <c r="P138" i="1"/>
  <c r="L387" i="14"/>
  <c r="N130" i="28"/>
  <c r="K567" i="14"/>
  <c r="K568" s="1"/>
  <c r="K569"/>
  <c r="K570" s="1"/>
  <c r="K601"/>
  <c r="K602" s="1"/>
  <c r="K605"/>
  <c r="F491"/>
  <c r="F493" s="1"/>
  <c r="F494" s="1"/>
  <c r="F495" s="1"/>
  <c r="F496" s="1"/>
  <c r="F497" s="1"/>
  <c r="J100" i="20" s="1"/>
  <c r="K100" s="1"/>
  <c r="G491" i="14"/>
  <c r="G493" s="1"/>
  <c r="G494" s="1"/>
  <c r="G495" s="1"/>
  <c r="G496" s="1"/>
  <c r="G497" s="1"/>
  <c r="E491"/>
  <c r="G5" i="27"/>
  <c r="J377" i="1"/>
  <c r="H249" i="28"/>
  <c r="J243" i="20"/>
  <c r="K243" s="1"/>
  <c r="T243" s="1"/>
  <c r="U243" s="1"/>
  <c r="G871" i="14"/>
  <c r="G872" s="1"/>
  <c r="F344" i="8"/>
  <c r="G340"/>
  <c r="F345"/>
  <c r="E335"/>
  <c r="E336"/>
  <c r="F641" i="14"/>
  <c r="E646"/>
  <c r="G322" i="8"/>
  <c r="F327"/>
  <c r="F326"/>
  <c r="E681" i="14"/>
  <c r="E682" s="1"/>
  <c r="E683" s="1"/>
  <c r="G868"/>
  <c r="G869" s="1"/>
  <c r="F331" i="8"/>
  <c r="G330"/>
  <c r="G331" s="1"/>
  <c r="M274" i="20"/>
  <c r="G344" i="14"/>
  <c r="P344" s="1"/>
  <c r="P345" s="1"/>
  <c r="G819"/>
  <c r="G824" s="1"/>
  <c r="F824"/>
  <c r="F78" i="8"/>
  <c r="G66"/>
  <c r="G73" s="1"/>
  <c r="G676" i="14"/>
  <c r="G680" s="1"/>
  <c r="F680"/>
  <c r="G387" i="8"/>
  <c r="G393" s="1"/>
  <c r="F460"/>
  <c r="G460" s="1"/>
  <c r="G467" s="1"/>
  <c r="G694" i="14"/>
  <c r="P687"/>
  <c r="E825"/>
  <c r="E826" s="1"/>
  <c r="E827" s="1"/>
  <c r="G295" i="8"/>
  <c r="G296"/>
  <c r="E299"/>
  <c r="K17" i="42" l="1"/>
  <c r="E18" s="1"/>
  <c r="G18" s="1"/>
  <c r="I18" s="1"/>
  <c r="H213" i="28"/>
  <c r="I213" s="1"/>
  <c r="K33" i="22"/>
  <c r="C6" i="27"/>
  <c r="G6" s="1"/>
  <c r="E32" i="42"/>
  <c r="H32" s="1"/>
  <c r="I32" s="1"/>
  <c r="I33" i="22"/>
  <c r="L28" i="13"/>
  <c r="I30" i="22" s="1"/>
  <c r="L30" s="1"/>
  <c r="M212" i="1"/>
  <c r="Q212"/>
  <c r="L212"/>
  <c r="L410" s="1"/>
  <c r="E27" i="22" s="1"/>
  <c r="H27" s="1"/>
  <c r="P212" i="1"/>
  <c r="S212"/>
  <c r="S410" s="1"/>
  <c r="H45" i="22" s="1"/>
  <c r="R212" i="1"/>
  <c r="N212"/>
  <c r="N410" s="1"/>
  <c r="H29" i="22" s="1"/>
  <c r="E29" s="1"/>
  <c r="C16" i="13"/>
  <c r="F16" s="1"/>
  <c r="F221" i="14"/>
  <c r="G221" s="1"/>
  <c r="M221" s="1"/>
  <c r="M235" s="1"/>
  <c r="F260"/>
  <c r="G260" s="1"/>
  <c r="G273" s="1"/>
  <c r="F174"/>
  <c r="G174" s="1"/>
  <c r="G188" s="1"/>
  <c r="E4" i="27"/>
  <c r="G33" i="22"/>
  <c r="F543" i="14"/>
  <c r="F544" s="1"/>
  <c r="F545" s="1"/>
  <c r="F546" s="1"/>
  <c r="J170" i="20" s="1"/>
  <c r="K170" s="1"/>
  <c r="G541" i="14"/>
  <c r="G543" s="1"/>
  <c r="G544" s="1"/>
  <c r="G545" s="1"/>
  <c r="G546" s="1"/>
  <c r="L17" i="41"/>
  <c r="L35" s="1"/>
  <c r="V17"/>
  <c r="V35" s="1"/>
  <c r="T17"/>
  <c r="T35" s="1"/>
  <c r="H164" i="28"/>
  <c r="I164" s="1"/>
  <c r="J16" i="13"/>
  <c r="J28" s="1"/>
  <c r="F32" s="1"/>
  <c r="M410" i="1"/>
  <c r="H28" i="22" s="1"/>
  <c r="E28" s="1"/>
  <c r="G4" i="27"/>
  <c r="R100" i="28"/>
  <c r="T147" i="1"/>
  <c r="K269" i="28"/>
  <c r="G68" i="14"/>
  <c r="E493"/>
  <c r="E494" s="1"/>
  <c r="K606"/>
  <c r="Q606" s="1"/>
  <c r="Q605"/>
  <c r="O178" i="20"/>
  <c r="U178" s="1"/>
  <c r="Q570" i="14"/>
  <c r="L394"/>
  <c r="L395"/>
  <c r="G440"/>
  <c r="G441" s="1"/>
  <c r="G442" s="1"/>
  <c r="F467"/>
  <c r="F468" s="1"/>
  <c r="F469" s="1"/>
  <c r="J162" i="20" s="1"/>
  <c r="K162" s="1"/>
  <c r="H204" i="28"/>
  <c r="I204" s="1"/>
  <c r="J312" i="1"/>
  <c r="K312" s="1"/>
  <c r="E376" i="14"/>
  <c r="E381" s="1"/>
  <c r="E382" s="1"/>
  <c r="E383" s="1"/>
  <c r="D376"/>
  <c r="D381" s="1"/>
  <c r="D382" s="1"/>
  <c r="D383" s="1"/>
  <c r="G376"/>
  <c r="G381" s="1"/>
  <c r="F376"/>
  <c r="F381" s="1"/>
  <c r="F382" s="1"/>
  <c r="F383" s="1"/>
  <c r="J60" i="20" s="1"/>
  <c r="K60" s="1"/>
  <c r="F34" i="13"/>
  <c r="J34" s="1"/>
  <c r="O299" i="1"/>
  <c r="U299" s="1"/>
  <c r="Q497" i="14"/>
  <c r="M185" i="28"/>
  <c r="S185" s="1"/>
  <c r="G563" i="14"/>
  <c r="G565" s="1"/>
  <c r="F565"/>
  <c r="O323" i="1"/>
  <c r="U323" s="1"/>
  <c r="M213" i="28"/>
  <c r="S213" s="1"/>
  <c r="Q546" i="14"/>
  <c r="P227" i="1"/>
  <c r="N138" i="28"/>
  <c r="G720" i="14"/>
  <c r="G725" s="1"/>
  <c r="G726" s="1"/>
  <c r="G727" s="1"/>
  <c r="G728" s="1"/>
  <c r="E720"/>
  <c r="E725" s="1"/>
  <c r="E726" s="1"/>
  <c r="E727" s="1"/>
  <c r="E728" s="1"/>
  <c r="F720"/>
  <c r="F725" s="1"/>
  <c r="N112" i="28"/>
  <c r="P160" i="1"/>
  <c r="X15" i="34"/>
  <c r="W19"/>
  <c r="X19" s="1"/>
  <c r="D415" i="14"/>
  <c r="D416" s="1"/>
  <c r="D168"/>
  <c r="G168" s="1"/>
  <c r="P168" s="1"/>
  <c r="P169" s="1"/>
  <c r="Q169" s="1"/>
  <c r="O209" i="28"/>
  <c r="Q318" i="1"/>
  <c r="Q583" i="14"/>
  <c r="O154" i="20"/>
  <c r="U154" s="1"/>
  <c r="Q444" i="14"/>
  <c r="Q471"/>
  <c r="O162" i="20"/>
  <c r="U162" s="1"/>
  <c r="O312" i="1"/>
  <c r="U312" s="1"/>
  <c r="M204" i="28"/>
  <c r="S204" s="1"/>
  <c r="Q730" i="14"/>
  <c r="O126" i="20"/>
  <c r="U126" s="1"/>
  <c r="D387" i="14"/>
  <c r="D392" s="1"/>
  <c r="D393" s="1"/>
  <c r="D394" s="1"/>
  <c r="H130" i="28"/>
  <c r="I130" s="1"/>
  <c r="E387" i="14"/>
  <c r="J212" i="1"/>
  <c r="K212" s="1"/>
  <c r="G235" i="14"/>
  <c r="M260"/>
  <c r="M273" s="1"/>
  <c r="T60" i="32"/>
  <c r="S64" i="35"/>
  <c r="S66" s="1"/>
  <c r="M178" i="28"/>
  <c r="Q602" i="14"/>
  <c r="S178" i="28" s="1"/>
  <c r="O328" i="1"/>
  <c r="U328" s="1"/>
  <c r="Q568" i="14"/>
  <c r="M218" i="28"/>
  <c r="S218" s="1"/>
  <c r="S130"/>
  <c r="U212" i="1"/>
  <c r="N105" i="28"/>
  <c r="P152" i="1"/>
  <c r="Q417" i="14"/>
  <c r="T76" i="20"/>
  <c r="U76" s="1"/>
  <c r="Q416" i="14"/>
  <c r="R145" i="28"/>
  <c r="S145" s="1"/>
  <c r="T238" i="1"/>
  <c r="U238" s="1"/>
  <c r="H154" i="28"/>
  <c r="I154" s="1"/>
  <c r="J253" i="1"/>
  <c r="K253" s="1"/>
  <c r="D440" i="14"/>
  <c r="D441" s="1"/>
  <c r="D442" s="1"/>
  <c r="F519"/>
  <c r="G517"/>
  <c r="G519" s="1"/>
  <c r="J31" i="13"/>
  <c r="I35" i="22"/>
  <c r="L35" s="1"/>
  <c r="O100" i="20"/>
  <c r="Q499" i="14"/>
  <c r="U100" i="20" s="1"/>
  <c r="E566" i="14"/>
  <c r="E567" s="1"/>
  <c r="E568" s="1"/>
  <c r="O170" i="20"/>
  <c r="U170" s="1"/>
  <c r="Q548" i="14"/>
  <c r="P60" i="20"/>
  <c r="E599" i="14"/>
  <c r="E600" s="1"/>
  <c r="E601" s="1"/>
  <c r="E602" s="1"/>
  <c r="F597"/>
  <c r="N100" i="28"/>
  <c r="P147" i="1"/>
  <c r="N118" i="28"/>
  <c r="P172" i="1"/>
  <c r="N79" i="28"/>
  <c r="N269" s="1"/>
  <c r="P114" i="1"/>
  <c r="W31" i="32"/>
  <c r="X28"/>
  <c r="W17" i="34"/>
  <c r="X16"/>
  <c r="E415" i="14"/>
  <c r="E416" s="1"/>
  <c r="P63" i="28"/>
  <c r="R86" i="1"/>
  <c r="H209" i="28"/>
  <c r="I209" s="1"/>
  <c r="J318" i="1"/>
  <c r="K318" s="1"/>
  <c r="Q442" i="14"/>
  <c r="O253" i="1"/>
  <c r="M154" i="28"/>
  <c r="M164"/>
  <c r="S164" s="1"/>
  <c r="O262" i="1"/>
  <c r="U262" s="1"/>
  <c r="O114" i="20"/>
  <c r="Q524" i="14"/>
  <c r="U114" i="20" s="1"/>
  <c r="K728" i="14"/>
  <c r="Q727"/>
  <c r="P376"/>
  <c r="P387"/>
  <c r="R130" i="28"/>
  <c r="T212" i="1"/>
  <c r="Q345" i="14"/>
  <c r="R266" i="28"/>
  <c r="S266" s="1"/>
  <c r="T407" i="1"/>
  <c r="U407" s="1"/>
  <c r="T404"/>
  <c r="U404" s="1"/>
  <c r="T257" i="20"/>
  <c r="U257" s="1"/>
  <c r="J287" i="1"/>
  <c r="K287" s="1"/>
  <c r="H175" i="28"/>
  <c r="I175" s="1"/>
  <c r="H239"/>
  <c r="I239" s="1"/>
  <c r="R239" s="1"/>
  <c r="S239" s="1"/>
  <c r="J351" i="1"/>
  <c r="K351" s="1"/>
  <c r="T351" s="1"/>
  <c r="U351" s="1"/>
  <c r="G336" i="8"/>
  <c r="G335"/>
  <c r="E303"/>
  <c r="F299"/>
  <c r="E304"/>
  <c r="G681" i="14"/>
  <c r="G682" s="1"/>
  <c r="G683" s="1"/>
  <c r="G78" i="8"/>
  <c r="G85" s="1"/>
  <c r="F682" s="1"/>
  <c r="G682" s="1"/>
  <c r="G689" s="1"/>
  <c r="F90"/>
  <c r="G90" s="1"/>
  <c r="G97" s="1"/>
  <c r="G825" i="14"/>
  <c r="G826" s="1"/>
  <c r="G827" s="1"/>
  <c r="F335" i="8"/>
  <c r="F336"/>
  <c r="P646" i="14"/>
  <c r="E647"/>
  <c r="E648" s="1"/>
  <c r="E649" s="1"/>
  <c r="J343" i="1" s="1"/>
  <c r="K343" s="1"/>
  <c r="T343" s="1"/>
  <c r="U343" s="1"/>
  <c r="G345" i="14"/>
  <c r="P694"/>
  <c r="G695"/>
  <c r="G696" s="1"/>
  <c r="G697" s="1"/>
  <c r="F681"/>
  <c r="F682" s="1"/>
  <c r="F683" s="1"/>
  <c r="J234" i="20" s="1"/>
  <c r="K234" s="1"/>
  <c r="T234" s="1"/>
  <c r="U234" s="1"/>
  <c r="F825" i="14"/>
  <c r="F826" s="1"/>
  <c r="F827" s="1"/>
  <c r="G327" i="8"/>
  <c r="G326"/>
  <c r="G641" i="14"/>
  <c r="G646" s="1"/>
  <c r="F646"/>
  <c r="G345" i="8"/>
  <c r="G344"/>
  <c r="H178" i="28" l="1"/>
  <c r="I178" s="1"/>
  <c r="J165" i="1"/>
  <c r="K165" s="1"/>
  <c r="L33" i="22"/>
  <c r="M174" i="14"/>
  <c r="M188" s="1"/>
  <c r="M16" i="13"/>
  <c r="M28" s="1"/>
  <c r="F35" s="1"/>
  <c r="J35" s="1"/>
  <c r="N16"/>
  <c r="N28" s="1"/>
  <c r="R410" i="1"/>
  <c r="H35" i="22" s="1"/>
  <c r="E35" s="1"/>
  <c r="C9" i="27"/>
  <c r="G9" s="1"/>
  <c r="T37" i="41"/>
  <c r="C8" i="27"/>
  <c r="G8" s="1"/>
  <c r="E24" i="42"/>
  <c r="H24" s="1"/>
  <c r="I24" s="1"/>
  <c r="L37" i="41"/>
  <c r="P410" i="1"/>
  <c r="C10" i="27"/>
  <c r="G10" s="1"/>
  <c r="V37" i="41"/>
  <c r="E20" i="42" s="1"/>
  <c r="H20" s="1"/>
  <c r="I20" s="1"/>
  <c r="H218" i="28"/>
  <c r="I218" s="1"/>
  <c r="J328" i="1"/>
  <c r="K328" s="1"/>
  <c r="G190" i="14"/>
  <c r="D191"/>
  <c r="G191" s="1"/>
  <c r="P191" s="1"/>
  <c r="G194"/>
  <c r="P383"/>
  <c r="P384"/>
  <c r="Q376"/>
  <c r="P269" i="28"/>
  <c r="X17" i="34"/>
  <c r="W18"/>
  <c r="X31" i="32"/>
  <c r="W32"/>
  <c r="X32" s="1"/>
  <c r="X60" s="1"/>
  <c r="M192" i="14"/>
  <c r="Q188"/>
  <c r="P394"/>
  <c r="Q394" s="1"/>
  <c r="P395"/>
  <c r="Q395" s="1"/>
  <c r="S154" i="28"/>
  <c r="U253" i="1"/>
  <c r="G597" i="14"/>
  <c r="G599" s="1"/>
  <c r="G600" s="1"/>
  <c r="G601" s="1"/>
  <c r="G602" s="1"/>
  <c r="F599"/>
  <c r="G520"/>
  <c r="G521" s="1"/>
  <c r="G522" s="1"/>
  <c r="I44" i="22"/>
  <c r="L44" s="1"/>
  <c r="J32" i="13"/>
  <c r="F322" i="14"/>
  <c r="G322" s="1"/>
  <c r="E324" s="1"/>
  <c r="E311"/>
  <c r="E287"/>
  <c r="E276"/>
  <c r="E249"/>
  <c r="E238"/>
  <c r="F387"/>
  <c r="E392"/>
  <c r="E393" s="1"/>
  <c r="E394" s="1"/>
  <c r="F726"/>
  <c r="F727" s="1"/>
  <c r="F728" s="1"/>
  <c r="J126" i="20" s="1"/>
  <c r="K126" s="1"/>
  <c r="G566" i="14"/>
  <c r="G567" s="1"/>
  <c r="G568" s="1"/>
  <c r="G169"/>
  <c r="Q728"/>
  <c r="O287" i="1"/>
  <c r="O410" s="1"/>
  <c r="M175" i="28"/>
  <c r="M269" s="1"/>
  <c r="H145"/>
  <c r="I145" s="1"/>
  <c r="J238" i="1"/>
  <c r="K238" s="1"/>
  <c r="F520" i="14"/>
  <c r="F521" s="1"/>
  <c r="F522" s="1"/>
  <c r="J114" i="20" s="1"/>
  <c r="K114" s="1"/>
  <c r="M300" i="14"/>
  <c r="M312"/>
  <c r="M324"/>
  <c r="M276"/>
  <c r="Q273"/>
  <c r="M288"/>
  <c r="M246"/>
  <c r="M256"/>
  <c r="M245"/>
  <c r="Q235"/>
  <c r="U318" i="1"/>
  <c r="S209" i="28"/>
  <c r="R63"/>
  <c r="S63" s="1"/>
  <c r="T86" i="1"/>
  <c r="U86" s="1"/>
  <c r="F566" i="14"/>
  <c r="F567" s="1"/>
  <c r="F568" s="1"/>
  <c r="J178" i="20" s="1"/>
  <c r="K178" s="1"/>
  <c r="G382" i="14"/>
  <c r="G383" s="1"/>
  <c r="H138" i="28"/>
  <c r="I138" s="1"/>
  <c r="J227" i="1"/>
  <c r="K227" s="1"/>
  <c r="E495" i="14"/>
  <c r="E496" s="1"/>
  <c r="E497" s="1"/>
  <c r="O274" i="20"/>
  <c r="P274"/>
  <c r="G647" i="14"/>
  <c r="G648" s="1"/>
  <c r="G649" s="1"/>
  <c r="H261" i="28"/>
  <c r="I261" s="1"/>
  <c r="R261" s="1"/>
  <c r="S261" s="1"/>
  <c r="J387" i="1"/>
  <c r="K387" s="1"/>
  <c r="T387" s="1"/>
  <c r="U387" s="1"/>
  <c r="P697" i="14"/>
  <c r="H229" i="28"/>
  <c r="I229" s="1"/>
  <c r="R229" s="1"/>
  <c r="F647" i="14"/>
  <c r="F648" s="1"/>
  <c r="F649" s="1"/>
  <c r="J226" i="20" s="1"/>
  <c r="K226" s="1"/>
  <c r="T226" s="1"/>
  <c r="F304" i="8"/>
  <c r="F303"/>
  <c r="G299"/>
  <c r="J407" i="1"/>
  <c r="E347" i="14"/>
  <c r="E349" s="1"/>
  <c r="G347"/>
  <c r="G349" s="1"/>
  <c r="J257" i="20"/>
  <c r="K257" s="1"/>
  <c r="F347" i="14"/>
  <c r="F349" s="1"/>
  <c r="H266" i="28"/>
  <c r="J36" i="13" l="1"/>
  <c r="H51" i="22" s="1"/>
  <c r="H44"/>
  <c r="E44" s="1"/>
  <c r="G37" i="27"/>
  <c r="G38" s="1"/>
  <c r="L28" i="22"/>
  <c r="I28" s="1"/>
  <c r="N29" i="13"/>
  <c r="J38" i="41"/>
  <c r="L38" s="1"/>
  <c r="D18" i="21" s="1"/>
  <c r="I39" i="42" s="1"/>
  <c r="H185" i="28"/>
  <c r="I185" s="1"/>
  <c r="J299" i="1"/>
  <c r="K299" s="1"/>
  <c r="L51" i="22"/>
  <c r="M257" i="14"/>
  <c r="O84" i="28"/>
  <c r="Q122" i="1"/>
  <c r="Q256" i="14"/>
  <c r="M295"/>
  <c r="M296"/>
  <c r="M283"/>
  <c r="M284"/>
  <c r="O91" i="28"/>
  <c r="Q138" i="1"/>
  <c r="Q245" i="14"/>
  <c r="Q246"/>
  <c r="Q26" i="20"/>
  <c r="U26" s="1"/>
  <c r="M331" i="14"/>
  <c r="M332"/>
  <c r="M307"/>
  <c r="M308"/>
  <c r="G387"/>
  <c r="G392" s="1"/>
  <c r="G393" s="1"/>
  <c r="G394" s="1"/>
  <c r="F392"/>
  <c r="F393" s="1"/>
  <c r="F394" s="1"/>
  <c r="E254"/>
  <c r="F249"/>
  <c r="E288"/>
  <c r="E293" s="1"/>
  <c r="E294" s="1"/>
  <c r="E295" s="1"/>
  <c r="F287"/>
  <c r="E299"/>
  <c r="F324"/>
  <c r="E329"/>
  <c r="M200"/>
  <c r="Q192"/>
  <c r="T60" i="20"/>
  <c r="U60" s="1"/>
  <c r="Q384" i="14"/>
  <c r="G202"/>
  <c r="G198"/>
  <c r="H30" i="22"/>
  <c r="E30" s="1"/>
  <c r="G192" i="14"/>
  <c r="M320"/>
  <c r="Q320" s="1"/>
  <c r="M319"/>
  <c r="Q319" s="1"/>
  <c r="S175" i="28"/>
  <c r="U287" i="1"/>
  <c r="J86"/>
  <c r="K86" s="1"/>
  <c r="H63" i="28"/>
  <c r="I63" s="1"/>
  <c r="F238" i="14"/>
  <c r="E243"/>
  <c r="E281"/>
  <c r="E282" s="1"/>
  <c r="E283" s="1"/>
  <c r="F276"/>
  <c r="F311"/>
  <c r="E312"/>
  <c r="E317" s="1"/>
  <c r="E318" s="1"/>
  <c r="E319" s="1"/>
  <c r="F600"/>
  <c r="F601" s="1"/>
  <c r="F602" s="1"/>
  <c r="J118" i="20" s="1"/>
  <c r="K118" s="1"/>
  <c r="W20" i="34"/>
  <c r="X18"/>
  <c r="T227" i="1"/>
  <c r="T410" s="1"/>
  <c r="R138" i="28"/>
  <c r="R269" s="1"/>
  <c r="Q383" i="14"/>
  <c r="U226" i="20"/>
  <c r="G303" i="8"/>
  <c r="G304"/>
  <c r="H256" i="28"/>
  <c r="I256" s="1"/>
  <c r="I266"/>
  <c r="J404" i="1"/>
  <c r="K404" s="1"/>
  <c r="J391"/>
  <c r="K391" s="1"/>
  <c r="K407"/>
  <c r="S229" i="28"/>
  <c r="D16" i="21" l="1"/>
  <c r="H49" i="22" s="1"/>
  <c r="T274" i="20"/>
  <c r="L42" i="22" s="1"/>
  <c r="H34" i="42"/>
  <c r="G276" i="14"/>
  <c r="G281" s="1"/>
  <c r="G282" s="1"/>
  <c r="G283" s="1"/>
  <c r="F281"/>
  <c r="F282" s="1"/>
  <c r="F283" s="1"/>
  <c r="J50" i="20" s="1"/>
  <c r="K50" s="1"/>
  <c r="E244" i="14"/>
  <c r="E245" s="1"/>
  <c r="D199"/>
  <c r="G199" s="1"/>
  <c r="P199" s="1"/>
  <c r="E330"/>
  <c r="E331" s="1"/>
  <c r="F299"/>
  <c r="E300"/>
  <c r="E305" s="1"/>
  <c r="J152" i="1"/>
  <c r="K152" s="1"/>
  <c r="H105" i="28"/>
  <c r="I105" s="1"/>
  <c r="E255" i="14"/>
  <c r="E256" s="1"/>
  <c r="Q147" i="1"/>
  <c r="O100" i="28"/>
  <c r="Q307" i="14"/>
  <c r="Q172" i="1"/>
  <c r="U172" s="1"/>
  <c r="Q331" i="14"/>
  <c r="O118" i="28"/>
  <c r="S118" s="1"/>
  <c r="Q284" i="14"/>
  <c r="Q50" i="20"/>
  <c r="U50" s="1"/>
  <c r="Q296" i="14"/>
  <c r="Q37" i="20"/>
  <c r="U37" s="1"/>
  <c r="U122" i="1"/>
  <c r="S84" i="28"/>
  <c r="S138"/>
  <c r="U227" i="1"/>
  <c r="X20" i="34"/>
  <c r="W21"/>
  <c r="G311" i="14"/>
  <c r="G312" s="1"/>
  <c r="G317" s="1"/>
  <c r="G318" s="1"/>
  <c r="G319" s="1"/>
  <c r="F312"/>
  <c r="F317" s="1"/>
  <c r="F318" s="1"/>
  <c r="F319" s="1"/>
  <c r="J160" i="1"/>
  <c r="K160" s="1"/>
  <c r="H112" i="28"/>
  <c r="I112" s="1"/>
  <c r="F243" i="14"/>
  <c r="G238"/>
  <c r="G243" s="1"/>
  <c r="G206"/>
  <c r="G210"/>
  <c r="G214" s="1"/>
  <c r="Q94" i="1"/>
  <c r="U94" s="1"/>
  <c r="Q200" i="14"/>
  <c r="O70" i="28"/>
  <c r="S70" s="1"/>
  <c r="M208" i="14"/>
  <c r="G324"/>
  <c r="G329" s="1"/>
  <c r="F329"/>
  <c r="G287"/>
  <c r="G288" s="1"/>
  <c r="G293" s="1"/>
  <c r="G294" s="1"/>
  <c r="G295" s="1"/>
  <c r="F288"/>
  <c r="F293" s="1"/>
  <c r="F294" s="1"/>
  <c r="F295" s="1"/>
  <c r="J37" i="20" s="1"/>
  <c r="K37" s="1"/>
  <c r="F254" i="14"/>
  <c r="F255" s="1"/>
  <c r="F256" s="1"/>
  <c r="J16" i="20" s="1"/>
  <c r="K16" s="1"/>
  <c r="G249" i="14"/>
  <c r="G254" s="1"/>
  <c r="G255" s="1"/>
  <c r="G256" s="1"/>
  <c r="Q308"/>
  <c r="U40" i="20" s="1"/>
  <c r="Q40"/>
  <c r="Q332" i="14"/>
  <c r="Q32" i="20"/>
  <c r="U32" s="1"/>
  <c r="S91" i="28"/>
  <c r="U138" i="1"/>
  <c r="O112" i="28"/>
  <c r="Q283" i="14"/>
  <c r="Q160" i="1"/>
  <c r="Q295" i="14"/>
  <c r="Q152" i="1"/>
  <c r="O105" i="28"/>
  <c r="Q16" i="20"/>
  <c r="Q257" i="14"/>
  <c r="H42" i="22" l="1"/>
  <c r="I34" i="42"/>
  <c r="K30" s="1"/>
  <c r="U152" i="1"/>
  <c r="S105" i="28"/>
  <c r="U160" i="1"/>
  <c r="S112" i="28"/>
  <c r="F330" i="14"/>
  <c r="F331" s="1"/>
  <c r="J32" i="20" s="1"/>
  <c r="K32" s="1"/>
  <c r="Q99" i="1"/>
  <c r="Q208" i="14"/>
  <c r="O72" i="28"/>
  <c r="M216" i="14"/>
  <c r="D215"/>
  <c r="G215" s="1"/>
  <c r="P215" s="1"/>
  <c r="G244"/>
  <c r="G245" s="1"/>
  <c r="W22" i="34"/>
  <c r="X21"/>
  <c r="U147" i="1"/>
  <c r="S100" i="28"/>
  <c r="F300" i="14"/>
  <c r="F305" s="1"/>
  <c r="F306" s="1"/>
  <c r="F307" s="1"/>
  <c r="J40" i="20" s="1"/>
  <c r="K40" s="1"/>
  <c r="G299" i="14"/>
  <c r="G300" s="1"/>
  <c r="G305" s="1"/>
  <c r="G306" s="1"/>
  <c r="G307" s="1"/>
  <c r="G200"/>
  <c r="U16" i="20"/>
  <c r="U274" s="1"/>
  <c r="Q274"/>
  <c r="G330" i="14"/>
  <c r="G331" s="1"/>
  <c r="D207"/>
  <c r="G207" s="1"/>
  <c r="P207" s="1"/>
  <c r="F244"/>
  <c r="F245" s="1"/>
  <c r="J26" i="20" s="1"/>
  <c r="K26" s="1"/>
  <c r="H84" i="28"/>
  <c r="I84" s="1"/>
  <c r="J122" i="1"/>
  <c r="K122" s="1"/>
  <c r="E306" i="14"/>
  <c r="E307" s="1"/>
  <c r="J172" i="1"/>
  <c r="K172" s="1"/>
  <c r="H118" i="28"/>
  <c r="I118" s="1"/>
  <c r="J138" i="1"/>
  <c r="K138" s="1"/>
  <c r="H91" i="28"/>
  <c r="I91" s="1"/>
  <c r="G216" i="14" l="1"/>
  <c r="H79" i="28" s="1"/>
  <c r="I79" s="1"/>
  <c r="K274" i="20"/>
  <c r="K275" s="1"/>
  <c r="D9" i="21" s="1"/>
  <c r="J147" i="1"/>
  <c r="K147" s="1"/>
  <c r="H100" i="28"/>
  <c r="I100" s="1"/>
  <c r="H70"/>
  <c r="I70" s="1"/>
  <c r="J94" i="1"/>
  <c r="K94" s="1"/>
  <c r="W23" i="34"/>
  <c r="X22"/>
  <c r="G208" i="14"/>
  <c r="J114" i="1"/>
  <c r="K114" s="1"/>
  <c r="O79" i="28"/>
  <c r="O269" s="1"/>
  <c r="Q216" i="14"/>
  <c r="Q114" i="1"/>
  <c r="Q410" s="1"/>
  <c r="H33" i="22" s="1"/>
  <c r="E33" s="1"/>
  <c r="U99" i="1"/>
  <c r="S72" i="28"/>
  <c r="U114" i="1" l="1"/>
  <c r="U410" s="1"/>
  <c r="S79" i="28"/>
  <c r="S269" s="1"/>
  <c r="J99" i="1"/>
  <c r="K99" s="1"/>
  <c r="K410" s="1"/>
  <c r="K411" s="1"/>
  <c r="D8" i="21" s="1"/>
  <c r="H72" i="28"/>
  <c r="I72" s="1"/>
  <c r="I269" s="1"/>
  <c r="X23" i="34"/>
  <c r="W24"/>
  <c r="W26"/>
  <c r="W27" l="1"/>
  <c r="X27" s="1"/>
  <c r="X26"/>
  <c r="X24"/>
  <c r="W25"/>
  <c r="D10" i="21"/>
  <c r="D15" s="1"/>
  <c r="J30" i="42" s="1"/>
  <c r="F30" s="1"/>
  <c r="H30" s="1"/>
  <c r="I30" s="1"/>
  <c r="I36" s="1"/>
  <c r="I270" i="28"/>
  <c r="E37" i="42" l="1"/>
  <c r="I37" s="1"/>
  <c r="D17" i="21" s="1"/>
  <c r="E21" s="1"/>
  <c r="X25" i="34"/>
  <c r="W28"/>
  <c r="H50" i="22" l="1"/>
  <c r="H53" s="1"/>
  <c r="D21" i="21"/>
  <c r="P6" i="15" s="1"/>
  <c r="W29" i="34"/>
  <c r="X29" s="1"/>
  <c r="X53" s="1"/>
  <c r="X28"/>
  <c r="N53" i="22" l="1"/>
  <c r="F38" i="42"/>
  <c r="H38" s="1"/>
  <c r="I38" s="1"/>
  <c r="D22" i="21"/>
  <c r="I41" i="42" l="1"/>
  <c r="K41" s="1"/>
  <c r="J36"/>
</calcChain>
</file>

<file path=xl/sharedStrings.xml><?xml version="1.0" encoding="utf-8"?>
<sst xmlns="http://schemas.openxmlformats.org/spreadsheetml/2006/main" count="6857" uniqueCount="2094">
  <si>
    <t>Cement for CM (1:8) proportion for base coat</t>
  </si>
  <si>
    <t>Sand for CM (1:8) proportion</t>
  </si>
  <si>
    <t>Add water charges 1%</t>
  </si>
  <si>
    <t>B. LABOUR</t>
  </si>
  <si>
    <t>Mazdoor (unskiled)</t>
  </si>
  <si>
    <t>BLD-CSTN-8</t>
  </si>
  <si>
    <t>ROOFING &amp; CEILING</t>
  </si>
  <si>
    <t>BLD-CSTN-8-25</t>
  </si>
  <si>
    <t>Providing impervious coat to exposed RCC roof slab surface with CM(1:3), 20mm thick  with 1kg of water proof compound per bag of cement  laid over roof when it is green including cost of all materials, seigniorage charges, excluding conveyance charges of materials and including all operational, incidental and labour charges for mixing mortar, laying, rendering smooth and thread lining, curing, rounding off junctions of wall and slab etc,, complete for finished item of work</t>
  </si>
  <si>
    <t>Cement Mortal 1:3</t>
  </si>
  <si>
    <t>BLD-CSTN-9-5</t>
  </si>
  <si>
    <t>White washing two coats with whiting of approved quality to give an even shade after thoroughly brushing the surface to remove all dirt and remains of loose powdered materials including cost of all materials, labour charges and incidental such as scaffolding, lift charges etc., complete for finished item of work, but excluding conveyance charges of materials</t>
  </si>
  <si>
    <t>Unit: 10 sqm</t>
  </si>
  <si>
    <t>A. MATERIALS :</t>
  </si>
  <si>
    <t>Whiting / White Cement</t>
  </si>
  <si>
    <t>cum / kg</t>
  </si>
  <si>
    <t>Gum, conjee water, or prickly pear juice including necessary fire wood</t>
  </si>
  <si>
    <t>L.S</t>
  </si>
  <si>
    <t>Brick Layers / Painter</t>
  </si>
  <si>
    <t>Sundries incl. brushes, ladders, etc.,</t>
  </si>
  <si>
    <t xml:space="preserve">Total cost for 10 sqm </t>
  </si>
  <si>
    <t>BLD-CSTN-10-5</t>
  </si>
  <si>
    <t>Painting to new walls with 2 coats of water proof cement paint of apporved brand and shade over a base coat of approved cement primer grade I making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912 for internal walls</t>
  </si>
  <si>
    <t>Cost of Cement Primer</t>
  </si>
  <si>
    <t>Ist class painter</t>
  </si>
  <si>
    <t>2nd class painter</t>
  </si>
  <si>
    <t>1st class painter</t>
  </si>
  <si>
    <t>Total cost</t>
  </si>
  <si>
    <t>Painting with Synthetic Enamel paints - Two Coats - for New Wood Work</t>
  </si>
  <si>
    <t>Painter</t>
  </si>
  <si>
    <t>Sundries including brushes, soap, putty etc.,</t>
  </si>
  <si>
    <t>BLD-CSTN-11-12</t>
  </si>
  <si>
    <t>Country wood Framed and Planked Doors (Schedule Item No. 297)</t>
  </si>
  <si>
    <t>Double Shutter Window</t>
  </si>
  <si>
    <t>i</t>
  </si>
  <si>
    <t>salwood</t>
  </si>
  <si>
    <t>Labour, wrought and putup in position frame &amp; shutters</t>
  </si>
  <si>
    <t>Fixtures</t>
  </si>
  <si>
    <t>MS Zhold fasts</t>
  </si>
  <si>
    <t>no's</t>
  </si>
  <si>
    <t xml:space="preserve"> MS tower bolt 100mm long</t>
  </si>
  <si>
    <t xml:space="preserve"> MS Butt hinges 75mm long</t>
  </si>
  <si>
    <t>MS Handles</t>
  </si>
  <si>
    <t xml:space="preserve">Window stoppers </t>
  </si>
  <si>
    <t>wood primer</t>
  </si>
  <si>
    <t>lts</t>
  </si>
  <si>
    <t>Total for each window</t>
  </si>
  <si>
    <t>or</t>
  </si>
  <si>
    <t xml:space="preserve">Supply and fixing of  salwood Door single shutter  fully pannlled door of size 0.75 x 2.10mt with frame made of well seasoned teak Wood scantlings of size 100 x 75mm and bottom reeper of size 75x38mm and shutter made of side rails 125mm X 38mm, top rail 125mmX 38mm, bottom rail 125mm X 38mm and intermediate rails  of 125mm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</si>
  <si>
    <t>Door size 0.75X2.10mts</t>
  </si>
  <si>
    <t>frames</t>
  </si>
  <si>
    <t>verticals</t>
  </si>
  <si>
    <t>horizontals</t>
  </si>
  <si>
    <t>do</t>
  </si>
  <si>
    <r>
      <t xml:space="preserve">shutter </t>
    </r>
    <r>
      <rPr>
        <sz val="10"/>
        <rFont val="Arial"/>
        <family val="2"/>
      </rPr>
      <t>verticals</t>
    </r>
  </si>
  <si>
    <r>
      <t xml:space="preserve">shutter </t>
    </r>
    <r>
      <rPr>
        <sz val="10"/>
        <rFont val="Arial"/>
        <family val="2"/>
      </rPr>
      <t>rails</t>
    </r>
  </si>
  <si>
    <t>Planks</t>
  </si>
  <si>
    <t>Cost of Sal wood Frame and Shutters</t>
  </si>
  <si>
    <t>300 mm Al aldrop</t>
  </si>
  <si>
    <t>150 mm Al tower bolt</t>
  </si>
  <si>
    <t>200 mm Al tower bolt</t>
  </si>
  <si>
    <t>Butt hinges 125mm long Alluminium</t>
  </si>
  <si>
    <t>150mm Al handle</t>
  </si>
  <si>
    <t>Total per each</t>
  </si>
  <si>
    <t xml:space="preserve">Supply and fixing of  Sal wood  Door Double shutter fully pannlled door of size 1.20 x 2.10mt with frame made of well seasoned sal wood scantlings of size 100 x 75mm mm and shutter made of side rails 125mm X38, top rail 125mmX38mm, bottom rail 125mmX38mm and intermediate rails  of 125 x 38 mm and panels -  8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</si>
  <si>
    <t>Door size 1.20X2.1mts</t>
  </si>
  <si>
    <r>
      <t>shutter</t>
    </r>
    <r>
      <rPr>
        <sz val="10"/>
        <rFont val="Arial"/>
        <family val="2"/>
      </rPr>
      <t xml:space="preserve"> rails</t>
    </r>
  </si>
  <si>
    <t>MSZ hold fasts</t>
  </si>
  <si>
    <t xml:space="preserve">Aldrop 300mm long </t>
  </si>
  <si>
    <t>Tower bolts 150mm long Aluminium</t>
  </si>
  <si>
    <t>Tower bolts 200mm long Aluminium</t>
  </si>
  <si>
    <t>Door handles fancy 150mm long Al</t>
  </si>
  <si>
    <t>Total cost for each door</t>
  </si>
  <si>
    <t>rm</t>
  </si>
  <si>
    <t xml:space="preserve">Supply and fixing of  salwood Door single shutter   fully pannlled door of size .90 x 2.1mt with frame made of well seasoned sal Wood scantlings of size 100 x 75mm and bottom reeper of size 75x38mm and shutter made of side rails 125mm X38, top rail 125mmX38mm, bottom rail 175mmX38mm and intermediate rails  of 125 x 38 mm and panels -  4 no's are of 25mm thick  as per approved design with fixtures of 6 nos of 9" ' z" holdfasts, 300 mm long aluminium aldrop-1 no,125mm long aluminium   butt hinges 4 No's, Door stoppers-1 no, 150mm long  Tower bolts  - 1no's alumium,  200mm long  Tower bolts  - 1no's alumium,Aluminium fancy  handles 150mm long 1no's,   with necessary screws complete including cost and conveyance of all materials and labour charges etc. complete as per specifications  (APSS NO.1001 &amp; 1002)                                                                                                 </t>
  </si>
  <si>
    <t>Door size 0.90X2.10mts</t>
  </si>
  <si>
    <t>shutter verticals</t>
  </si>
  <si>
    <t>shutter rails</t>
  </si>
  <si>
    <t>no</t>
  </si>
  <si>
    <t>Sand / Gravel / Earth</t>
  </si>
  <si>
    <t>Water</t>
  </si>
  <si>
    <t>Loading</t>
  </si>
  <si>
    <t>Unloading</t>
  </si>
  <si>
    <t>labour charges (51/8*labour)</t>
  </si>
  <si>
    <r>
      <t xml:space="preserve">Drilling of D/U piles of </t>
    </r>
    <r>
      <rPr>
        <b/>
        <sz val="10"/>
        <rFont val="Arial"/>
        <family val="2"/>
      </rPr>
      <t>12" dia  and 12' depth</t>
    </r>
    <r>
      <rPr>
        <sz val="10"/>
        <rFont val="Arial"/>
        <family val="2"/>
      </rPr>
      <t xml:space="preserve"> including cost and conveyance of all material and all labour chargestand hire charges of drill bit tripod, and all other incidental charges etc complete.</t>
    </r>
  </si>
  <si>
    <r>
      <t xml:space="preserve">Drilling of S/U piles of </t>
    </r>
    <r>
      <rPr>
        <b/>
        <sz val="10"/>
        <rFont val="Arial"/>
        <family val="2"/>
      </rPr>
      <t>10" dia  and 12' depth</t>
    </r>
    <r>
      <rPr>
        <sz val="10"/>
        <rFont val="Arial"/>
        <family val="2"/>
      </rPr>
      <t xml:space="preserve"> including cost and conveyance of all material and all labour chargestand hire charges of drill bit tripod, and all other incidental charges etc complete.</t>
    </r>
  </si>
  <si>
    <t>labour charges (25.5/8*labour)</t>
  </si>
  <si>
    <t>NAME OF THE
 WORK</t>
  </si>
  <si>
    <t>add  contractor's profit14%</t>
  </si>
  <si>
    <t>Add Cotractor's profit 14%</t>
  </si>
  <si>
    <t>(d) Contractor’s profit on (a+b+c) 14%</t>
  </si>
  <si>
    <t xml:space="preserve"> Contractor’s profit  14%</t>
  </si>
  <si>
    <t>Add cotractor's profit 14%</t>
  </si>
  <si>
    <t>DETAILED ESTIMATE</t>
  </si>
  <si>
    <t>Description of work</t>
  </si>
  <si>
    <t>Nos</t>
  </si>
  <si>
    <t>Measurements</t>
  </si>
  <si>
    <t>L</t>
  </si>
  <si>
    <t>B</t>
  </si>
  <si>
    <t>D</t>
  </si>
  <si>
    <t>Qty</t>
  </si>
  <si>
    <t>Rate</t>
  </si>
  <si>
    <t>Amount</t>
  </si>
  <si>
    <t>1x1</t>
  </si>
  <si>
    <t>Cement</t>
  </si>
  <si>
    <t>labour charges</t>
  </si>
  <si>
    <t>10sqm</t>
  </si>
  <si>
    <t>1no</t>
  </si>
  <si>
    <t>Deputy Executive Engineer</t>
  </si>
  <si>
    <t>Division</t>
  </si>
  <si>
    <t>Sub division</t>
  </si>
  <si>
    <t>Mandal</t>
  </si>
  <si>
    <t>cum</t>
  </si>
  <si>
    <t>kgs</t>
  </si>
  <si>
    <t>sqm</t>
  </si>
  <si>
    <t>nos</t>
  </si>
  <si>
    <t>kg</t>
  </si>
  <si>
    <t>Adusumalli</t>
  </si>
  <si>
    <t>Metal</t>
  </si>
  <si>
    <t>Sand</t>
  </si>
  <si>
    <t>Bricks</t>
  </si>
  <si>
    <t>Local</t>
  </si>
  <si>
    <t>LEAD STATEMENT   ( BUILDINGS )</t>
  </si>
  <si>
    <t xml:space="preserve">Name of the work </t>
  </si>
  <si>
    <t>Sl.
No</t>
  </si>
  <si>
    <t>Discription of Item</t>
  </si>
  <si>
    <t>Name of Quarry</t>
  </si>
  <si>
    <t>Lead in KM</t>
  </si>
  <si>
    <t>Initial Cost</t>
  </si>
  <si>
    <t>Add Conveyance Charges</t>
  </si>
  <si>
    <t>Conveyance charges after Deducting 14 % Overheads + Contractor’s profit</t>
  </si>
  <si>
    <t>Machine  Crushing Charges</t>
  </si>
  <si>
    <t>Blasting Charges</t>
  </si>
  <si>
    <t>Add Loading Charges</t>
  </si>
  <si>
    <t>Add Unloading Charges</t>
  </si>
  <si>
    <t>Add Seigniorage Charges</t>
  </si>
  <si>
    <t>Total</t>
  </si>
  <si>
    <t>Steel Fe 415</t>
  </si>
  <si>
    <t>Sand for Mortar - 93-36 A</t>
  </si>
  <si>
    <t>Sand for Filling - 94-B</t>
  </si>
  <si>
    <t>2nd Class Bricks - BMT-A-01</t>
  </si>
  <si>
    <t>40mm HBG metal SS5 M/C Metal - 30 - F</t>
  </si>
  <si>
    <t>20mm HBG SS5 M/C chips - 28 - D</t>
  </si>
  <si>
    <t>RR masonary</t>
  </si>
  <si>
    <t>Gravel - 90-34</t>
  </si>
  <si>
    <t>Certificates :</t>
  </si>
  <si>
    <t>1. Certified that the above leads are shortest and correct to the best of my knowledge and belief.</t>
  </si>
  <si>
    <t>2. Certified that the metal is obtained by blasting.</t>
  </si>
  <si>
    <t>3. Certified that the seigniorage charges and TOT charges are actually payable.</t>
  </si>
  <si>
    <t>Deputy Executive Engineer                              P R I : Sub Division  : Parchur</t>
  </si>
  <si>
    <t>Assistant Executive Engineer(Spl)  
 PRISD Parchur</t>
  </si>
  <si>
    <t>Civil work Datas</t>
  </si>
  <si>
    <t>Index-code</t>
  </si>
  <si>
    <t>Sl No</t>
  </si>
  <si>
    <t xml:space="preserve"> </t>
  </si>
  <si>
    <t>Unit</t>
  </si>
  <si>
    <t>Quantity</t>
  </si>
  <si>
    <t>Rate Rs.</t>
  </si>
  <si>
    <t>Amount Rs.</t>
  </si>
  <si>
    <t xml:space="preserve">Earth work excavation and depositing the soil on banks with an initial lead  of 10m and initial lift of 2m  in  loamy and clay soils like BC soils, red earth and ordinary gravel SS 20B including shoring ,strutting,sheeting ,planking and dewatering cost of hire charges of T&amp;P labour charges etc. complete for finished item of work for foundation of building (APSS NO.308) </t>
  </si>
  <si>
    <t>Initial cost</t>
  </si>
  <si>
    <t>Cum</t>
  </si>
  <si>
    <t>Add Municipal Allowance on labour at 20%</t>
  </si>
  <si>
    <t>b</t>
  </si>
  <si>
    <t xml:space="preserve">Filling with useful available excavated earth (excluding rock) in trenches, sides of foundations and basement with initial lead in layers not exceeding 15cm thick, consolidating each deposited layer by watering and ramming including cost and Cost and Conveyance  of water to site and all operational, incidental, labour charges,  sales and other taxes etc, hire charges of T &amp; P etc., complete for finished item of work. (APSS NO. 309 &amp; 310) </t>
  </si>
  <si>
    <t>Filling charges</t>
  </si>
  <si>
    <t>c</t>
  </si>
  <si>
    <t xml:space="preserve">Filling with gravel (excluding rock) in trenches, sides of foundations and basement with initial lead in layers not exceeding 15cm thick, consolidating each deposited layer by watering and ramming including cost and Cost and Conveyance  of water to site and all operational, incidental, labour charges, , sales and other taxes etc, hire charges of T &amp; P etc., complete for finished item of work. (APSS NO. 309 &amp; 310) </t>
  </si>
  <si>
    <t xml:space="preserve">Gravel </t>
  </si>
  <si>
    <t>Labour charges</t>
  </si>
  <si>
    <t>1 cum</t>
  </si>
  <si>
    <t xml:space="preserve">Filling with Sand (excluding rock) in trenches, sides of foundations and basement with initial lead in layers not exceeding 15cm thick, consolidating each deposited layer by watering and ramming including cost and Cost and Conveyance  of water to site and all operational, incidental, labour charges, Seigoirage charges, sales and other taxes etc, hire charges of T &amp; P etc., complete for finished item of work. (APSS NO. 309 &amp; 310) </t>
  </si>
  <si>
    <t>BLD-CSTN-1</t>
  </si>
  <si>
    <t>MORTARS</t>
  </si>
  <si>
    <t>BLD-CSTN-1-3</t>
  </si>
  <si>
    <t>Cement Mortar (1 : 2)</t>
  </si>
  <si>
    <t>Unit : 1cum</t>
  </si>
  <si>
    <t>A. MATERIALS:</t>
  </si>
  <si>
    <t>kg.</t>
  </si>
  <si>
    <t>Sand (including 5% wastage)</t>
  </si>
  <si>
    <t>Seigniorage charges for sand</t>
  </si>
  <si>
    <t>B. MACHINERY</t>
  </si>
  <si>
    <t>- Nil -</t>
  </si>
  <si>
    <t>-</t>
  </si>
  <si>
    <t>C. LABOUR:</t>
  </si>
  <si>
    <t>Man mazdoor for mixing mortar</t>
  </si>
  <si>
    <t>day</t>
  </si>
  <si>
    <t>Grand Total</t>
  </si>
  <si>
    <t>BLD-CSTN-1-4</t>
  </si>
  <si>
    <t>Cement Mortar (1 : 3)</t>
  </si>
  <si>
    <t>BLD-CSTN-1-5</t>
  </si>
  <si>
    <t>Cement Mortar (1 : 4)</t>
  </si>
  <si>
    <t>BLD-CSTN-1-6</t>
  </si>
  <si>
    <t>Cement Mortar (1 : 5)</t>
  </si>
  <si>
    <t>BLD-CSTN-1-7</t>
  </si>
  <si>
    <t>Cement Mortar (1 : 6)</t>
  </si>
  <si>
    <t>BLD-CSTN-1-8</t>
  </si>
  <si>
    <t>Cement Mortar (1 : 8)</t>
  </si>
  <si>
    <t>BLD-CSTN-2</t>
  </si>
  <si>
    <t>CONCRETE, DAMP PROOF COURSE &amp; REINFORCEMENT</t>
  </si>
  <si>
    <t>BLD-CSTN-2-1</t>
  </si>
  <si>
    <t xml:space="preserve">Plain Cement concrete Grade M20 - Nominal Mix </t>
  </si>
  <si>
    <t>Total cost per each</t>
  </si>
  <si>
    <t>Flooring with 100mm thick Cement Concrete 1:6:10,  using 40mm metal, 100mm thick and 20 mm Cement Concrete surface (Ellis Pattern, 1st Sort)</t>
  </si>
  <si>
    <t>2.36mm to 5mm metal</t>
  </si>
  <si>
    <t>using 20mm metal with hand mixing</t>
  </si>
  <si>
    <t>Kg</t>
  </si>
  <si>
    <t xml:space="preserve">Coarse aggregate 20mm </t>
  </si>
  <si>
    <t>Fine aggregate (Sand)</t>
  </si>
  <si>
    <t>Seigniorage charges for C.A</t>
  </si>
  <si>
    <t>Seigniorage charges for F.A</t>
  </si>
  <si>
    <t>B. LABOUR:</t>
  </si>
  <si>
    <r>
      <t>Mason 1</t>
    </r>
    <r>
      <rPr>
        <vertAlign val="superscript"/>
        <sz val="10"/>
        <rFont val="Arial"/>
        <family val="2"/>
      </rPr>
      <t>st</t>
    </r>
    <r>
      <rPr>
        <sz val="10"/>
        <rFont val="Arial"/>
        <family val="2"/>
      </rPr>
      <t xml:space="preserve"> class</t>
    </r>
  </si>
  <si>
    <t>Mazdoor (unskilled)</t>
  </si>
  <si>
    <t>Water (including for curing)</t>
  </si>
  <si>
    <t>kl</t>
  </si>
  <si>
    <t>Note : For Nominal Mix : Considering table 9 IS 456 : 2000, the quantity of cement needed is 405 kgs / cum. Hence proposed 400 kgs of cement for cum of CC M20</t>
  </si>
  <si>
    <t>BLD-CSTN-2-2</t>
  </si>
  <si>
    <t>Plain Cement concrete Grade M10 - Nominal Mix upto Plinth level</t>
  </si>
  <si>
    <t>using 40mm metal using concrete mixer</t>
  </si>
  <si>
    <t xml:space="preserve">Coarse aggregate 40mm </t>
  </si>
  <si>
    <t>Concrete Mixer 10 / 7 cft (0.2 / 0.8 cum) capacity</t>
  </si>
  <si>
    <t>hour</t>
  </si>
  <si>
    <t>BLD-CSTN-2-3</t>
  </si>
  <si>
    <t>PCC Grade M15 - Nominal mix 1:2.5:5 (Hand mixing)</t>
  </si>
  <si>
    <t>Unit = 1cum</t>
  </si>
  <si>
    <t>A) Material</t>
  </si>
  <si>
    <t>Coarse sand</t>
  </si>
  <si>
    <t>40 mm aggregate</t>
  </si>
  <si>
    <t>20 mm aggregate</t>
  </si>
  <si>
    <t>10 mm aggregate</t>
  </si>
  <si>
    <t xml:space="preserve">B) Labour </t>
  </si>
  <si>
    <t>Mason (1st Class)</t>
  </si>
  <si>
    <t>Mazdoor (Unskilled)</t>
  </si>
  <si>
    <t>BLD-CSTN-2-4</t>
  </si>
  <si>
    <t>Plain Cement concrete (1:4:8) using 40 mm metal with hand mixing upto Plinth level</t>
  </si>
  <si>
    <t xml:space="preserve">Coarse aggregate 40 mm </t>
  </si>
  <si>
    <t>BLD-CSTN-2-5</t>
  </si>
  <si>
    <t>Plain Cement concrete (1:4:8) using 40 mm metal with concrete mixture.           All work upto plinth level.</t>
  </si>
  <si>
    <t>Water Charges 1%</t>
  </si>
  <si>
    <t>BLD-CSTN-2-6</t>
  </si>
  <si>
    <t>Plain Cement concrete (1:5:10) using 40 mm metal with hand mixing upto Plinth level</t>
  </si>
  <si>
    <t>BLD-CSTN-2-8</t>
  </si>
  <si>
    <t>Plain Cement concrete (1:6:10) using 40 mm metal with hand mixing upto Plinth level</t>
  </si>
  <si>
    <t>BLD-CSTN-2-9</t>
  </si>
  <si>
    <t>Plain Cement concrete (1:6:10) using 40 mm metal with Concrete mixture upto Plinth level</t>
  </si>
  <si>
    <t>BLD-CSTN-2-11</t>
  </si>
  <si>
    <t>Plain Cement concrete (M 20) Nominal Mix using 40mm metal using concrete mixer</t>
  </si>
  <si>
    <t>Coarse aggregate 40mm graded</t>
  </si>
  <si>
    <t>BLD-CSTN-2-12</t>
  </si>
  <si>
    <t xml:space="preserve">Plain Cement concrete (M 15) Nominal Mix 1:2.5:5 </t>
  </si>
  <si>
    <t xml:space="preserve">Coarse aggregate 10mm </t>
  </si>
  <si>
    <t>BLD-CSTN-2-13</t>
  </si>
  <si>
    <t>NEW</t>
  </si>
  <si>
    <t>A</t>
  </si>
  <si>
    <t>FOUNDATIONS, PLINTH, PEDESTALS (Below Plinth)</t>
  </si>
  <si>
    <t>BLD-
CSTN-7-14</t>
  </si>
  <si>
    <t>Stone Chippings 3.34 mm - 10 mm</t>
  </si>
  <si>
    <r>
      <t>Mason 1</t>
    </r>
    <r>
      <rPr>
        <vertAlign val="superscript"/>
        <sz val="9"/>
        <rFont val="Arial"/>
        <family val="2"/>
      </rPr>
      <t>st</t>
    </r>
    <r>
      <rPr>
        <sz val="9"/>
        <rFont val="Arial"/>
        <family val="2"/>
      </rPr>
      <t xml:space="preserve"> class</t>
    </r>
  </si>
  <si>
    <r>
      <t>Mason 2</t>
    </r>
    <r>
      <rPr>
        <vertAlign val="superscript"/>
        <sz val="9"/>
        <rFont val="Arial"/>
        <family val="2"/>
      </rPr>
      <t>nd</t>
    </r>
    <r>
      <rPr>
        <sz val="9"/>
        <rFont val="Arial"/>
        <family val="2"/>
      </rPr>
      <t xml:space="preserve"> class</t>
    </r>
  </si>
  <si>
    <t>BLD-CSTN-6-18</t>
  </si>
  <si>
    <t>Ground Floor</t>
  </si>
  <si>
    <t>Unit = 1 cum</t>
  </si>
  <si>
    <t>No of blocks required for one cum of Masonry</t>
  </si>
  <si>
    <t>Cost of Cement Mortar (1:6)</t>
  </si>
  <si>
    <t>Mason 1st class</t>
  </si>
  <si>
    <t>Mason 2nd class</t>
  </si>
  <si>
    <t>Man Mazdoor</t>
  </si>
  <si>
    <t>Woman Mazdoor</t>
  </si>
  <si>
    <t>Cement Concrete 1:4:8 using concrete mixer</t>
  </si>
  <si>
    <t>Fly ash cement solid bricks 290x225x140</t>
  </si>
  <si>
    <t>Parchur</t>
  </si>
  <si>
    <t>Est Cost</t>
  </si>
  <si>
    <t>Lakhs</t>
  </si>
  <si>
    <t>Total  cost per each</t>
  </si>
  <si>
    <t>Masonry work in CM (1:6) prop with Flyash Cement solid blocks of size 290 x 225 x 140 mm for manufacturing of flyash solid blocks using flyash of 80 kgs, cement of 15 kgs. Gypsum of 5 kgs. and stone dust including cost and conveyance of all materials, labour charges, seiniorage charges, scaffolding and curing etc., cpomplete with a compresive streangth not lessthan 50 kg/sqm for walls for basement Walls.</t>
  </si>
  <si>
    <t>20mm HBG metal</t>
  </si>
  <si>
    <t>12mm HBG  metal</t>
  </si>
  <si>
    <t>20mm HBG  metal</t>
  </si>
  <si>
    <t>20mm HBG graded metal</t>
  </si>
  <si>
    <t>Kgs</t>
  </si>
  <si>
    <t>1st Class Mason</t>
  </si>
  <si>
    <t>2nd Class Mason</t>
  </si>
  <si>
    <t>Mazdoor (Both Men and Women)</t>
  </si>
  <si>
    <t>Cost of Diesel for Miller</t>
  </si>
  <si>
    <t>Liters</t>
  </si>
  <si>
    <t>Cost of Petrol for Vibrator</t>
  </si>
  <si>
    <t>BASIC COST per 1 cum</t>
  </si>
  <si>
    <t>a</t>
  </si>
  <si>
    <t>Footings</t>
  </si>
  <si>
    <t xml:space="preserve">Materials Hire charges-Bldg </t>
  </si>
  <si>
    <t xml:space="preserve">Labour charges - Bldg </t>
  </si>
  <si>
    <t>Pedastals</t>
  </si>
  <si>
    <t>Plinth beams</t>
  </si>
  <si>
    <t>COLUMNS, LINTELS, WATER TANKS, RCC WALLS IN BUILDINGS</t>
  </si>
  <si>
    <t>Lintels</t>
  </si>
  <si>
    <t>Columns</t>
  </si>
  <si>
    <t>C</t>
  </si>
  <si>
    <t>RCC SLABS, BEAMS</t>
  </si>
  <si>
    <t>Beams</t>
  </si>
  <si>
    <t>Slabs</t>
  </si>
  <si>
    <t>Sunshades 75 mm at fixed end and 50mm at free end</t>
  </si>
  <si>
    <t>rmt</t>
  </si>
  <si>
    <t>BLD-CSTN-2-18</t>
  </si>
  <si>
    <t>26 11.7</t>
  </si>
  <si>
    <t>Supplying, fitting and placing HYSD bar reinforcement in foundation complete as per drawings and technical specifications for Bars below 36 mm dia including over laps and wastage, where they are not welded</t>
  </si>
  <si>
    <t>1000 &amp; 1200</t>
  </si>
  <si>
    <t>Unit = t</t>
  </si>
  <si>
    <t>(a) Material</t>
  </si>
  <si>
    <t>HYSD bars including 5 per cent for overlaps and wastage</t>
  </si>
  <si>
    <t>t</t>
  </si>
  <si>
    <t>Binding wire</t>
  </si>
  <si>
    <t>(b) Labour for cutting, bending, shifting to site, tying and placing in position</t>
  </si>
  <si>
    <t>Blacksmith / Bar bender</t>
  </si>
  <si>
    <t>Sundries on Material</t>
  </si>
  <si>
    <t>(c) Overheads on (a+b)</t>
  </si>
  <si>
    <t>Rate per t = a+b+c+d</t>
  </si>
  <si>
    <t>iv</t>
  </si>
  <si>
    <t>Brick Masonry in CM (1:6) with 2nd class Bricks traditional size 23 x 11 x 7 cms</t>
  </si>
  <si>
    <t>Bricks traditional size 23 x 11 x 7 cms 2nd class</t>
  </si>
  <si>
    <r>
      <t>Mason 2</t>
    </r>
    <r>
      <rPr>
        <vertAlign val="superscript"/>
        <sz val="10"/>
        <rFont val="Arial"/>
        <family val="2"/>
      </rPr>
      <t>nd</t>
    </r>
    <r>
      <rPr>
        <sz val="10"/>
        <rFont val="Arial"/>
        <family val="2"/>
      </rPr>
      <t xml:space="preserve"> class</t>
    </r>
  </si>
  <si>
    <t xml:space="preserve">Brick Masonry in CM (1:8) with Bricks traditional size 23 x 11 x 7 cms 2nd Class </t>
  </si>
  <si>
    <t>BLD-CSTN-6</t>
  </si>
  <si>
    <t>PLASTERING</t>
  </si>
  <si>
    <t>BLD-CSTN-6-1</t>
  </si>
  <si>
    <t>Plastering with CM (1:3), 12 mm thick</t>
  </si>
  <si>
    <t>Unit = 10 sqm</t>
  </si>
  <si>
    <t>Cement Mortar (1:3)</t>
  </si>
  <si>
    <t>BLD-CSTN-6-2</t>
  </si>
  <si>
    <t>Plastering with CM (1:4), 12 mm thick</t>
  </si>
  <si>
    <t>Cement Mortar (1:4)</t>
  </si>
  <si>
    <t>Deduction for stacking</t>
  </si>
  <si>
    <t>Labour charges mazdoor unskilled</t>
  </si>
  <si>
    <t>add water charges @1%</t>
  </si>
  <si>
    <t>R.C.C. M-20 Design Mix</t>
  </si>
  <si>
    <t>RCC M- 20 Design mix (Cement:fine aggregate: coarse aggregate) corresponding to Table 9 of IS 456 using 20mm size graded machine crushed hard granite metal (coarse aggregate) from approved quarry including cost and conveyance of all materials like cement, fine aggregate (sand) coarse aggregate, water etc., to site and including  sales &amp; other taxes on all materials including all operational, incidental and labour charges such as machine mixing, laying concrete, curing etc.,complete but excluding cost of steel and its fabrication charges for finished item of work, but excluding  centering, shuttering.</t>
  </si>
  <si>
    <t>12mm HBG graded metal</t>
  </si>
  <si>
    <t>12mm HBG metal</t>
  </si>
  <si>
    <t>5 to7mm metal</t>
  </si>
  <si>
    <t>BLD-CSTN-6-3</t>
  </si>
  <si>
    <t>Plastering with CM (1:5), 12 mm thick</t>
  </si>
  <si>
    <t>Cement Mortor (1:5)</t>
  </si>
  <si>
    <t>BLD-CSTN-6-4</t>
  </si>
  <si>
    <t>Plastering with CM (1:6), 12 mm thick</t>
  </si>
  <si>
    <t>Cement Mortor (1:6)</t>
  </si>
  <si>
    <t>BLD-CSTN-6-5</t>
  </si>
  <si>
    <t>Plastering with CM (1:8), 12 mm thick</t>
  </si>
  <si>
    <t>BLD-CSTN-6-6</t>
  </si>
  <si>
    <t>Plastering with CM (1:4), 15 mm thick</t>
  </si>
  <si>
    <t>BLD-CSTN-6-7</t>
  </si>
  <si>
    <t>Plastering with CM (1:4), 20 mm thick</t>
  </si>
  <si>
    <t>BLD-CSTN-6-8</t>
  </si>
  <si>
    <t>Plastering with CM (1:3), 20 mm thick</t>
  </si>
  <si>
    <t>Note : When Mortar mix is changed proportionate quantity of cement has to be substituted</t>
  </si>
  <si>
    <t>Mason 2nd  class</t>
  </si>
  <si>
    <t>BLD-CSTN-6-9</t>
  </si>
  <si>
    <t>Plastering with CM 2 coats, 12 mm thick, base coat in CM (1:6), 8 mm thick and top coat in CM (1:4), 4mm thick with Dubara sponze finishing.</t>
  </si>
  <si>
    <t>.</t>
  </si>
  <si>
    <t>Base Coat in CM(1:6), 8 mm thick</t>
  </si>
  <si>
    <t>Top Coat in CM(1:4), 4 mm thick</t>
  </si>
  <si>
    <t>BLD-CSTN-6-10</t>
  </si>
  <si>
    <t>Plastering with CM 2 coats, 12 mm thick, base coat in CM (1:5), 8mm thick and top coat in CM (1:3), 4mm thick with sponze finishing.</t>
  </si>
  <si>
    <t>Base Coat in CM(1:5), 8 mm thick</t>
  </si>
  <si>
    <t>Top Coat in CM(1:3), 4 mm thick</t>
  </si>
  <si>
    <t>BLD-CSTN-7</t>
  </si>
  <si>
    <t>FLOORING</t>
  </si>
  <si>
    <t>Grant</t>
  </si>
  <si>
    <t>900x1200</t>
  </si>
  <si>
    <t>SL NO</t>
  </si>
  <si>
    <t>Rm</t>
  </si>
  <si>
    <t>Est Cost:</t>
  </si>
  <si>
    <t>Initial Cost after deduction of 1st Km</t>
  </si>
  <si>
    <t>add C.P.&amp;O.H.</t>
  </si>
  <si>
    <t>125mm long butt Hinges (Aluminium)</t>
  </si>
  <si>
    <t>Door stopers (MS POWDER COATED)</t>
  </si>
  <si>
    <t>Flooring with 40 mm thick Rough Cuddapah/Shabad stones, set over base coat of cement mortar (1 : 8) 12 mm thick over CC bed already laid or RCC roof slab, including pointing with cement mortar 1:3 duly filling joints nearly, including cost of all materials like flooring stone, cement, sand, and water etc., complete, including seigniorage charges,  labour charges for dressing of flooring stones etc., complete for finished item of work, but excluding the cost of conveyance of all materials.</t>
  </si>
  <si>
    <t>BLD-CSTN-7-2</t>
  </si>
  <si>
    <t>Cement for CM 1:3 proportion for pointing</t>
  </si>
  <si>
    <t>Sand for CM (1:3) proportion</t>
  </si>
  <si>
    <t>Seigniorage charges of sand</t>
  </si>
  <si>
    <t>40 mm thick Rough Cuddapah/Shabad stones,</t>
  </si>
  <si>
    <t>over windows</t>
  </si>
  <si>
    <t>SEIGNORAGE CHARGES</t>
  </si>
  <si>
    <t>S.No.</t>
  </si>
  <si>
    <t>Type of Material</t>
  </si>
  <si>
    <t>Material</t>
  </si>
  <si>
    <t>Units</t>
  </si>
  <si>
    <t>CC (1:4:8)</t>
  </si>
  <si>
    <t>x</t>
  </si>
  <si>
    <t>bricks</t>
  </si>
  <si>
    <t xml:space="preserve">Rough Cuddapah/Shabad stones (40 mm thick) </t>
  </si>
  <si>
    <t>Sand for Concrete</t>
  </si>
  <si>
    <t>Water proof compound (BMT-H.01)</t>
  </si>
  <si>
    <t>Cost of water proof cement Paint of approved quality( BMT-J.24)</t>
  </si>
  <si>
    <t>Synthetic Enamel paint (at 20 sqm / litre as per British Paints (I) Ltd. BMT-J.30.</t>
  </si>
  <si>
    <t>Door stoppers (MS Powder coated)</t>
  </si>
  <si>
    <t>Butt hinges 125mm MS Powder coated</t>
  </si>
  <si>
    <t>Labour charges for wrought &amp;put up for making window and doors</t>
  </si>
  <si>
    <t>Ist class mason</t>
  </si>
  <si>
    <t>IInd class mason</t>
  </si>
  <si>
    <t>Mazdoor</t>
  </si>
  <si>
    <t>unit =1cum</t>
  </si>
  <si>
    <t>labour charges for auguring</t>
  </si>
  <si>
    <t>labour charges for bulbs</t>
  </si>
  <si>
    <t>Cost of Steel (including weilding &amp; fixing in to frame)</t>
  </si>
  <si>
    <r>
      <t xml:space="preserve">Drilling of D/U piles of </t>
    </r>
    <r>
      <rPr>
        <b/>
        <sz val="10"/>
        <rFont val="Arial"/>
        <family val="2"/>
      </rPr>
      <t>18" dia  and 18' depth</t>
    </r>
    <r>
      <rPr>
        <sz val="10"/>
        <rFont val="Arial"/>
        <family val="2"/>
      </rPr>
      <t xml:space="preserve"> including cost and conveyance of all material and all labour chargestand hire charges of drill bit tripod, and all other incidental charges etc complete.</t>
    </r>
  </si>
  <si>
    <t>for door size of 1.50x2.10</t>
  </si>
  <si>
    <t>11829.50x(1.5x2.10)/(1.2x2.10)</t>
  </si>
  <si>
    <t>for window of size 1.22x1.20 mts</t>
  </si>
  <si>
    <t>GF</t>
  </si>
  <si>
    <t>FF</t>
  </si>
  <si>
    <t>SF</t>
  </si>
  <si>
    <t xml:space="preserve">Basic Rate </t>
  </si>
  <si>
    <t xml:space="preserve">centering charges for Materials </t>
  </si>
  <si>
    <t xml:space="preserve">centering charges for labour </t>
  </si>
  <si>
    <t xml:space="preserve">Add Lift Charges  @ 10% on LC </t>
  </si>
  <si>
    <t>10%</t>
  </si>
  <si>
    <t>Add 14% overhead charges, Contractor profit</t>
  </si>
  <si>
    <t>Rate per Cum</t>
  </si>
  <si>
    <t>Basic Rate for 1 cum</t>
  </si>
  <si>
    <t>Basic Rate for 1 Sqm of 125mm thick</t>
  </si>
  <si>
    <t>Rate per Sqm</t>
  </si>
  <si>
    <t xml:space="preserve">Basic Rate for 0.60m wide and per Rmt of thickness 0.075m at fixed and 0.05m at free end </t>
  </si>
  <si>
    <t>Rate per Rm</t>
  </si>
  <si>
    <t>Cost  per Rm( Excluding vibrator charges)</t>
  </si>
  <si>
    <t>S No</t>
  </si>
  <si>
    <t>Description</t>
  </si>
  <si>
    <t>Qt</t>
  </si>
  <si>
    <t>Earth work excavation for foundations and depositing on bank for all lifts and with an initial lead of 10m including all operational, incidental, labour charges such as shoring ,sheeting, planking, strutting, etc. complete for finished item of work including seigniorage excluding dewatering charges etc as per SS - 20 B (APSS 308) including cost and conveyance of all material and labour charges, and contractors profit &amp; over heads but excluding seignorage charges and VAT etc., complete.</t>
  </si>
  <si>
    <t>Unit : 1 cum</t>
  </si>
  <si>
    <t>a) Labour</t>
  </si>
  <si>
    <t>Mazdoor ( Unskilled)</t>
  </si>
  <si>
    <t xml:space="preserve">No </t>
  </si>
  <si>
    <t>Add 75% for foundations</t>
  </si>
  <si>
    <t xml:space="preserve">Cost for 10 cum </t>
  </si>
  <si>
    <t xml:space="preserve">Rate per 10 cum </t>
  </si>
  <si>
    <t>Rate per 1cum</t>
  </si>
  <si>
    <t>As per CSSR</t>
  </si>
  <si>
    <t>Rs</t>
  </si>
  <si>
    <t>Earth work excavation for foundations and depositing on bank for all lifts and with an initial lead of 10m including all operational, incidental, labour charges such as shoring ,sheeting, planking, strutting, etc. complete for finished item of work including seigniorage excluding dewatering charges etc as per SS - 20 B (APSS 308) including cost and conveyance of all material and labour charges and contractors profit &amp; over heads but excluding VAT &amp; seignorage charges etc., complete.</t>
  </si>
  <si>
    <t>BLD-CSTN-2-8 
Amnedment A(2)</t>
  </si>
  <si>
    <t>Supply and filling of sand in trenches, sides of foundations and basement with initial lead in layers not exceeding 15 cm thick, consolidating each deposited layer by watering and ramming including cost all operational, incidental, labour charges,  complete for finished item of work. (APSS NO. 309 &amp; 310) including cost and conveyance of all material and labour charges, and contractors profit &amp; over heads but excluding seignorage charges and VAT etc., complete.</t>
  </si>
  <si>
    <t>Unit : 6 cum</t>
  </si>
  <si>
    <t xml:space="preserve">Sand for filling </t>
  </si>
  <si>
    <t xml:space="preserve">Rate per 1 cum </t>
  </si>
  <si>
    <t>BLD-
CSTN-2-9</t>
  </si>
  <si>
    <t>Supply and filling of earth (ordinary soil)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including cost and conveyance of all material and labour charges,and contractors profit &amp; over heads but excluding seignorage charges and VAT etc., complete.</t>
  </si>
  <si>
    <t>Unit = cum</t>
  </si>
  <si>
    <t>Taking output = 6 cum</t>
  </si>
  <si>
    <t>a)  Labour</t>
  </si>
  <si>
    <t>Mate</t>
  </si>
  <si>
    <t>Cost for 6 cum = a+b+c</t>
  </si>
  <si>
    <t>Note : Cost of transportation of good quality earth has not been included.  Only labour for carrying carted earth with a lead of 50 m to the foundation pits has been taken in the rate. The cost of carted earth/ sand may be worked out separately if the same is not available from the adjoining area.</t>
  </si>
  <si>
    <t>BLD-CSTN-1-1</t>
  </si>
  <si>
    <t>Cement Mortar (1 : 1)</t>
  </si>
  <si>
    <t>Plain Cement Concrete   of (1:4:8:) proportion nominal mix (cement: fine aggregate: Coarse aggregate) using 40mm size HBG M/c (SS5) metal  with concrete mixture including cost and conveyance of all materials like cement, sand(unscreened), coarse aggregate, water etc. to site,  all operational, incidental,  and labour charges such as mixing, laying and ramming concrete in layers in position not exceeding 15cm, finishing top surface, curing concrete,  overhead charges &amp; Contractors profit etc., complete but excluding VAT &amp; seigniorage charges, sales &amp; other taxes on all materials,for finished item of work for Foundations (APSS No. 402).</t>
  </si>
  <si>
    <t xml:space="preserve">Water for Curing </t>
  </si>
  <si>
    <t>Kl</t>
  </si>
  <si>
    <t>40 mm neelde  Vibrator (Petrol)</t>
  </si>
  <si>
    <t xml:space="preserve">For Ground  Floor </t>
  </si>
  <si>
    <t>Rate for other Floors</t>
  </si>
  <si>
    <t>d</t>
  </si>
  <si>
    <t>Slabs of 175 mm thick</t>
  </si>
  <si>
    <t>Basic Rate for 1 Sqm of 175mm thick</t>
  </si>
  <si>
    <t>Steel reinforcement using HYSD bars of Fe-415 grade</t>
  </si>
  <si>
    <t>Providing High Yield Strength Deformed (HYSD) steel bars (Fe 415 grade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including all wastages such as overlaps, couplings, chairs, spacer bars including cost and conveyance of binding wire, cover blocks and all incidental, operational, labour charges such as cutting, bending, placing in position, tying including soverhead charges &amp; Contractors profit but exlcuding VAT  and other taxes on all materials  etc., complete for finished item of work in all floors.( APSS No.126)</t>
  </si>
  <si>
    <t>Rate per t = a+b+c</t>
  </si>
  <si>
    <t>a)</t>
  </si>
  <si>
    <t>Internal walls</t>
  </si>
  <si>
    <t>BL</t>
  </si>
  <si>
    <t>b)</t>
  </si>
  <si>
    <t>External walls</t>
  </si>
  <si>
    <t xml:space="preserve">Fine aggregate (Sand) </t>
  </si>
  <si>
    <t>BASIC COST per 10 sqm</t>
  </si>
  <si>
    <t>10</t>
  </si>
  <si>
    <t>Add lift charges</t>
  </si>
  <si>
    <t>BASIC COST per 1 sqm</t>
  </si>
  <si>
    <t>Base Coat in CM(1:6), 16 mm thick</t>
  </si>
  <si>
    <t xml:space="preserve">Fine aggregate (sand) </t>
  </si>
  <si>
    <t>Add Labour Comp on LC</t>
  </si>
  <si>
    <t xml:space="preserve">Cement for slurry </t>
  </si>
  <si>
    <t>Cement for Pointing with CM (1:3)</t>
  </si>
  <si>
    <t xml:space="preserve">Sand for pointing </t>
  </si>
  <si>
    <t xml:space="preserve">Add lift Charges of Materials  @  10 % on LC </t>
  </si>
  <si>
    <t>Rate per 1Sqm</t>
  </si>
  <si>
    <t>Providing skirting to internal walls to 15 cm height/risers of steps with vitrified tiles length equal to flooring stones, set over base coat of CM (1:5) 12 mm thick with cement slurry of honey like consistency spread at the rate of 3.30 kgs per sqm and jointed with white cement paste mixed with pigment of matching shade to full depth, including over heads &amp; contractor profit cost and conveyrance of all materials like tiles, cement, sand and water etc., complete but excluding VAT and  seigniorage charges, etc., complete for finished item of work.</t>
  </si>
  <si>
    <t>Sand for cm 1:5 base coat</t>
  </si>
  <si>
    <t>Cement for cm 1:5 base coat</t>
  </si>
  <si>
    <t>Cement for slurry</t>
  </si>
  <si>
    <t>White cement for jointing &amp; pointing</t>
  </si>
  <si>
    <t>Mason Ist class</t>
  </si>
  <si>
    <t>Basic rate per 10 Sqmt.</t>
  </si>
  <si>
    <t>Lift Charges per 10 Sqmt.</t>
  </si>
  <si>
    <t>total</t>
  </si>
  <si>
    <t>Rate per 10Sqm</t>
  </si>
  <si>
    <t xml:space="preserve">Flooring with Ceramic non skid tiles of not less than 7.3mm thick 1st quality laid over floor bed /VRCC slab set over 12.0 mm th.in CM (1:8 ) prop. base coat and neat grey cement slurry of honey like consistence spread at the rate of 3.3 kg of cement per Sqm and jointed with neat white cement paste mixed with pigment of matching shade including cost and conveyance of all materials to site, including cost of mixing of mortar and watering, leveling to proper slope and curing including  over heads &amp; contractor profit, all labour charges etc., and excluding VAT and seignorage charges for finished item of work but excluding cost of CC bed and dadoing to walls . (BLD-CSTN-9-6).
</t>
  </si>
  <si>
    <t>Cement for CM (1:8) for base coat</t>
  </si>
  <si>
    <t>White cement  ( BMS-W.68 )</t>
  </si>
  <si>
    <t xml:space="preserve">Sand for CM (1:8) </t>
  </si>
  <si>
    <t>Providing dadooing to walls with 5 to 7mm thick  ceramic  wall tiles 1st quality of 7.30mm and of size approved by Engineer-in-Charge, set over base coat of CM (1:3) 12 mm thick with cement slurry of honey like consistency spread at the rate of 3.30 kgs per sqm and jointed with white cement paste mixed with pigment of matching shade to full depth, including over heads &amp; contractor profit, cost of all materials like tiles, cement, sand and water etc., complete including complete for finished item of work, but excluding VAT and seignorage charges. (BLD-CSTN-9-18)</t>
  </si>
  <si>
    <t>Unit = 10 sqm  (Dadooding)</t>
  </si>
  <si>
    <t>Sand for cm 1:3 base coat</t>
  </si>
  <si>
    <t>Cement for cm 1:3 base coat</t>
  </si>
  <si>
    <t>Providing impervious coat to exposed RCC roof slab surface with CM(1:3), 20mm thick  with 1kg of water proof compound per bag of cement  laid over roof when it is green including over heads &amp; contractor profitcost and conveyance of all materials and all operational, incidental and labour charges for mixing mortar, laying, rendering smooth and thread lining, curing, rounding off junctions of wall and slab but excluding VAT and seignorage charges etc,, complete for finished item of work</t>
  </si>
  <si>
    <t xml:space="preserve">White washing two coats with whiting of approved quality to give an even shade after thoroughly brushing the surface to remove all dirt and remains of loose powdered materials including over heads &amp; contractor profitcost and conveyance  of all materials, and labour charges, incidental such as scaffolding, lift charges but excluding  VAT etc., complete for finished item of work. </t>
  </si>
  <si>
    <t>BMT-J.27</t>
  </si>
  <si>
    <t>Sundries including brushes, ladders, etc.,</t>
  </si>
  <si>
    <t>As per amendment to revised std data vide procs No : ENCB / TA8 / AEE3 / DATA - 2010-11 dt 01.08.2011 of ENC, R&amp;B, Buildings convenor, COCE-Bldg - SOR.</t>
  </si>
  <si>
    <t>PRIMARY COAT:</t>
  </si>
  <si>
    <t>Painting, Priming Coat with Cement Primer Waterbase Interior Gr- 1 Asian/ Berger/ Nerolac/ Saicoat/Indocem or Equivalenton New Plastered Surface</t>
  </si>
  <si>
    <t>10 Sqm</t>
  </si>
  <si>
    <t xml:space="preserve">A) MATERIALS : </t>
  </si>
  <si>
    <t>BMT-J.22</t>
  </si>
  <si>
    <t xml:space="preserve">Plastic Emulsion paint (at 20 sqm / liter as per British Paints (I) Ltd. </t>
  </si>
  <si>
    <t>Ltr</t>
  </si>
  <si>
    <t xml:space="preserve">B) LABOUR </t>
  </si>
  <si>
    <t xml:space="preserve">Painter - 1st Class </t>
  </si>
  <si>
    <t xml:space="preserve">Painter - 2nd class </t>
  </si>
  <si>
    <t xml:space="preserve">Mazdoor </t>
  </si>
  <si>
    <t>Sundries for Spraying Machine etc.,</t>
  </si>
  <si>
    <t>C) Labour Allowance on B</t>
  </si>
  <si>
    <t>Add Hire Charges for Centering and  Scaffolding @10% of Labour Charges  of Centering Rs106.30</t>
  </si>
  <si>
    <t>50%</t>
  </si>
  <si>
    <t>BLD-CSTN-12-2</t>
  </si>
  <si>
    <t>Painting, Priming Coat on New Plastered Surface for internal walls</t>
  </si>
  <si>
    <t>BMT-J.01</t>
  </si>
  <si>
    <t xml:space="preserve">Cement Primer Interior Grade </t>
  </si>
  <si>
    <t>Sundries including brushes, soaps, putty etc.,</t>
  </si>
  <si>
    <t>Total cost for 10 sqm</t>
  </si>
  <si>
    <t>As per amendment to revised std data vide procs No : ENCB / TA8 / AEE3 / DATA - 2010-11 dt 01.08.2011 of ENC, R&amp;B, Buildings convenor, COCE-Bldg - SOR, Item No : 17</t>
  </si>
  <si>
    <t>Painting to new walls with 2 coats of Plastic Emulsion Paint Asian/ Berger/ Nerolac/ Saicoat/Indocem or Equivalent and shade over Priming Coat with Cement Primer Waterbase Interior Gr- 1 Asian/ Berger/ Nerolac/ Saicoat/Indocem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912  for external walls.</t>
  </si>
  <si>
    <t>BLD-CSTN-12-12 - 195</t>
  </si>
  <si>
    <t>Painting to New wood work with two coats of ready mixed first quality  synthetic enamel paint  Grade I of approved quality colour brand and shade over a primary coat of Wood Primer total three coats  in all to give an even shade after throughly brushing the surface to remove all dirt and remains of loose powdered materials, using brushes including over heads &amp; contractor profit cost and conveyance of all material to site, and  all labour charges, scaffolding, but excluding VAT  etc., complete for finished item of work.(BLD-CSTN-12-6 and .BLD-CSTN-12-12).</t>
  </si>
  <si>
    <t>Unit : 10 sqm</t>
  </si>
  <si>
    <t>A.MATERIALS :</t>
  </si>
  <si>
    <t>Painting, Priming Coat on New Wood Work</t>
  </si>
  <si>
    <t>Sqm</t>
  </si>
  <si>
    <t>Synthetic Enamel paint (at 20 sqm / litre as per British Paints (I) Ltd - BMT-J.30</t>
  </si>
  <si>
    <t>BLD-CSTN-12-6-</t>
  </si>
  <si>
    <t>BMT-J.05</t>
  </si>
  <si>
    <t>Wood Primer</t>
  </si>
  <si>
    <t>Providing Mild steel flats and bars for fabricating steel works like Window Grills, Compound Wall Grills, Iron Doors, Windows including cost of welding rods, power charges, including cost of fixing in position as per approved designs and drawings including cost and conveyance of bars from approved sources to site of work, all operational, incidental, and labour charges such as cutting, bending, placing in position etc., but excluding VAT for finished item of work (APSS No.126) in all floors. For window grills, staircase railing &amp; Compound wall grills etc</t>
  </si>
  <si>
    <t>Unit = 1Kg</t>
  </si>
  <si>
    <t xml:space="preserve">MS flats &amp; bars </t>
  </si>
  <si>
    <t>BMM-V.14</t>
  </si>
  <si>
    <t xml:space="preserve">Labour charges for fabrication 
</t>
  </si>
  <si>
    <t>BMM-V.15</t>
  </si>
  <si>
    <t xml:space="preserve">Labour charges for fixing </t>
  </si>
  <si>
    <t>BASIC COST per 1 KG</t>
  </si>
  <si>
    <t>Supply and fixing of 110mm dia ISI mark PVC rain water spouts of 2.5mm thick including Cost of necessary pvc bends, shoes and M.S.clamps  and all other accessories and fixing in position including cost and conveyance of all materials to site, all operational, incidental and labour cahrges such as fixing in alignment, including contractor's profit and over heads etc., complete but excluding VAT   for finished item of work.(APSS NO1328).</t>
  </si>
  <si>
    <t xml:space="preserve">Manufacture, Supply and delivery of Unplasticised PVCs Pipes for potable water supplies conforming to IS : 4985/2000 (third revision) with bell ends (Socket) as per specification in light Grey/Natural Ivory Grey/ Any other Color (except White) inclusive of transportation to the subdivisional stores anywhere in AP excluding Excise duty and Sales Tax etc. PVC pipe 110mm dia </t>
  </si>
  <si>
    <t>RM</t>
  </si>
  <si>
    <t>BMW-G.57</t>
  </si>
  <si>
    <t>110 mm dia - Plain Bend 87.5 Degree - UPVC/SWR Pipe fittings (Prince/Sudhakar/ Kisan/ Supreme or any ISI Brand)</t>
  </si>
  <si>
    <t>No.</t>
  </si>
  <si>
    <t>BMW-G.93</t>
  </si>
  <si>
    <t>110 mm dia - Coupler - UPVC/SWR Pipe fittings (Prince/ Sudhakar/ Kisan/Supreme or any ISI Brand)</t>
  </si>
  <si>
    <t>BMW-G.106</t>
  </si>
  <si>
    <t>110 mm - Pipe Clip - UPVC/SWR Pipe fittings (Prince/ Sudhakar/ Kisan/Supreme or any ISI Brand)</t>
  </si>
  <si>
    <t>Nos.</t>
  </si>
  <si>
    <t>Cutting holes in RCC ( 641 )</t>
  </si>
  <si>
    <t>BMW-I.46</t>
  </si>
  <si>
    <t>Cutting holes in Brick Masonry ( 640 )</t>
  </si>
  <si>
    <t>BMW-G.152</t>
  </si>
  <si>
    <t xml:space="preserve">Labour charges for fixing pipes </t>
  </si>
  <si>
    <t>Rate per 6 RM</t>
  </si>
  <si>
    <t>Rate per 1 RM</t>
  </si>
  <si>
    <t>BLD-CSTN-12.7, Item No.174</t>
  </si>
  <si>
    <t>Painting priming coat  to new iron work Red oxide primer of approved brand after thoroughly brushing the surface to remove all dirt and remains of dead mortar, including cost and conveyance of all materials to work site and all operational, incidental, labour charges including  overhead charges &amp; Contractors profit  but excluding VAT and seigorage charges etc. complete for finished item of work as per APSS No.1212</t>
  </si>
  <si>
    <t>Unit  : 10sq.m</t>
  </si>
  <si>
    <t>Taking out put = 10 sq.m</t>
  </si>
  <si>
    <t>Painter 1st class</t>
  </si>
  <si>
    <t>Day</t>
  </si>
  <si>
    <t>b) Material</t>
  </si>
  <si>
    <t>BMT-J.03</t>
  </si>
  <si>
    <t>lit</t>
  </si>
  <si>
    <t>c) add sundries, brushes etc.,</t>
  </si>
  <si>
    <t>Cost of 10 sq.m = (a+b+c)</t>
  </si>
  <si>
    <t>Finished rate per 1 sq.m</t>
  </si>
  <si>
    <t>BLD-CSTN-12.12, Item No.197</t>
  </si>
  <si>
    <t>Painting to new iron work with 2 coats of synthetic enamel paint of approved brand and shade after thoroughly brushing the surface to remove all dirt and remains of dead mortar, including cost and conveyance of all materials to work site and all operational, incidental, labour charges including  overhead charges &amp; Contractors profit  but excluding VAT and seigorage charges etc. complete for finished item of work as per APSS No.1212</t>
  </si>
  <si>
    <t>Synthetic enamel paint</t>
  </si>
  <si>
    <t>BLD-CSTN-12-7 item No. 174 and 12.12, Item No.197</t>
  </si>
  <si>
    <t>Painting to new iron work with 2 coats of synthetic enamel paint of approved brand and shade over a prime cost with red oxide primer making three coats in all to give an even shade after thoroughly brushing the surface to remove all dirt and remains of dead mortar, including cost and conveyance of all materials to work site and all operational, incidental, labour charges including  overhead charges &amp; Contractors profit  but excluding VAT and seigorage charges etc. complete for finished item of work as per APSS No.1212</t>
  </si>
  <si>
    <t>Cost of priming coat</t>
  </si>
  <si>
    <t>Sub Total</t>
  </si>
  <si>
    <t>Cost of Synthatic enamil paint</t>
  </si>
  <si>
    <t>BLD-CSTN-12-1</t>
  </si>
  <si>
    <t>Painting to new walls with 2 coats of ready mixed acrylic based oil bound wahsable distemper of approved brand and shade over a base coat of appropriate primer of approved brand, making 3 coats in all to give an even shade after thourughly brushing the surface to remove all dirt and remains of loose powdered materials, including cost and conveyance of all materials to work site and all operational, incidental, labour charges etc. complete for finished item of work as per SS 911 for internal walls but excluding VAT.</t>
  </si>
  <si>
    <t>Lts</t>
  </si>
  <si>
    <t>Painter 1st Class</t>
  </si>
  <si>
    <t>Painter 2nd Class</t>
  </si>
  <si>
    <t>BMT-J.21</t>
  </si>
  <si>
    <t>Supply of acrylic based Oil Bound washable Distemper</t>
  </si>
  <si>
    <t xml:space="preserve"> Cost for 10Sqm</t>
  </si>
  <si>
    <t>Add Over Heads 14%</t>
  </si>
  <si>
    <t>Total Cost for 10 Sqm</t>
  </si>
  <si>
    <t>Cost for 1 Sqm</t>
  </si>
  <si>
    <t>LEAD STATEMENT</t>
  </si>
  <si>
    <t>Sl. No.</t>
  </si>
  <si>
    <t>Quarry</t>
  </si>
  <si>
    <t>Convey-ance Charges</t>
  </si>
  <si>
    <t>Blasting charges</t>
  </si>
  <si>
    <t>Crushing charges</t>
  </si>
  <si>
    <t>MT</t>
  </si>
  <si>
    <t>6mm Ms roads</t>
  </si>
  <si>
    <t>Sand for Filling</t>
  </si>
  <si>
    <t>Common burnt clay bricks of class (Non-Modular or traditional size 23 x 11 x 7 cm)</t>
  </si>
  <si>
    <t>40mm HBG metal SS5, M/C</t>
  </si>
  <si>
    <t>20mm HBG SS5 M/c chips</t>
  </si>
  <si>
    <t>Aggregates 10mm nominal size</t>
  </si>
  <si>
    <t>Aggregates 6mm nominal size</t>
  </si>
  <si>
    <t>Gravel</t>
  </si>
  <si>
    <t xml:space="preserve">Polished Bethamcherla slab (white) (0.254 x 0.254m) </t>
  </si>
  <si>
    <t>High Polished Granite 16 to 18 mm thick up to 8'-00 (2.43 M) other than black/ premium colours</t>
  </si>
  <si>
    <t>High Polished Granite 16 to 18 mm thick up to 8'-00 (2.43 M) black</t>
  </si>
  <si>
    <t xml:space="preserve">Man mazdoor </t>
  </si>
  <si>
    <t xml:space="preserve">Woman mazdoor </t>
  </si>
  <si>
    <t>Semi skilled Mason/Electrician / 2nd  Class Carpentor or Painter /Balck smith/Bar bender /Helper</t>
  </si>
  <si>
    <t>Skilled Mason /1st Class Carpentor / /Concrete operater</t>
  </si>
  <si>
    <t>1st Class Painter/</t>
  </si>
  <si>
    <t>Skilled Electrician</t>
  </si>
  <si>
    <t xml:space="preserve">Allowance Over Heads </t>
  </si>
  <si>
    <t>1) Leads are as per lead statement submitted by the Superintending Engineer, PR, Guntur.</t>
  </si>
  <si>
    <t>Labour chargers</t>
  </si>
  <si>
    <t>1sqm</t>
  </si>
  <si>
    <t>PILES CONCRETE</t>
  </si>
  <si>
    <t>TOTAL 1CUM</t>
  </si>
  <si>
    <t>Meeting Hall</t>
  </si>
  <si>
    <t>deuction for doors</t>
  </si>
  <si>
    <r>
      <t>Mason 1</t>
    </r>
    <r>
      <rPr>
        <vertAlign val="superscript"/>
        <sz val="8"/>
        <rFont val="Arial"/>
        <family val="2"/>
      </rPr>
      <t>st</t>
    </r>
    <r>
      <rPr>
        <sz val="8"/>
        <rFont val="Arial"/>
        <family val="2"/>
      </rPr>
      <t xml:space="preserve"> class</t>
    </r>
  </si>
  <si>
    <r>
      <t>Mason 2</t>
    </r>
    <r>
      <rPr>
        <vertAlign val="superscript"/>
        <sz val="8"/>
        <rFont val="Arial"/>
        <family val="2"/>
      </rPr>
      <t>nd</t>
    </r>
    <r>
      <rPr>
        <sz val="8"/>
        <rFont val="Arial"/>
        <family val="2"/>
      </rPr>
      <t xml:space="preserve"> class</t>
    </r>
  </si>
  <si>
    <r>
      <t xml:space="preserve">Plastering to brick masonary wall with  20mm thick double coat in CM (1:6) 16 mm thick base coat and CM (1:4) of 4mm thick top coat with dubara sponge finish including cost and conveyance of all material and labour charges, over heads &amp; contractor profit, all operational, incidental such as scaffolding charges, lift charges, including cutting of Grooves,finishing, curing, but excluding VAT and seignorage charges,  etc., complete for for finished item of work. (APSS 901,903 &amp; 904) (CSSR) for </t>
    </r>
    <r>
      <rPr>
        <b/>
        <sz val="8"/>
        <rFont val="Arial"/>
        <family val="2"/>
      </rPr>
      <t>outer Walls.</t>
    </r>
  </si>
  <si>
    <t>Amount
 Rs.</t>
  </si>
  <si>
    <t>SPECIFICATION REPORT</t>
  </si>
  <si>
    <t>Specification report accompanying the detailed estimate for the work</t>
  </si>
  <si>
    <t>Length in KMs</t>
  </si>
  <si>
    <t>Cuddapah slabs</t>
  </si>
  <si>
    <t>Cost of Saal wood scantels+planks</t>
  </si>
  <si>
    <t>Women Mazdoor</t>
  </si>
  <si>
    <t>Tractor with grader</t>
  </si>
  <si>
    <t>Curing compound</t>
  </si>
  <si>
    <t>Tractor with rotavator</t>
  </si>
  <si>
    <t>Mason Second class</t>
  </si>
  <si>
    <t>Sand for filling</t>
  </si>
  <si>
    <t>Water tanker 6Kl</t>
  </si>
  <si>
    <t>Sand for concrete</t>
  </si>
  <si>
    <t>Water tanker 8Kl</t>
  </si>
  <si>
    <t>Bar bender</t>
  </si>
  <si>
    <t>Sand for Mortar</t>
  </si>
  <si>
    <t>8-10 tonnes roller</t>
  </si>
  <si>
    <t>60 mm metal (ss5)</t>
  </si>
  <si>
    <t>Vibrator roller  8Tonnes</t>
  </si>
  <si>
    <t>Painter second class</t>
  </si>
  <si>
    <t>60-63 mm (IRC)</t>
  </si>
  <si>
    <t>Dozer (D80)</t>
  </si>
  <si>
    <t>Carpenter  first class</t>
  </si>
  <si>
    <t>40 mm metal (ss5)</t>
  </si>
  <si>
    <t>Dozer (D50)</t>
  </si>
  <si>
    <t>40-45 mm (IRC)</t>
  </si>
  <si>
    <t>Motor grader</t>
  </si>
  <si>
    <t>20 mm metal (ss5)</t>
  </si>
  <si>
    <t>Hydralic Excavator</t>
  </si>
  <si>
    <t>Needle Vibrator 40 mm (diesel)</t>
  </si>
  <si>
    <t>19--22 mm (IRC)</t>
  </si>
  <si>
    <t>Front end loader</t>
  </si>
  <si>
    <t>Surveyour</t>
  </si>
  <si>
    <t>10 mm metal (ss5)</t>
  </si>
  <si>
    <t>Air compressor</t>
  </si>
  <si>
    <t>9.5-11.2 mm (IRC)</t>
  </si>
  <si>
    <t>Concrete mixer  0.28 cum</t>
  </si>
  <si>
    <t>12 mm metal (ss5)</t>
  </si>
  <si>
    <t>Concrete mixer  300/200 diesel</t>
  </si>
  <si>
    <t>12-14 mm (IRC)</t>
  </si>
  <si>
    <t>5-7 mm (IRC)</t>
  </si>
  <si>
    <t>6 mm metal (ss5)</t>
  </si>
  <si>
    <t>2.36-5mm (IRC)</t>
  </si>
  <si>
    <t xml:space="preserve"> stone dust and 2.36mm below  (IRC)</t>
  </si>
  <si>
    <t>Brick Country brick</t>
  </si>
  <si>
    <t>1000 nos</t>
  </si>
  <si>
    <t>Polythin sheet 125 micron</t>
  </si>
  <si>
    <t>Jute rope</t>
  </si>
  <si>
    <t>mt</t>
  </si>
  <si>
    <t>Debonding strips</t>
  </si>
  <si>
    <t xml:space="preserve">RR Masonary </t>
  </si>
  <si>
    <t>40 mm KADAPA slabs</t>
  </si>
  <si>
    <t>White cement</t>
  </si>
  <si>
    <t xml:space="preserve">MS Flats </t>
  </si>
  <si>
    <t xml:space="preserve">Initial Cost </t>
  </si>
  <si>
    <t xml:space="preserve">Granite stone tiles 8 mm thick (mirror polished of all shades) </t>
  </si>
  <si>
    <t>add contractors profit 13.615%</t>
  </si>
  <si>
    <t>add contractor's profit 13.615%</t>
  </si>
  <si>
    <t>Add extra for Scaffolding Material  Charges  @Rs 2.37 Sqm</t>
  </si>
  <si>
    <t>Red Oxide Primer - BMT-J.03</t>
  </si>
  <si>
    <t>Add extra for Scaffolding labour  Charges  @   Rs 12.55  Sqm / Rs 17.64 Sqm / 22.73</t>
  </si>
  <si>
    <t>add cotractor's profit 13.615%</t>
  </si>
  <si>
    <t>add contractor's profit13.615%</t>
  </si>
  <si>
    <t>Pile dia up to 300 mm</t>
  </si>
  <si>
    <t>Add cotractor's profit 13.615%</t>
  </si>
  <si>
    <t>Pile dia up to 350 mm to 450 mm</t>
  </si>
  <si>
    <t xml:space="preserve">labour charges </t>
  </si>
  <si>
    <t>Pile dia up to 500 mm to 700 mm</t>
  </si>
  <si>
    <t>wood primer(BMT-J.05)</t>
  </si>
  <si>
    <t>for(0.75x0.90) mts windows</t>
  </si>
  <si>
    <t>150mm MS handle</t>
  </si>
  <si>
    <t>lits</t>
  </si>
  <si>
    <t>for 1.20x1.20 mts windows</t>
  </si>
  <si>
    <t>Door size 1.20X2.10mts</t>
  </si>
  <si>
    <t>Taking output : 1 cum</t>
  </si>
  <si>
    <t>Supply and filling of stone dust of 2.36 mm below size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including cost and conveyance of all material and labour charges, and contractors profit &amp; over heads but excluding seignorage charges and VAT etc., complete.</t>
  </si>
  <si>
    <t>Stone dust ( 2.36 mm below size)</t>
  </si>
  <si>
    <t>Stone dust of 2.36 mm and its below size</t>
  </si>
  <si>
    <t>Loading charges
Excluding 13.615 % O H</t>
  </si>
  <si>
    <t>un loading charges Excluding 13.615 % O H</t>
  </si>
  <si>
    <t>shutter   made of black board type with teak wood veneer on one face and commercial ply on another face 30 mm thick</t>
  </si>
  <si>
    <t>MS Zhold fasts 9" long</t>
  </si>
  <si>
    <t>Name of the Sub work</t>
  </si>
  <si>
    <t>Construction of Ground floor</t>
  </si>
  <si>
    <t>Construction of First floor</t>
  </si>
  <si>
    <t>Provision for Seignorage charges</t>
  </si>
  <si>
    <t>Providing and fixing of openable Windows  made of pre-painted steel( base Steel as per IS 513 of 0.58 mm thick galvanised as per IS 277 with Zinc of 120 GSM), primer coated with epoxy primer of 5-7 microns thick finish painted with a polyster paint of 12-16 microns thick and back coated with 5-7 microns thick alkyd backer and section for outer frame of 48x50 mm, centre mullion of 48x50 mm, section for shutter of 48x25 mm and the fixed glass beading section should be 12x12 mm and the outer frame and mullions tohave rebate for glazed shutter with a20 mm provision for guard bars/grills and the section cut to length metre joined with corner bracket, centre mullion fixed with mullion  cap, handle,stay, 2 nos of stainless steel haevy duty pivot hinges provided per shutter and windows fitted with 5 mm thick plain flaot glass with rubber gaskets including fixing the frames in concrete/ masonry wall by means of self expanding screws,including 10 mm square guard bars with 6' pitch etc, complete for finished item of work</t>
  </si>
  <si>
    <t>double shutter window with vertical member 4'0"x4'0"(1219.2 mm x1219.2 mm) outer frame section size of 48x50 mm shutter frame section size of 48x25 mm and mullion section should be of 48x50 mm</t>
  </si>
  <si>
    <t>add Contractor's profit 13.615%</t>
  </si>
  <si>
    <t>Provision for water supply                          -----------------LS--------</t>
  </si>
  <si>
    <t>Provision for sanitary Facility                     -----------------LS--------</t>
  </si>
  <si>
    <t>Provision for Head room                            -----------------LS--------</t>
  </si>
  <si>
    <t>GENERAL ABSTRACT</t>
  </si>
  <si>
    <t>CONSTRUCTION OF GROUND FLOOR</t>
  </si>
  <si>
    <t>NAME OF THE SUB WORK</t>
  </si>
  <si>
    <t>CONSTRUCTION OF FIRST FLOOR</t>
  </si>
  <si>
    <t>Flooring with vitrified tiles of 1st quality and of size not less than 600mmx600mm x 8-10 mm thickness glossy finish permium colours,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and conveyance of all materials like cement, sand, and water and flooring tiles etc., complete, including   over heads &amp; contractor profit, labour charges  etc., complete for finished item of work, but excluding VAT and seignorage charges.</t>
  </si>
  <si>
    <t>Supply of vitrified polished floor tiles of size not less than 600mmx600mm x 8-10 mm thickness glossy finish permium colours</t>
  </si>
  <si>
    <t>threshold plate</t>
  </si>
  <si>
    <r>
      <t xml:space="preserve">shutter </t>
    </r>
    <r>
      <rPr>
        <sz val="8"/>
        <rFont val="Arial"/>
        <family val="2"/>
      </rPr>
      <t>verticals</t>
    </r>
  </si>
  <si>
    <r>
      <t xml:space="preserve">shutter </t>
    </r>
    <r>
      <rPr>
        <sz val="8"/>
        <rFont val="Arial"/>
        <family val="2"/>
      </rPr>
      <t>rails</t>
    </r>
  </si>
  <si>
    <t>BHATTIPROLU</t>
  </si>
  <si>
    <t>Carpenter  second  class</t>
  </si>
  <si>
    <t>Concrete mixer</t>
  </si>
  <si>
    <t>Concrete mixer  600/400 lit</t>
  </si>
  <si>
    <t>Needle Vibrator 60 mm (diesel)</t>
  </si>
  <si>
    <t>50 mm metal (ss5)</t>
  </si>
  <si>
    <t>50-55 mm (IRC)</t>
  </si>
  <si>
    <t>25 mm metal (ss5)</t>
  </si>
  <si>
    <t>25-27 mm (IRC)</t>
  </si>
  <si>
    <t>9.50 mm to 4.75 mm</t>
  </si>
  <si>
    <t xml:space="preserve"> 4.75 mm to 2.36 mm HBG metal</t>
  </si>
  <si>
    <t>Selected earth</t>
  </si>
  <si>
    <t>quarry rubbish</t>
  </si>
  <si>
    <t>RR RIVET MENT 225mm</t>
  </si>
  <si>
    <t>Synthetic Enamel paint  1st quality BMT-J.29</t>
  </si>
  <si>
    <t>Plastecizer BMT-H.87</t>
  </si>
  <si>
    <t>1kg</t>
  </si>
  <si>
    <t>Bituminous hot sealing compound
 BMT-H.56</t>
  </si>
  <si>
    <t>Bituminous solution primer  coating 
BMT-H.56</t>
  </si>
  <si>
    <t xml:space="preserve">Sealent Sl.No. 176 R&amp;B </t>
  </si>
  <si>
    <t>rural water</t>
  </si>
  <si>
    <t>1KL</t>
  </si>
  <si>
    <t>Wood primer</t>
  </si>
  <si>
    <t>water proof cement paint(BMT-J.25)</t>
  </si>
  <si>
    <t>25kg</t>
  </si>
  <si>
    <t>Fabrication of door &amp; window grills BMW-V.14</t>
  </si>
  <si>
    <t>labou charges of door &amp; window grills fixing  BMW-V.15</t>
  </si>
  <si>
    <t>Cement Jollies 25 mm BMS-W.15</t>
  </si>
  <si>
    <t>Cement Jollies 40 mm BMS-W.16</t>
  </si>
  <si>
    <t>Cement Jollies 50 mm BMS-W.17</t>
  </si>
  <si>
    <t>Water based cement primer BMT-J 01 Gr-I( interior)</t>
  </si>
  <si>
    <t>MS Powder coated Tower bolts 100 mm long BMT-G.14</t>
  </si>
  <si>
    <t>MS Powder coated Tower bolts 150 mm long BMT-G.15</t>
  </si>
  <si>
    <t>MS Powder coated Tower bolts 200 mm long BMT-G.16</t>
  </si>
  <si>
    <t>MS Powder coated Butt Hinges 75 mm long BMT-G.27</t>
  </si>
  <si>
    <t>MS Powder coated Butt Hinges 100mm long BMT-G.28</t>
  </si>
  <si>
    <t>MS Powder coated Butt Hinges 150mm long BMT-G.30</t>
  </si>
  <si>
    <t>MS Powder coated door handles 150mm long BMT-G.36</t>
  </si>
  <si>
    <t>MS Powder coated Aldrop 200 mm long BMT-G.43</t>
  </si>
  <si>
    <t>MS Powder coated Aldrop 300 mm long BMT-G.45</t>
  </si>
  <si>
    <t>MS Powder coated door stopper BMT-G.53</t>
  </si>
  <si>
    <t>Jack hammer</t>
  </si>
  <si>
    <t>Tractor</t>
  </si>
  <si>
    <t>plate compactor</t>
  </si>
  <si>
    <t>Hydaulic broom</t>
  </si>
  <si>
    <t>Bitumen pressure distributor</t>
  </si>
  <si>
    <t>Emulsion  pressure distributor</t>
  </si>
  <si>
    <t>Hot mix plant 4 0- 60 TPH</t>
  </si>
  <si>
    <t>Paver finisher</t>
  </si>
  <si>
    <t>Wet mix plant</t>
  </si>
  <si>
    <t>Road cutting Mechine</t>
  </si>
  <si>
    <t>CONVEYANCE CHARGES FOR 2019-20</t>
  </si>
  <si>
    <t>Supply of vitrified polished floor tiles of size not less than 800x800x(9 ) mm thickness glossy finish permium colours</t>
  </si>
  <si>
    <t>unit</t>
  </si>
  <si>
    <t>:</t>
  </si>
  <si>
    <t>Subtotal of all iteams</t>
  </si>
  <si>
    <t>D E T A I L E D     D A T A S    S S R  -  2019-20</t>
  </si>
  <si>
    <t>Contractor profit</t>
  </si>
  <si>
    <t xml:space="preserve">Muncipal allowance </t>
  </si>
  <si>
    <t xml:space="preserve">add Muncipal allowance </t>
  </si>
  <si>
    <t>CW 01  wage Compont (34816)</t>
  </si>
  <si>
    <t>CW 02 cement /bags (34817)</t>
  </si>
  <si>
    <t>CW 03 Sand filling (34818)</t>
  </si>
  <si>
    <t>CW 04 Sand Mortar (34819)</t>
  </si>
  <si>
    <t>CW 07 20 mm(60%) and 12 mm(40%)   (34822)</t>
  </si>
  <si>
    <t>CW 09 40 mm HBG   (34824)</t>
  </si>
  <si>
    <t>CW 10  for Skilled &amp; Unskilled labour and other maireals (34825)</t>
  </si>
  <si>
    <t>Input Data Sheet for the work</t>
  </si>
  <si>
    <r>
      <t>Note</t>
    </r>
    <r>
      <rPr>
        <b/>
        <sz val="10"/>
        <rFont val="Tahoma"/>
        <family val="2"/>
      </rPr>
      <t>:</t>
    </r>
    <r>
      <rPr>
        <sz val="10"/>
        <rFont val="Tahoma"/>
        <family val="2"/>
      </rPr>
      <t xml:space="preserve"> </t>
    </r>
  </si>
  <si>
    <t>1. The estimate should be prepared habitation wise.</t>
  </si>
  <si>
    <t>3. Wherever gravel thickness is partly existing, provide gravel of 100 mm loose thickness.</t>
  </si>
  <si>
    <t>4. The specification of MS name board has to  be in detail in datasheet.</t>
  </si>
  <si>
    <t>5. The detailed estimate, datasheet and lead statement prepared manually outside the computer should be tied to the computer generated estimate.</t>
  </si>
  <si>
    <r>
      <t xml:space="preserve"> </t>
    </r>
    <r>
      <rPr>
        <b/>
        <u/>
        <sz val="10"/>
        <rFont val="Tahoma"/>
        <family val="2"/>
      </rPr>
      <t xml:space="preserve">A) General Information </t>
    </r>
  </si>
  <si>
    <t>DCC (Departmental Computer Center) Name :</t>
  </si>
  <si>
    <t>Name of Mandal</t>
  </si>
  <si>
    <t>Name of Gram Panchayat</t>
  </si>
  <si>
    <t>Name of Habitation</t>
  </si>
  <si>
    <t xml:space="preserve">Location </t>
  </si>
  <si>
    <t>Total length of road within the Habitation_mts</t>
  </si>
  <si>
    <t>Total length of the proposed Road:   mts</t>
  </si>
  <si>
    <t>Side Drain Length _________________mts</t>
  </si>
  <si>
    <t xml:space="preserve">Locality : SC/ST/GENERAL   </t>
  </si>
  <si>
    <t>Population being served by this Road:</t>
  </si>
  <si>
    <t>B) Abstract estimate</t>
  </si>
  <si>
    <t>Quantites and Rates shall be as per technically sanctioned estimate. Rates shall be worked out as per standard data basing on rates available in RSSR and CSSR.</t>
  </si>
  <si>
    <t xml:space="preserve">SNo </t>
  </si>
  <si>
    <t>Task Name</t>
  </si>
  <si>
    <t>Task code</t>
  </si>
  <si>
    <t xml:space="preserve">Rate Per Unit </t>
  </si>
  <si>
    <t>(in Rs)</t>
  </si>
  <si>
    <t>(Rs.)</t>
  </si>
  <si>
    <t>days</t>
  </si>
  <si>
    <t>bags</t>
  </si>
  <si>
    <r>
      <t>1M</t>
    </r>
    <r>
      <rPr>
        <vertAlign val="superscript"/>
        <sz val="10"/>
        <rFont val="Tahoma"/>
        <family val="2"/>
      </rPr>
      <t>2</t>
    </r>
    <r>
      <rPr>
        <sz val="11"/>
        <color indexed="8"/>
        <rFont val="Calibri"/>
        <family val="2"/>
      </rPr>
      <t/>
    </r>
  </si>
  <si>
    <r>
      <t>1M</t>
    </r>
    <r>
      <rPr>
        <vertAlign val="superscript"/>
        <sz val="10"/>
        <rFont val="Tahoma"/>
        <family val="2"/>
      </rPr>
      <t>3</t>
    </r>
  </si>
  <si>
    <t>Rmt</t>
  </si>
  <si>
    <t>a) 300 MM dia NP3 Class RCC Pipes</t>
  </si>
  <si>
    <t>b) 150 MM dia NP2 Class RCC Pipes</t>
  </si>
  <si>
    <t>Provision for Administrative Charges @2.50%</t>
  </si>
  <si>
    <t>TOTAL Rs.</t>
  </si>
  <si>
    <t>Deputy Executive Engineer,</t>
  </si>
  <si>
    <t>Road Width ____________  mts</t>
  </si>
  <si>
    <t>CC __________________ mts</t>
  </si>
  <si>
    <t xml:space="preserve">CW-G01.Amount for wage component </t>
  </si>
  <si>
    <t>CW-G02.cement</t>
  </si>
  <si>
    <t>CW-G03.sand for filling</t>
  </si>
  <si>
    <t>CW-G05.Grade II Metal:Consisting of 63mm to 45 mm IRC HBG/HBT metal 96% and 19mm to 22mm IRC HBG metal 4%</t>
  </si>
  <si>
    <t>CW-G06.Grade III Metal:Consisting of 53mm to 22.4mm IRC HBG/HBT metal 95% and 20mm to 10  mm IRC HBG metal 5%</t>
  </si>
  <si>
    <t>CW-G07.20mm to 12mm HBG/HBT graded Metal:Consisting of 20mm metal 60% and12mm metal 40%</t>
  </si>
  <si>
    <t>CW-G08.Graded Metal consisting of 60% of 40mm and 40% of 20mm to 10mm graded HBG/HBT metal</t>
  </si>
  <si>
    <t>CW-G09.40 mm nominal HBG/HBT Graded Metal</t>
  </si>
  <si>
    <t>CW-G10.Cost towards engaging skilled labour,semi skilled labour,other materials and equipment charges including all other materials not covered above</t>
  </si>
  <si>
    <t>CW-G11.GST upto 12%</t>
  </si>
  <si>
    <t>CW-G12.QC @0.5%</t>
  </si>
  <si>
    <t>CW-G13.Seignorage charges</t>
  </si>
  <si>
    <t>CW-G14 Cost for supply and delivery of pipes</t>
  </si>
  <si>
    <t>CW-G15.LS amount for unforcen items.</t>
  </si>
  <si>
    <t>CW-G17Cost for laying and jointing of pipes</t>
  </si>
  <si>
    <t>CW-G19. sand for Concrete</t>
  </si>
  <si>
    <t>CW-G20  Cost and supply of steel</t>
  </si>
  <si>
    <t>Provision  for work wise files</t>
  </si>
  <si>
    <t>Name board using Brick masonary size 3ftx4ft</t>
  </si>
  <si>
    <t>Name board using Brick masonary size 2ftx3ft</t>
  </si>
  <si>
    <t>CW -G19 Sand for concrete (34832)</t>
  </si>
  <si>
    <t>Asst. Exe. Engineer</t>
  </si>
  <si>
    <t>Village</t>
  </si>
  <si>
    <t xml:space="preserve">100% NREGS </t>
  </si>
  <si>
    <t>Secretary room</t>
  </si>
  <si>
    <t>Sarpanch room</t>
  </si>
  <si>
    <t>toilet block (sarpanch room attached)</t>
  </si>
  <si>
    <t>Ladies toilet</t>
  </si>
  <si>
    <t xml:space="preserve">Village </t>
  </si>
  <si>
    <t>Sand for Mortor</t>
  </si>
  <si>
    <t>Sand for Blindage</t>
  </si>
  <si>
    <t>HBG Metal</t>
  </si>
  <si>
    <t>Cement Napa slabs</t>
  </si>
  <si>
    <t>RCC pipes</t>
  </si>
  <si>
    <t>Municipal Allowance</t>
  </si>
  <si>
    <t>Oleru</t>
  </si>
  <si>
    <t>Zoolapalem</t>
  </si>
  <si>
    <t>Penumudi</t>
  </si>
  <si>
    <t>Zillepalli</t>
  </si>
  <si>
    <t>Vejendala</t>
  </si>
  <si>
    <t>Lam</t>
  </si>
  <si>
    <t>Kollur</t>
  </si>
  <si>
    <t>Repalle</t>
  </si>
  <si>
    <t>Tenali</t>
  </si>
  <si>
    <t>qty same as item no 25</t>
  </si>
  <si>
    <t xml:space="preserve">add contractor' s  profit  </t>
  </si>
  <si>
    <t xml:space="preserve">add contractor' s  profit </t>
  </si>
  <si>
    <t>Slabs of 125mm thick</t>
  </si>
  <si>
    <t xml:space="preserve">add contractor's profit </t>
  </si>
  <si>
    <t>Add extra for Scaffolding Material  Charges  @Rs 10.32Sqm</t>
  </si>
  <si>
    <t>Add extra for Scaffolding labour  Charges  @Rs 79.46 Sqm/113.78sqm / 148.09sqm</t>
  </si>
  <si>
    <t>Add extra for Scaffolding Material  Charges  @Rs 1.03 Sqm</t>
  </si>
  <si>
    <t>Add extra for Scaffolding labour  Charges  @   Rs 7.95Sqm/Rs 11.38Sqm / 14.81sqm</t>
  </si>
  <si>
    <t>Supply of Ceramic floor tiles of notless than 7.3mm thick 1st quality in all shades and designs  as Per BMT C.01</t>
  </si>
  <si>
    <t>Coloured glazed tiles ( BMT-C.21 )</t>
  </si>
  <si>
    <t xml:space="preserve">water proof compound </t>
  </si>
  <si>
    <t>Add extra for Scaffolding Material  Charges  @Rs 2.46Sqm</t>
  </si>
  <si>
    <t>Add extra for Scaffolding labour  Charges  @   Rs 15.59  Sqm / Rs 22.57 Sqm / 29.23 sqm</t>
  </si>
  <si>
    <t xml:space="preserve">d) Over heads, Contractor profit  @ 13.615 % on ( a+b ) </t>
  </si>
  <si>
    <t>Cost of Primer (Interior)</t>
  </si>
  <si>
    <t>20% MA on Labour charges</t>
  </si>
  <si>
    <t>Add 20% MA on labour charges</t>
  </si>
  <si>
    <t>MS Handles 150 mm</t>
  </si>
  <si>
    <t>200 mm long MS powder coated aldrop</t>
  </si>
  <si>
    <t>150 mm MS powder coated  tower bolt</t>
  </si>
  <si>
    <t>200 mm MS powder coated tower bolt</t>
  </si>
  <si>
    <t>shutter   made of black board type with teak wood veneer on one face and commercial ply on another face 20 mm thick</t>
  </si>
  <si>
    <t>BMT-N.19</t>
  </si>
  <si>
    <t>300 mm long MS powder coated aldrop</t>
  </si>
  <si>
    <t>150 mm MS powder coated tower bolt</t>
  </si>
  <si>
    <t>Butt hinges 150mm long Powder coated</t>
  </si>
  <si>
    <t>BMT-
P.23</t>
  </si>
  <si>
    <t xml:space="preserve">Supply and fixing of  salwood Door single shutter   made of black board type with teak wood veneer on one face and commercial ply on another face 30 mm thick  door of size 0.75 x 2.10mt with frame made of well seasoned sal Wood scantlings of size 100 x 75mm  with fixtures of 6 nos of 9" ' z" holdfasts, 300 mm long MS powder coated  aldrop-1 no,150mm long MS powder coated   butt hinges 3 No's,  150mm long  Tower bolts  - 1no's MS powder coated  ,  200mm long  Tower bolts  - 1no's MS powder coated   Ms powder coated  fancy  handles 150mm long 2no's,   with necessary screws complete including cost and conveyance of all materials and labour charges etc. complete as per specifications  (APSS NO.1001 &amp; 1002)                                                                                                 </t>
  </si>
  <si>
    <t>Rate per Cum   First  floor</t>
  </si>
  <si>
    <t>Rate per Cum for First floor</t>
  </si>
  <si>
    <t>Rate per Rm for First floor</t>
  </si>
  <si>
    <t>Rate per Sqm for First floor</t>
  </si>
  <si>
    <t>Rate per 1 Sqm for First  floor</t>
  </si>
  <si>
    <t>Rate per Cum ground floor</t>
  </si>
  <si>
    <t>Rate per Cum first floor</t>
  </si>
  <si>
    <t>Rate per Cum First  floor</t>
  </si>
  <si>
    <t xml:space="preserve">Rate per 1Sqm FF </t>
  </si>
  <si>
    <t xml:space="preserve">Rate per 1Sqm SF </t>
  </si>
  <si>
    <t>BASIC COST per 1 sqm GF ceiling</t>
  </si>
  <si>
    <t>BASIC COST per 1 sqm FF ceiling</t>
  </si>
  <si>
    <t>BASIC COST per 1 sqm  GF</t>
  </si>
  <si>
    <t>BASIC COST per 1 sqm  FF</t>
  </si>
  <si>
    <t>BASIC COST per 10 sqm  FF</t>
  </si>
  <si>
    <t>BASIC COST per 1 sqm GF</t>
  </si>
  <si>
    <t>BASIC COST per 10 sqm FF</t>
  </si>
  <si>
    <t>BASIC COST per 1 sqm FF</t>
  </si>
  <si>
    <t>Rate per 1Sqm  GF</t>
  </si>
  <si>
    <t>BASIC COST per 10 sqm  GF</t>
  </si>
  <si>
    <t>Rate per 10Sqm GF</t>
  </si>
  <si>
    <t>Rate per 1Sqm GF</t>
  </si>
  <si>
    <t>Rate per 10Sqm FF</t>
  </si>
  <si>
    <t>Rate per 1Sqm FF</t>
  </si>
  <si>
    <t>Rate per 10Sqm  GF</t>
  </si>
  <si>
    <t>Rate per 10Sqm  FF</t>
  </si>
  <si>
    <t>Rate per 1Sqm  FF</t>
  </si>
  <si>
    <t>BM in CM (1:6)with country bricks up to Basement</t>
  </si>
  <si>
    <t>BM in CM (1:8)with country bricks  Super structure</t>
  </si>
  <si>
    <t xml:space="preserve"> vertified tiles Skirting </t>
  </si>
  <si>
    <t xml:space="preserve"> vtrified tiles flooring</t>
  </si>
  <si>
    <t xml:space="preserve">Ceramic tiles flooring </t>
  </si>
  <si>
    <t>Sand for Mortar (screened)</t>
  </si>
  <si>
    <t>1tonnes</t>
  </si>
  <si>
    <t>AKKIVARIPALEM</t>
  </si>
  <si>
    <t>ALLAMUDI</t>
  </si>
  <si>
    <t>CHINTHAMOTU</t>
  </si>
  <si>
    <t>DASARIPALEM HARIZANAWADA H/O
 GORIGAPUDI</t>
  </si>
  <si>
    <t xml:space="preserve"> GORIGAPUDI</t>
  </si>
  <si>
    <t>ILAVARAM</t>
  </si>
  <si>
    <t>KANNEGANTIVARIPALEM</t>
  </si>
  <si>
    <t>KOLLAPALEM</t>
  </si>
  <si>
    <t>KONETIPURAM</t>
  </si>
  <si>
    <t>MALAPALLI H/O VELLATURU</t>
  </si>
  <si>
    <t>OLERU</t>
  </si>
  <si>
    <t>PADAMATIPALEM</t>
  </si>
  <si>
    <t>PALLEKONA</t>
  </si>
  <si>
    <t>PALLIPALEM</t>
  </si>
  <si>
    <t>PEDAPULIVARRU</t>
  </si>
  <si>
    <t>PEDALANKA</t>
  </si>
  <si>
    <t>PEDAPALEM H/O PEDAPULIVARRU</t>
  </si>
  <si>
    <t>PEASARLANKA</t>
  </si>
  <si>
    <t>RACHURU</t>
  </si>
  <si>
    <t>SUREPALLY</t>
  </si>
  <si>
    <t>TATAVARIPALEM</t>
  </si>
  <si>
    <t>THURUPUPALEM H/O OLERU</t>
  </si>
  <si>
    <t>VARIKUTIVARIPALEM</t>
  </si>
  <si>
    <t>VELLATURU</t>
  </si>
  <si>
    <t>VEMAVARAM</t>
  </si>
  <si>
    <t xml:space="preserve">sand for plastering </t>
  </si>
  <si>
    <t>Metal( 20&amp;12 mm )</t>
  </si>
  <si>
    <t>Metal( 40 mm )</t>
  </si>
  <si>
    <t>Plastering in CM (1:3) 12mm thick ornamental ceiling Plastering</t>
  </si>
  <si>
    <t>sand for concrete</t>
  </si>
  <si>
    <t>sand for  filling</t>
  </si>
  <si>
    <t>CW-G04.sand for mortar</t>
  </si>
  <si>
    <t xml:space="preserve">for building </t>
  </si>
  <si>
    <t>for toilet</t>
  </si>
  <si>
    <t>for  toilet</t>
  </si>
  <si>
    <r>
      <t>Drilling of D/U piles of 300 mm</t>
    </r>
    <r>
      <rPr>
        <b/>
        <sz val="8"/>
        <rFont val="Arial"/>
        <family val="2"/>
      </rPr>
      <t xml:space="preserve"> dia  and 3.66 mts depth</t>
    </r>
    <r>
      <rPr>
        <sz val="8"/>
        <rFont val="Arial"/>
        <family val="2"/>
      </rPr>
      <t xml:space="preserve"> including cost and conveyance of all material and all labour chargestand hire charges of drill bit tripod, and all other incidental charges etc complete.</t>
    </r>
  </si>
  <si>
    <r>
      <t>Drilling of S/U piles of 350mm</t>
    </r>
    <r>
      <rPr>
        <b/>
        <sz val="8"/>
        <rFont val="Arial"/>
        <family val="2"/>
      </rPr>
      <t xml:space="preserve"> dia  and 4.00 depth</t>
    </r>
    <r>
      <rPr>
        <sz val="8"/>
        <rFont val="Arial"/>
        <family val="2"/>
      </rPr>
      <t xml:space="preserve"> including cost and conveyance of all material and all labour chargestand hire charges of drill bit tripod, and all other incidental charges etc complete.</t>
    </r>
  </si>
  <si>
    <r>
      <t>Drilling of S/U piles of 500mm</t>
    </r>
    <r>
      <rPr>
        <b/>
        <sz val="8"/>
        <rFont val="Arial"/>
        <family val="2"/>
      </rPr>
      <t xml:space="preserve"> dia  and 12' depth</t>
    </r>
    <r>
      <rPr>
        <sz val="8"/>
        <rFont val="Arial"/>
        <family val="2"/>
      </rPr>
      <t xml:space="preserve"> including cost and conveyance of all material and all labour chargestand hire charges of drill bit tripod, and all other incidental charges etc complete.</t>
    </r>
  </si>
  <si>
    <t>Supplying &amp; Fixing white glazed flat back Bowl urinals of  size 440 mm x 265 mm x 315 mm with internal flushing rim fixed with screws complete Indian make conforming to IS:2556-1995</t>
  </si>
  <si>
    <t>Labour charges only Fixing flat back Bowl/ Half stall urinals  with fixing C.P. Spreader and screws complete</t>
  </si>
  <si>
    <t>Supplying and Fixing European Water Closet of 1st quality conforming to IS:2556-Part-2-1973 ofwhite glazedwith 'P'trap</t>
  </si>
  <si>
    <t xml:space="preserve">Supplying &amp; Fixing Indian makeFlat Back Wash Hand  Basin1st quality conforming to IS:2556-Part-4:1972 with waste fittings like rubber plug, chain,32 mm nominal size C.P. Fitting with parallel pipe thread conforming to IS:2963- 1979 and fitted with 15 mm nominal bore Chromium Plated Pillar Tap of 1st quality Indian make 400 grams Seiko/Senior/ Nice/ Esso or equivalent complete with standard CI brackets including wooden block: 630 x 450 mm - Double C.P. Pillar cock </t>
  </si>
  <si>
    <t>Supplying and Fixingbest Indian make plastic seat and lid  for European water closets with rubber or plastic Buffers as  per IS 2548-1996</t>
  </si>
  <si>
    <t>Vitrified polished floor tiles of size not less than 600mmx600mm x 8-10 mm thickness glossy finish permium colours BMT-C.09</t>
  </si>
  <si>
    <t>White cement for jointing &amp; pointing BMS-W 68</t>
  </si>
  <si>
    <t>Water proof compound  ( Pg No 14 Sl80 )</t>
  </si>
  <si>
    <t>Vp 67</t>
  </si>
  <si>
    <t>BMS-W 69</t>
  </si>
  <si>
    <t>BMT-G.43</t>
  </si>
  <si>
    <t>BMT-G.15</t>
  </si>
  <si>
    <t>BMT-G.16</t>
  </si>
  <si>
    <t>Butt hinges 125mm long MS powder coated</t>
  </si>
  <si>
    <t>BMT-G.29</t>
  </si>
  <si>
    <t>BMT-G.53</t>
  </si>
  <si>
    <t>BMT-G.36</t>
  </si>
  <si>
    <t>BM-G.45</t>
  </si>
  <si>
    <t>Lead Chart based on Common SOR-2019-20</t>
  </si>
  <si>
    <t>GOODS AND SERVICE TAXES</t>
  </si>
  <si>
    <t>S.No</t>
  </si>
  <si>
    <t>Category</t>
  </si>
  <si>
    <t>Tax in %</t>
  </si>
  <si>
    <t>TMY Steel</t>
  </si>
  <si>
    <t>Red Bricks</t>
  </si>
  <si>
    <t>Concrete Blocks</t>
  </si>
  <si>
    <t>Coarse aggregates/Blue metals</t>
  </si>
  <si>
    <t>M sand</t>
  </si>
  <si>
    <t>RMC(Ready Mix Concrete)</t>
  </si>
  <si>
    <t>Light Weight Blocks</t>
  </si>
  <si>
    <t>River Sand</t>
  </si>
  <si>
    <t>Marble and Granite</t>
  </si>
  <si>
    <t>12-28</t>
  </si>
  <si>
    <t>Fly Ash Bricks</t>
  </si>
  <si>
    <t>Glass</t>
  </si>
  <si>
    <t>Tiles</t>
  </si>
  <si>
    <t>18-28</t>
  </si>
  <si>
    <t>Wire and Cable</t>
  </si>
  <si>
    <t>Paint and Varnish</t>
  </si>
  <si>
    <t>GI Fittings</t>
  </si>
  <si>
    <t>Wall Papers</t>
  </si>
  <si>
    <t>Wooden Door and Windows</t>
  </si>
  <si>
    <t>Aluminum Windows</t>
  </si>
  <si>
    <t>Aggregates 12 mm nominal size</t>
  </si>
  <si>
    <t>12 mm HBG  metal(SS 5)</t>
  </si>
  <si>
    <t>20 mm HBG  metal(SS 5)</t>
  </si>
  <si>
    <t>10 mm HBG  metal(SS 5)</t>
  </si>
  <si>
    <t>6 mm HBG  metal(SS 5)</t>
  </si>
  <si>
    <t>20 mm GRADED METAL( CW 07 20 mm(48%) and 12 mm(12%)10 mm(12%) 6 mm(8)%  (34822))</t>
  </si>
  <si>
    <t>20 mm GRADED METAL( CW 07 20 mm(48%) and 12 mm(12%)10 mm(12%) 6 mm(8)% )</t>
  </si>
  <si>
    <t xml:space="preserve"> CW 07 20 mm(48%) and 12 mm(12%)10 mm(12%) 6 mm(8)% </t>
  </si>
  <si>
    <t>BLD-CSTN-2-13 -A</t>
  </si>
  <si>
    <t>BLD-CSTN-2-13(B)</t>
  </si>
  <si>
    <t>BLD-CSTN-2-13(c)</t>
  </si>
  <si>
    <t>BLD-CSTN-2-18
Amendment dt01.08.11 item 5</t>
  </si>
  <si>
    <t>BLD-CSTN-3-1-V</t>
  </si>
  <si>
    <t>BLD-CSTN-3-1-IV</t>
  </si>
  <si>
    <t>BLD-CSTN-7-20</t>
  </si>
  <si>
    <t>BLD-CSTN-7-7</t>
  </si>
  <si>
    <t>BLD-CSTN-7-18</t>
  </si>
  <si>
    <t>Cost of Primer (Interior) BMT-J-01</t>
  </si>
  <si>
    <t>1Kg</t>
  </si>
  <si>
    <t>Synthetic enamel paint all shade Grade-II</t>
  </si>
  <si>
    <t>1Litre</t>
  </si>
  <si>
    <t>Synthetic enamel paint all shade Grade-II BMT-J-30</t>
  </si>
  <si>
    <t>Synthetic enamel paint all shade Grade-I BMT-J-29</t>
  </si>
  <si>
    <t>BMT-J.29</t>
  </si>
  <si>
    <t>Red Oxide Primer - Grade-1</t>
  </si>
  <si>
    <t>Red Oxide Primer - Grade-1 BMT-J-03</t>
  </si>
  <si>
    <t>1Sqm</t>
  </si>
  <si>
    <t>Earth work excavation for foundations (Manual Means) of buildings, septic tank, sump, compound wall in ordinary soils and depositing on bank with an initial lead of 10m and 1m additional lift charges over the initial depth up to 3m including all operational, incidental, labour charges such as shoring, sheeting, planking, strutting etc., and overheads &amp; contractors profit complete for finished item of work excluding dewatering charges etc., as per SS 20 B(APSS 308)</t>
  </si>
  <si>
    <t>Front Steps</t>
  </si>
  <si>
    <t>Ramp infront of Godown</t>
  </si>
  <si>
    <t>Miscellaneous</t>
  </si>
  <si>
    <t>Filling with useful available excavated earth (Excluding rock) in trenches, sides of foundations and basement with initial lead in layers not exceeding 15cm thick, consolidating each deposited layers by watering, ramming incl cost and conveyance of water to work site and all operational incidental, labour charges, hire charges of T &amp; P etc., incl taxes complete for finished item of work (APSS No. 309 &amp; 310)</t>
  </si>
  <si>
    <r>
      <rPr>
        <b/>
        <sz val="8"/>
        <rFont val="Arial"/>
        <family val="2"/>
      </rPr>
      <t>Filling with carted coarse sand</t>
    </r>
    <r>
      <rPr>
        <sz val="8"/>
        <rFont val="Arial"/>
        <family val="2"/>
      </rPr>
      <t xml:space="preserve"> in trenches, sides of foundations and basement with initial lead in layers not exceeding 15cm thick, watering, ramming incl cost and conveyance of water to work site incl cost and conveyance of all materials, Seigniorage charges, sales and other taxes, operational, incidental, labour charges, hire charges of T&amp;P etc., complete for fnished item of work (APSS NO.309&amp;310).</t>
    </r>
  </si>
  <si>
    <t>Basement filling</t>
  </si>
  <si>
    <t>Deductions</t>
  </si>
  <si>
    <t>labour charges for  filling of sand  in trenches, sides of foundations and basement with initial lead in layers not exceeding 15 cm thick, consolidating each deposited layer by watering and ramming including cost and conveyance of water to work site and all operational, incidental, labour charges, hire charges of T &amp; P etc., complete for finished item of work. (APSS NO. 309 &amp; 310) including cost and conveyance of all material and labour charges,and contractors profit &amp; over heads but excluding seignorage charges and VAT etc., complete.</t>
  </si>
  <si>
    <t>PCC for foundations and flooring</t>
  </si>
  <si>
    <t>Deduct for columns</t>
  </si>
  <si>
    <t>Basement flooring</t>
  </si>
  <si>
    <r>
      <t xml:space="preserve">Plastering to brick masonary wall with  20mm thick double coat in CM (1:6) 16 mm thick base coat and CM (1:4) of 4mm thick top coat with dubara sponge finish including cost and conveyance of all material and labour charges, over heads &amp; contractor profit, all operational, incidental such as scaffolding charges, lift charges, including cutting of Grooves,finishing, curing, but excluding VAT and seignorage charges,  etc., complete for for finished item of work. (APSS 901,903 &amp; 904) (CSSR) for </t>
    </r>
    <r>
      <rPr>
        <b/>
        <sz val="8"/>
        <rFont val="Arial"/>
        <family val="2"/>
      </rPr>
      <t>outer Walls(uneven surface walls)</t>
    </r>
  </si>
  <si>
    <t>Columns in Ground Floor</t>
  </si>
  <si>
    <t>C1 Columns E1(F1 Footing)</t>
  </si>
  <si>
    <t>C1 Columns A1,B1,B2,C1,D1,E2(F2 Footing)</t>
  </si>
  <si>
    <t>C1 Columns C2(F3 Footing)</t>
  </si>
  <si>
    <t>C2 Columns A3,B3,C3,D3,E3(F2 Footing)</t>
  </si>
  <si>
    <t>C2 Columns A2,D2,(F3 Footing)</t>
  </si>
  <si>
    <t>Columns in First Floor</t>
  </si>
  <si>
    <t>First Flight</t>
  </si>
  <si>
    <t>Landing slab</t>
  </si>
  <si>
    <t>Second Flight</t>
  </si>
  <si>
    <t>A1 to E1,A2 to E2,A3 to E3</t>
  </si>
  <si>
    <t>StairCase slab of 150mm thick</t>
  </si>
  <si>
    <t>Ladder slab</t>
  </si>
  <si>
    <t>Staircase Landing</t>
  </si>
  <si>
    <t>deductions</t>
  </si>
  <si>
    <t>GF Roof beams</t>
  </si>
  <si>
    <t>Staircase beam</t>
  </si>
  <si>
    <t>GF Roof slab of 125mm thick</t>
  </si>
  <si>
    <t>A1A3 to E1E3</t>
  </si>
  <si>
    <t>Plinth Beams in between grids</t>
  </si>
  <si>
    <t>Lintels in between grids</t>
  </si>
  <si>
    <r>
      <t xml:space="preserve">Supply and placing of the VRCC M30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t>
    </r>
    <r>
      <rPr>
        <b/>
        <sz val="8"/>
        <rFont val="Arial"/>
        <family val="2"/>
      </rPr>
      <t>RCC SLABS, BEAMS</t>
    </r>
  </si>
  <si>
    <r>
      <t>Supply and placing of the VRCC M30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t>
    </r>
    <r>
      <rPr>
        <b/>
        <sz val="8"/>
        <rFont val="Arial"/>
        <family val="2"/>
      </rPr>
      <t xml:space="preserve"> FOUNDATIONS, PLINTH, PEDESTALS</t>
    </r>
    <r>
      <rPr>
        <sz val="8"/>
        <rFont val="Arial"/>
        <family val="2"/>
      </rPr>
      <t xml:space="preserve"> (Below Plinth).</t>
    </r>
  </si>
  <si>
    <r>
      <t xml:space="preserve">Supply and placing of the VRCC M30mix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t>
    </r>
    <r>
      <rPr>
        <b/>
        <sz val="8"/>
        <rFont val="Arial"/>
        <family val="2"/>
      </rPr>
      <t>COLUMNS, LINTELS, WATER TANKS, RCC WALLS IN BUILDINGS.</t>
    </r>
  </si>
  <si>
    <t>Slabs of 150mm thick</t>
  </si>
  <si>
    <t>Basic Rate for 1 Sqm of 150mm thick</t>
  </si>
  <si>
    <r>
      <t>PCC (1:4:8) using well graded aggregate with maximum nominal size of aggregates (MSA) of 20mm HBG metal using Ordinary Portland Cement confirming to IS 455-1989 and the cement content in the mix to be not less than 250 kg/cum with maximum water cement ratio of 0.5, incl cost and conveyance of all materials to site, seignorage charges, sales and other taxes, steel centering, m/c mixing, concrete laying, tamping, vibrating, watering, curing and all labour charges, hire and operational charges of machinery, water lead charges and incl all taxes, bailing of water.etc., complete for finished item of work for F</t>
    </r>
    <r>
      <rPr>
        <b/>
        <sz val="8"/>
        <rFont val="Arial"/>
        <family val="2"/>
      </rPr>
      <t>oundation concrete (BLD-CSTN).</t>
    </r>
  </si>
  <si>
    <t>Black smith</t>
  </si>
  <si>
    <t>Mason first class / Brick layer</t>
  </si>
  <si>
    <t>Brick masonry for panel walls in superstructure in C.M (1:6) prop. (Cement : Screened sand) with Portland Slag (Cement confirming to IS 455-1989) using 2nd class common burnt clay bricks of class as per Table- I of IS:1077-1992, Non- Modular or traditional size 23 x 11 x 7 cms  from approved source having minimum crushing strength of 40 Kg/Sqcm. like cement, screened sand, bricks, water etc., to site, seignorage charges, sales &amp; other taxes on all materials, mixing of cement mortar, Scaffolding charges constructing masonry, lift charges, curing, including hire and operational charges of machinery, all taxes and all labour charges and all water lead charges Excluding GST etc., complete for finished item of work (APSS No. 501 &amp; 504) (As per BLD-CSTN)</t>
  </si>
  <si>
    <r>
      <t>Supply and placing of the RCC M30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for laying of concrete 75 mm thick at fixed end and 50 mm thick at free end with an average thickness of 62.5mm  including royalties and all taxes and all charges for finished item of work for</t>
    </r>
    <r>
      <rPr>
        <b/>
        <sz val="8"/>
        <rFont val="Arial"/>
        <family val="2"/>
      </rPr>
      <t xml:space="preserve"> 60.0 cm wide sun-shade and Lofts</t>
    </r>
    <r>
      <rPr>
        <sz val="8"/>
        <rFont val="Arial"/>
        <family val="2"/>
      </rPr>
      <t xml:space="preserve"> but excluding VAT and seignorage charges</t>
    </r>
  </si>
  <si>
    <t>Front Steps                                  I Step</t>
  </si>
  <si>
    <t>II Step</t>
  </si>
  <si>
    <t>III Step</t>
  </si>
  <si>
    <t>IV Step</t>
  </si>
  <si>
    <t>V Step</t>
  </si>
  <si>
    <t>Vi Step</t>
  </si>
  <si>
    <r>
      <t xml:space="preserve">Brick masonry for panel walls in Basement in C.M (1:8) prop. (Cement : Screened sand) with Cement confirming to IS 455-1989 using 2nd class common burnt clay bricks of class as per Table- I of IS:1077-1992, Non- Modular or traditional size 23 x 11 x 7 cms  from approved source having minimum crushing strength of 40 Kg/Sqcm. like cement, screened sand, bricks, water etc., to site, seignorage charges, sales &amp; other taxes on all materials, mixing of cement mortar, Scaffolding charges constructing masonry, lift charges, curing, including hire and operational charges of machinery, all taxes and all labour charges and all water lead charges Excluding GST etc., complete for finished item of work for </t>
    </r>
    <r>
      <rPr>
        <b/>
        <sz val="8"/>
        <rFont val="Arial"/>
        <family val="2"/>
      </rPr>
      <t xml:space="preserve">Basement </t>
    </r>
    <r>
      <rPr>
        <sz val="8"/>
        <rFont val="Arial"/>
        <family val="2"/>
      </rPr>
      <t>(APSS No. 501 &amp; 504) (As per BLD-CSTN)</t>
    </r>
  </si>
  <si>
    <r>
      <t xml:space="preserve">Brick masonry for panel walls in superstructure in C.M (1:6) prop. (Cement : Screened sand) with Cement confirming to IS 455-1989 using 2nd class common burnt clay bricks of class as per Table- I of IS:1077-1992, Non- Modular or traditional size 23 x 11 x 7 cms  from approved source having minimum crushing strength of 40 Kg/Sqcm. like cement, screened sand, bricks, water etc., to site, seignorage charges, sales &amp; other taxes on all materials, mixing of cement mortar, Scaffolding charges constructing masonry, lift charges, curing, including hire and operational charges of machinery, all taxes and all labour charges and all water lead charges Excluding GST etc., complete for finished item of work (APSS No. 501 &amp; 504) (As per BLD-CSTN)for </t>
    </r>
    <r>
      <rPr>
        <b/>
        <sz val="8"/>
        <rFont val="Arial"/>
        <family val="2"/>
      </rPr>
      <t>super structure For Ground Floor</t>
    </r>
  </si>
  <si>
    <t>Reinforced Brick Masonry for partition walls (11.5 cm thick) in CM (1:4) prop. (Cement : Screened sand) using common burnt clay bricks of class as per Table- I of IS:1077-1992, Non- Modular or traditional size    23 x 11 x 7 cms from approved source having minimum crushing strength of 40 Kg/Sq.cm and placing 2 Nos. of 6mm M.S plain rods Fe 500 steel coated with cement slurry in every third layer with free ends of the reinforcement pegged into mortar joints of main brick walls where applicable including cost and conveyance of all materials like cement, steel, sand, bricks, water etc., to site, including sales &amp; other taxes on all materials, all operational, incidental charges such as labour charges for mixing cement mortar, scaffolding charges, constructing masonry, lift charges, curing, etc., but excluding cost of steel and its fabrication charges Excluding GST complete for finished item of work (APSS No. of 501 &amp; 509)</t>
  </si>
  <si>
    <t>Brick masonry for panel walls in superstructure in C.M (1:8) prop. (Cement : Screened sand) with Portland Slag (Cement confirming to IS 455-1989) using 2nd class common burnt clay bricks of class as per Table- I of IS:1077-1992, Non- Modular or traditional size 23 x 11 x 7 cms  from approved source having minimum crushing strength of 40 Kg/Sqcm. like cement, screened sand, bricks, water etc., to site, seignorage charges, sales &amp; other taxes on all materials, mixing of cement mortar, Scaffolding charges constructing masonry, lift charges, curing, including hire and operational charges of machinery, all taxes and all labour charges and all water lead charges Excluding GST etc., complete for finished item of work (APSS No. 501 &amp; 504) (As per BLD-CSTN)</t>
  </si>
  <si>
    <t>Grid B1 to E1</t>
  </si>
  <si>
    <t>Grid E3 to A3</t>
  </si>
  <si>
    <t>Grid E2 to E3 &amp; A3 to A2</t>
  </si>
  <si>
    <t xml:space="preserve">Grid E1 to E2 </t>
  </si>
  <si>
    <t>Grid A2 to A1</t>
  </si>
  <si>
    <t>deduction for doors 
1.Agri cum Aqua store 
2.Secretary room</t>
  </si>
  <si>
    <t>deduction for 
1.Rolling shutter to Godown</t>
  </si>
  <si>
    <r>
      <rPr>
        <b/>
        <sz val="8"/>
        <rFont val="Arial"/>
        <family val="2"/>
      </rPr>
      <t>Reinforced Brick Masonry for partition walls</t>
    </r>
    <r>
      <rPr>
        <sz val="8"/>
        <rFont val="Arial"/>
        <family val="2"/>
      </rPr>
      <t xml:space="preserve"> (11.5 cm thick) in CM (1:4) prop. (Cement : Screened sand) using common burnt clay bricks of class as per Table- I of IS:1077-1992, Non- Modular or traditional size    23 x 11 x 7 cms from approved source having minimum crushing strength of 40 Kg/Sq.cm and placing 2 Nos. of 6mm M.S plain rods Fe 500 steel coated with cement slurry in every third layer with free ends of the reinforcement pegged into mortar joints of main brick walls where applicable including cost and conveyance of all materials like cement, steel, sand, bricks, water etc., to site, including sales &amp; other taxes on all materials, all operational, incidental charges such as labour charges for mixing cement mortar, scaffolding charges, constructing masonry, lift charges, curing, etc., but excluding cost of steel and its fabrication charges Excluding GST complete for finished item of work (APSS No. of 501 &amp; 509)</t>
    </r>
  </si>
  <si>
    <t>Super structure in Ground Floor</t>
  </si>
  <si>
    <t>Grid B1 to B2, C1 to C2 &amp; D1 to D2</t>
  </si>
  <si>
    <t>Grid D2 to D3</t>
  </si>
  <si>
    <t>Grid B2 to C2</t>
  </si>
  <si>
    <t>Grid C2 to D2</t>
  </si>
  <si>
    <t>Rate per Sqm ground floor</t>
  </si>
  <si>
    <t>Rate per Sqm First  floor</t>
  </si>
  <si>
    <t>Plastering 12mm thick inside in two coats using portland slag cement (conforming to IS:455-1989 ) with a base coat of 8mm thick in CM(1:5) prop and top coat of 4mm thick in CM (1:3) prop. with dubara sponge finish including cost and conveyance of all materials and water to work site, all taxes,  seigniorage and all operational incidental, labour charges such as scaffolding, mixing mortar lift charges curing etc., including using Recron 3S @ 125gms /per 1 bag of cement in first coat, Excluding GST complete for finished item of work for Internal Plastering (As per BLD-CSTN).</t>
  </si>
  <si>
    <t xml:space="preserve">Secretariat Staff </t>
  </si>
  <si>
    <t>Starir caes room 2 sides</t>
  </si>
  <si>
    <t>Basement</t>
  </si>
  <si>
    <t>Deduct at steps portion</t>
  </si>
  <si>
    <t>Building alround</t>
  </si>
  <si>
    <t>Add for jamb portion of
1.Rolling shutter to Godown</t>
  </si>
  <si>
    <t>Granolithic Concrete Flooring, 20 mm thick with M20 Design mix using maximun size of aggregate(MSA) 10mm HBG machine crushed, laid over CC bed already laid or RCC roof slab, in alternate panels of size not exceeding 1.50 m x 1.50 m and finishing the top surface to required smoothness and slopes and thread lining including cost of all materials like cement (Portland Slag Cement confirming to IS 455-1989), metal, sand and water etc., complete, including seigniorage charges, all taxes and all labour charges for all operations etc., complete Excluding GST for finished item of work. (As per BLD-CSTN)</t>
  </si>
  <si>
    <t>Godown</t>
  </si>
  <si>
    <t>Starir case room</t>
  </si>
  <si>
    <t>Verandah</t>
  </si>
  <si>
    <t>Deduct column projections</t>
  </si>
  <si>
    <t>in Agri cum Aqua room</t>
  </si>
  <si>
    <t>Agri Cum Aqua room</t>
  </si>
  <si>
    <t xml:space="preserve">in Secretariat Staff </t>
  </si>
  <si>
    <t xml:space="preserve">Add door Jamb </t>
  </si>
  <si>
    <t>at Entrance door</t>
  </si>
  <si>
    <t>at Agri Cum Aqua room,Secretary room</t>
  </si>
  <si>
    <t>SALIPETA</t>
  </si>
  <si>
    <t>GUDLUR</t>
  </si>
  <si>
    <t>Steel Fe 415 AUGUST 2019</t>
  </si>
  <si>
    <t>Ramatheerdham</t>
  </si>
  <si>
    <t>Asst Engineer</t>
  </si>
  <si>
    <t>Taking output :1 cum</t>
  </si>
  <si>
    <t>Concrete Mixer 10 / 7 cft (0.2 / 0.8 cum) capacity crew charges</t>
  </si>
  <si>
    <t>40 mm neelde  Vibrator (Petrol) crew charges</t>
  </si>
  <si>
    <t>Rate per cum = (a+b+c)/1</t>
  </si>
  <si>
    <t>Rate per Cum for Ground floor,FF,SF</t>
  </si>
  <si>
    <t>Rate per Cum   Ground floor, FF,SF</t>
  </si>
  <si>
    <t>Rate per Cum ground floor  , FF, SF</t>
  </si>
  <si>
    <t>Rate per Sqm for ground floor, FF, SF</t>
  </si>
  <si>
    <t>Rate per Sqm for ground floor,FF, SF</t>
  </si>
  <si>
    <t>Rate per 1 Sqm for ground floor FF , SF</t>
  </si>
  <si>
    <t>Rate per Rm for Ground floor FF, SF</t>
  </si>
  <si>
    <t>Cost  per MT</t>
  </si>
  <si>
    <t>Rate per t = GF,FF,SF</t>
  </si>
  <si>
    <t>Sand for Mortar (concrete)</t>
  </si>
  <si>
    <t>Supply of Ceramic floor tiles of notless than 6-10mm thick 1st quality in all shades and designs  as Per BMT C.01</t>
  </si>
  <si>
    <t>Painter 2nd class</t>
  </si>
  <si>
    <t>Gronolithie Concrete Flooring 20 mm thick with (1:1:2), using 6mm to 12 mm size hard granite machine crushed metal laid over CC bed already laid or RCC roof slab, in alternate panels of size not exceeding 1.50 m x 1.50 m and finishing the top surface to required smoothness and slopes and thread lining including cost of all materials like cement, metal, sand and water etc., complete, including seigniorage charges, etc., complete for finished item of work, but excluding the cost of conveyance of all materials</t>
  </si>
  <si>
    <t>6mm to 12 mm H.G. Metal (Machine crushed)</t>
  </si>
  <si>
    <t>BLD-CSTN-7-13</t>
  </si>
  <si>
    <t>Grand Total 10sqm</t>
  </si>
  <si>
    <t>Rate per sqm</t>
  </si>
  <si>
    <t>Providing &amp; fixing internal prelaminated PVC door frame of size 100 x 45 mm with a wall thickness of 5mm, made of extruded 5 mm Prelam PVC foam sheet, mitred cut at twocorners and joined with two nos. of 150mm long brackets of 15 x 15 mm MS square tube, two vertical door profiles reinforced with 40 x 20 MS Tube of 19 guage throughout the frame and the door frame fixed to the wall using 65/100mm long MS screws through the frame by using PVC fasteners with a minimum of 3 nos of screws provided for each vertical member and two nos. for horizontal, etc complete as per drawing and direction of Engineer in Charge</t>
  </si>
  <si>
    <t>BMT-N.54</t>
  </si>
  <si>
    <t>BMT-N.83.C</t>
  </si>
  <si>
    <t>BMT-N.82</t>
  </si>
  <si>
    <t>SQM</t>
  </si>
  <si>
    <t>1RM</t>
  </si>
  <si>
    <t xml:space="preserve">Supply and fixing of  Sal wood  Door single shutter fully pannlled door of  PVC door frame of size 100 x 45 mm size 1.20 x 2.10mt with frame made of well seasoned sal wood scantlings of size 100 x 75mm mm and shutter   made of black board type with teak wood veneer on one face and commercial ply on another face 30 mm thick with fixtures of 6 nos of 9" ' z" holdfasts, 300 mm long MS powder coated   aldrop-1 no,150mm long MS powder coated    butt hinges 3 No's,  150mm long  MS powder coated    - 1no's alumium,  200mm long  Tower bolts  - 1no's MS powder coated  , Ms powder coated  fancy  handles 150mm long 2no's,   with necessary screws complete including cost and conveyance of all materials and labour charges etc. complete as per specifications  (APSS NO.1001 &amp; 1002)                                                                                                                                                                                        </t>
  </si>
  <si>
    <t>Providing &amp; fixing internal prelaminated PVC door frame of size 100 x 45 mm with a wall thickness of 5mm, made of extruded 5 mm Prelam PVC foam sheet, mitred cut at twocorners and joined with two nos. of 150mm long brackets of 15 x 15 mm MS square tube, two vertical door profiles reinforced with 40 x 20 MS Tube of 19 guage throughout the frame and the door frame fixed to the wall using 65/100mm long MS screws through the frame by using PVC fasteners with a minimum of 3 nos of screws provided for each vertical member and two nos. for horizontal, etc complete</t>
  </si>
  <si>
    <r>
      <t>Supply and fixing of  Door single shutter fully pannlled door of size 1.20 x 2.10mt with frame made of internal prelaminated</t>
    </r>
    <r>
      <rPr>
        <b/>
        <sz val="9"/>
        <rFont val="Arial"/>
        <family val="2"/>
      </rPr>
      <t xml:space="preserve"> PVC door frame of </t>
    </r>
    <r>
      <rPr>
        <sz val="8"/>
        <rFont val="Arial"/>
        <family val="2"/>
      </rPr>
      <t xml:space="preserve">size 100 x 45 mm   and shutter   made of black board type with teak wood veneer on one face and commercial ply on another face 30 mm thick with fixtures of 6 nos of 9" ' z" holdfasts, 300 mm long MS powder coated   aldrop-1 no,150mm long MS powder coated    butt hinges 3 No's,  150mm long  MS powder coated    - 1no's alumium,  200mm long  Tower bolts  - 1no's MS powder coated  , Ms powder coated  fancy  handles 150mm long 2no's,   with necessary screws complete including cost and conveyance of all materials and labour charges etc. complete as per specifications  (APSS NO.1001 &amp; 1002)                                                                                                                                                                                        </t>
    </r>
  </si>
  <si>
    <t>KANDUKUR</t>
  </si>
  <si>
    <t>CW 07 
20 mm(60%) and 12 mm(40%)   (34822)</t>
  </si>
  <si>
    <r>
      <t xml:space="preserve">Ceiling plastering of 12mm thick with CM (1:3) including cost and conveyance of all material and labour charges, over heads &amp; contractor profit, all operational, incidental such as scaffolding charges, lift charges, including cutting of Grooves,finishing, curing, but excluding VAT and seignorage charges,  etc., complete for for finished item of work. (APSS 901,903 &amp; 904) (CSSR) for </t>
    </r>
    <r>
      <rPr>
        <b/>
        <sz val="8"/>
        <rFont val="Arial"/>
        <family val="2"/>
      </rPr>
      <t>CEILING PLASTERING.</t>
    </r>
  </si>
  <si>
    <r>
      <t xml:space="preserve">Plastering 12mm thick inside in two coats using ordinary portland cement (conforming to IS:455-1989 ) with a base coat of 8mm thick in CM(1:5) prop and top coat of 4mm thick in CM (1:3) prop. with dubara sponge finish including cost and conveyance of all materials and water to work site, all taxes,  seigniorage and all operational incidental, labour charges such as scaffolding, mixing mortar lift charges curing etc., including using Recron 3S @ 125gms /per 1 bag of cement in first coat, Excluding GST complete for finished item of work for </t>
    </r>
    <r>
      <rPr>
        <b/>
        <sz val="8"/>
        <rFont val="Arial"/>
        <family val="2"/>
      </rPr>
      <t xml:space="preserve">Internal Plastering </t>
    </r>
    <r>
      <rPr>
        <sz val="8"/>
        <rFont val="Arial"/>
        <family val="2"/>
      </rPr>
      <t>(As per BLD-CSTN).</t>
    </r>
  </si>
  <si>
    <t>Ground Floor internal wall plastering</t>
  </si>
  <si>
    <t xml:space="preserve">Ground Floor celing </t>
  </si>
  <si>
    <t>Butt hinges 150mm long Powder coated 3 on each side</t>
  </si>
  <si>
    <t>Door stoppers (MS Powder coated) 1 No on each side</t>
  </si>
  <si>
    <t>300 mm long MS powder coated aldrop front face</t>
  </si>
  <si>
    <t>Painting to New wood work with two coats of ready mixed first quality synthetic enamel paint Grade I of approved quality, colour, brand and shade over a primary coat of Wood primer total three coats in all to give an even shade after throughly brushing the surface to remove all dirt and remains of loose powdered materials, using brushes, including cost and conveyance of all material to site, all taxes, and including all required material, all labour charges, curing, scaffolding etc., complete Excluding GST for finished item of work. (As per BLD-CSTN)</t>
  </si>
  <si>
    <t>Providing Thermo Mechanically Treated (TMT) (Fe 500 grade steel coated with cement slurry) as per IS 1786-1979) of different diameters for RCC works , including labour charges for straightening, cutting, bending to required sizes and shapes, placing in position with cover blocks of approved materials and size and tying and lap-splicing with binding wire of 18 SWG, forming grills for reinforcement work as per approved designs and drawings, including cost and conveyance of steel bars, binding wire, including all wastages such as overlaps, couplings, chairs, spacer bars, cover blocks and all incidental, operational, labour charges such as cutting, bending, placing in position, tying including sales and all other taxes on all materials etc., complete Excluding GST for finished item of work. (APSS No.126)</t>
  </si>
  <si>
    <t>As per calculation sheet</t>
  </si>
  <si>
    <t>Providing and fixing of openable Windows  made of pre-painted steel( base Steel as per IS 513 of 0.58 mm thick galvanised as per IS 277 with Zinc of 120 GSM), primer coated with epoxy primer of 5-7 microns thick finish painted with a polyster paint of 12-16 microns thick and back coated with 5-7 microns thick alkyd backer and section for outer frame of 48x50 mm, centre mullion of 48x50 mm, section for shutter of 48x25 mm and the fixed glass beading section should be 12x12 mm and the outer frame and mullions to have rebate for glazed shutter with a 20 mm provision for guard bars/grills and the section cut to length metre joined with corner bracket, centre mullion fixed with mullion  cap, handle,stay, 2 nos of stainless steel haevy duty pivot hinges provided per shutter and windows fitted with 5 mm thick plain flaot glass with rubber gaskets including fixing the frames in concrete/ masonry wall by means of self expanding screws,including 10 mm square guard bars with 6' pitch etc, complete for finished item of work</t>
  </si>
  <si>
    <t>Door Frame section of 63.5x100 MM .The two Vertical members are to be joined together with the horizontal member using 8x75 MM long MS Star full thread screws to be used with reverse forward speed control hand drilling machine. The  easy/assembled door frame is fixed to the wall using hold fast or bolt fasteners. A minimum of 4 No.s of screws to be provided for each vertical member &amp; minimum 2no.s for horizontal member.</t>
  </si>
  <si>
    <t>Supply and fixing of factory made Bathroom door frames without threshold, fabricated from pre-painted cold rollformed section 50mm x 50 mm made of galvanized (base steel as per IS – 513 „D‟ quality, galvanized as per IS-277 with Zinc of 120 Gms/sqm) steel colour coated sections with total coated thickness of 1 mm, primer coated with epoxy primer of 5-7 microns thick, finish painted with polyester paint of 12-16 microns and back coated with alkyd backer of 5-7 microns and the frame section filled with polyurethane (P.U. Foam) of 40 Kg/Cum; and the sections cut to length and mitre joined by means of 1.25mm thick CRCA electroplated corner brackets of size 75 x 75 mm and 1.25mm thick electroplated stiffeners of size 150mm for fixing hold fasts and hinges together with the following MS Power coated fitting (Supply and fixing) of approved make. (a) 6 Nos M.S. Z. Type hold fasts made of 30mm x 3 mm
MS flat of 230mm long, 3 Nos each side expandable PVC covered screw type fasteners. (b) 2.5 mm x 300 mm long „T‟ hinges / 2.5mm x 50 mm x 100mm two way but hinges (3 Nos for single leaf or 2 Nos for Double leaf /leaf ) (c) 12 mm Dia MS tie rod at bottom with necessary size of nuts on either side.</t>
  </si>
  <si>
    <r>
      <t xml:space="preserve">Supply and fixing of  Sal wood  Door single shutter fully pannlled door of size 1.20 x 2.10mt with frame made of internal prelaminated </t>
    </r>
    <r>
      <rPr>
        <b/>
        <sz val="10"/>
        <rFont val="Arial"/>
        <family val="2"/>
      </rPr>
      <t>PVC door frame of siz</t>
    </r>
    <r>
      <rPr>
        <sz val="8"/>
        <rFont val="Arial"/>
        <family val="2"/>
      </rPr>
      <t xml:space="preserve">e 100 x 45 mm   and shutter   made of black board type with teak wood veneer on one face and commercial ply on another face 30 mm thick with fixtures of 6 nos of 9" ' z" holdfasts, 300 mm long MS powder coated   aldrop-1 no,150mm long MS powder coated butt hinges 3 No's,  150mm long  MS powder coated - 2no's alumium, Ms powder coated  fancy  handles 150mm long 2no's,   with necessary screws complete including cost and conveyance of all materials and labour charges etc. complete as per specifications  (APSS NO.1001 &amp; 1002)                                                                                                                                                                                        </t>
    </r>
  </si>
  <si>
    <r>
      <t xml:space="preserve">Supply and fixing of  Door single shutter fully pannlled door of size 1.05 x 2.10mt with frame made of </t>
    </r>
    <r>
      <rPr>
        <b/>
        <sz val="10"/>
        <rFont val="Arial"/>
        <family val="2"/>
      </rPr>
      <t xml:space="preserve">PVC door frame of size 100 x 45 mm   </t>
    </r>
    <r>
      <rPr>
        <sz val="8"/>
        <rFont val="Arial"/>
        <family val="2"/>
      </rPr>
      <t xml:space="preserve">m and shutter   made of black board type with teak wood veneer on one face and commercial ply on another face 30 mm thick with fixtures of 6 nos of 9" ' z" holdfasts, 300 mm long MS powder coated   aldrop-1 no,150mm long MS powder coated    butt hinges 3 No's,  150mm long  Tower bolts  - 1no's MS powder coated  ,  200mm long  Tower bolts  - 1no's MS powder coated  , Ms powder coated  fancy  handles 150mm long 2no's,   with necessary screws complete including cost and conveyance of all materials and labour charges etc. complete as per specifications  (APSS NO.1001 &amp; 1002)                                                                                                                                                                                        </t>
    </r>
  </si>
  <si>
    <t xml:space="preserve">Supply and fixing of  Sal Door single shutter fully pannlled door of size 1.20 x 2.10mt with frame made of well seasoned sal wood scantlings of size 100 x 75mm mm and shutter   made of black board type with teak wood veneer on one face and commercial ply on another face 30 mm thick with fixtures of 6 nos of 9" ' z" holdfasts, 300 mm long MS powder coated   aldrop-1 no,150mm long MS powder coated    butt hinges 3 No's,  150mm long  MS powder coated    - 1no's alumium,  200mm long  Tower bolts  - 1no's MS powder coated  , Ms powder coated  fancy  handles 150mm long 2no's,   with necessary screws complete including cost and conveyance of all materials and labour charges etc. complete as per specifications  (APSS NO.1001 &amp; 1002)                                                                                                                                                                                        </t>
  </si>
  <si>
    <t>Door size 1.05X2.1mts</t>
  </si>
  <si>
    <t xml:space="preserve">Supply and fixing of  Sal wood  Door single shutter fully pannlled door of size 1.05 x 2.10mt with frame made of well seasoned sal wood scantlings of size 100 x 75mm mm and shutter   made of black board type with teak wood veneer on one face and commercial ply on another face 30 mm thick with fixtures of 6 nos of 9" ' z" holdfasts, 300 mm long MS powder coated   aldrop-1 no,150mm long MS powder coated    butt hinges 3 No's,  150mm long  Tower bolts  - 1no's MS powder coated  ,  200mm long  Tower bolts  - 1no's MS powder coated  , Ms powder coated  fancy  handles 150mm long 2no's,   with necessary screws complete including cost and conveyance of all materials and labour charges etc. complete as per specifications  (APSS NO.1001 &amp; 1002)                                                                                                                                                                                        </t>
  </si>
  <si>
    <t>Door of size 1.05X2.10 
1. Agri cum Aqua store
2. Secretary room</t>
  </si>
  <si>
    <t>Building Entrance</t>
  </si>
  <si>
    <t>As per Calculations</t>
  </si>
  <si>
    <t>B1 to E1,B3 to E3</t>
  </si>
  <si>
    <t>B2 to E2, B2' to E2'</t>
  </si>
  <si>
    <t>B2 to B3</t>
  </si>
  <si>
    <t>E1 to E3</t>
  </si>
  <si>
    <t>Sunshades in First Floor</t>
  </si>
  <si>
    <t>FF Roof slab of 125mm thick</t>
  </si>
  <si>
    <t>FF LADDER slab of 150mm thick</t>
  </si>
  <si>
    <t>FF Roof beams</t>
  </si>
  <si>
    <t>A1 to A 2,B1 to B2,C1 to C2,D1 to D2,E1 to E2</t>
  </si>
  <si>
    <t>A2 to A3, B2 to B3,C2 to C3,D2 to D3,E2 to E3</t>
  </si>
  <si>
    <t>Ladder beam</t>
  </si>
  <si>
    <t>staircase beams</t>
  </si>
  <si>
    <t>Visitors waiting</t>
  </si>
  <si>
    <r>
      <t>Brick masonry for panel walls in superstructure in C.M (1:6) prop. (Cement : Screened sand) with Cement confirming to IS 455-1989 using 2nd class common burnt clay bricks of class as per Table- I of IS:1077-1992, Non- Modular or traditional size 23 x 11 x 7 cms  from approved source having minimum crushing strength of 40 Kg/Sqcm. like cement, screened sand, bricks, water etc., to site, seignorage charges, sales &amp; other taxes on all materials, mixing of cement mortar, Scaffolding charges constructing masonry, lift charges, curing, including hire and operational charges of machinery, all taxes and all labour charges and all water lead charges Excluding GST etc., complete for finished item of work (APSS No. 501 &amp; 504) (As per BLD-CSTN)for super structure For</t>
    </r>
    <r>
      <rPr>
        <b/>
        <sz val="8"/>
        <rFont val="Arial"/>
        <family val="2"/>
      </rPr>
      <t xml:space="preserve"> First Floor</t>
    </r>
  </si>
  <si>
    <t xml:space="preserve">deduction for windows
1. Secretariat Staff
2. Sarpamch Room - 2 No's
3. Digital Store - 2 No's
4. Meeting Hall - 2 No's
5. Visitors waiting - 2 No's
6. Corridor </t>
  </si>
  <si>
    <t>Toilet partition wall</t>
  </si>
  <si>
    <t xml:space="preserve">Grid B2 to E2, </t>
  </si>
  <si>
    <t>B2' to E2'</t>
  </si>
  <si>
    <t>Grid B2 to B3</t>
  </si>
  <si>
    <t>Grid D2' to D3</t>
  </si>
  <si>
    <t xml:space="preserve">deduct for door of Size 1.20 x 2.10 at 
1.Corridor Entrance 
2. Meeting Hall Entrance 2 No's
</t>
  </si>
  <si>
    <t xml:space="preserve">deduct for door of Size 1.05 x 2.10 at 
1.Sarpanch Room
2. Digital Store 
3. Opening at Secretariat Staff 
</t>
  </si>
  <si>
    <t xml:space="preserve">deduct for door of Size 0.75 x 2.10 at 
1. Sarpanch Room Toilet
2. Ladies Toilet
3. Gents Toilet &amp; Uninals
</t>
  </si>
  <si>
    <t xml:space="preserve">Rate per 1Sqm GF </t>
  </si>
  <si>
    <t>Column projections</t>
  </si>
  <si>
    <r>
      <rPr>
        <b/>
        <sz val="8"/>
        <rFont val="Arial"/>
        <family val="2"/>
      </rPr>
      <t xml:space="preserve">Ornamental Plastering </t>
    </r>
    <r>
      <rPr>
        <sz val="8"/>
        <rFont val="Arial"/>
        <family val="2"/>
      </rPr>
      <t>12mm thick to ceiling in two coats using Portland Slag Cement (confirming to IS 455-1989) with a base coat of 8mm thick in CM(1:5) prop and top coat of 4mm thick in CM (1:3) prop. with dubara sponge finish including cost and conveyance of all materials and water to work site, seigniorage charges, all taxes and all operational incidental, labour charges such as scaffolding, mixing mortar, lift charges, curing etc., including using Recron 3S @ 125gms /per 1 bag of cement in first coat, complete for finished item of work (As per BLD-CSTN).</t>
    </r>
  </si>
  <si>
    <t>Ornamental Plastering to celing in First Floor</t>
  </si>
  <si>
    <t>Ornamental Plastering to celing in Ground Floor</t>
  </si>
  <si>
    <t>Grid A1A3 to E1 E3</t>
  </si>
  <si>
    <r>
      <t xml:space="preserve">Providing </t>
    </r>
    <r>
      <rPr>
        <b/>
        <sz val="8"/>
        <rFont val="Arial"/>
        <family val="2"/>
      </rPr>
      <t>impervious coat</t>
    </r>
    <r>
      <rPr>
        <sz val="8"/>
        <rFont val="Arial"/>
        <family val="2"/>
      </rPr>
      <t xml:space="preserve"> to exposed RCC surfaces of sump, sump side wall, sump bottom slab, in side of septic tank, in sunken slabs etc., to required slopes with CM (1:3) prop. using screened sand 12mm thick mixed with water proofing compound manufactured by reputed manufacturers as approved by Engineer-in-charge at 1 Kg per one bag of cement, laid over roof slab when it is green, finished smooth with a floating coat of neat cement and thread lining at regular intervals of 45cmx45cm where ever necessary including cost and conveyance of all materials like cement, sand, water proofing compound, water etc., to site, including seigniorage charges, sales &amp; other taxes on all materials and operational, incidental, and labour charges for mixing mortar, laying, lift charges, rendering smooth and thread lining, curing including rounding off junctions of wall and slab Excluding GST etc., complete for finished item of work. (APSS No. 901 &amp; 903).</t>
    </r>
  </si>
  <si>
    <t>Impervious coat over Roof Slab</t>
  </si>
  <si>
    <r>
      <t>Plastering 12mm thick inside in two coats using ordinary portland cement (conforming to IS:455-1989 ) with a base coat of 8mm thick in CM(1:5) prop and top coat of 4mm thick in CM (1:3) prop. with dubara sponge finish including cost and conveyance of all materials and water to work site, all taxes,  seigniorage and all operational incidental, labour charges such as scaffolding, mixing mortar lift charges curing etc., including using Recron 3S @ 125gms /per 1 bag of cement in first coat, Excluding GST complete for finished item of work for</t>
    </r>
    <r>
      <rPr>
        <b/>
        <sz val="8"/>
        <rFont val="Arial"/>
        <family val="2"/>
      </rPr>
      <t xml:space="preserve"> Internal Plastering</t>
    </r>
    <r>
      <rPr>
        <sz val="8"/>
        <rFont val="Arial"/>
        <family val="2"/>
      </rPr>
      <t xml:space="preserve"> (As per BLD-CSTN)</t>
    </r>
  </si>
  <si>
    <t>Internal Plastering to Brick walls in First Floor</t>
  </si>
  <si>
    <t>5'3"</t>
  </si>
  <si>
    <t>5'0"</t>
  </si>
  <si>
    <t>5'4"</t>
  </si>
  <si>
    <t>4'3"</t>
  </si>
  <si>
    <t>4'6"</t>
  </si>
  <si>
    <t>4"</t>
  </si>
  <si>
    <t>Gents toilet</t>
  </si>
  <si>
    <t>Gents urinals block</t>
  </si>
  <si>
    <t xml:space="preserve">Secretariat Staff room </t>
  </si>
  <si>
    <t>Corridor Grid B2 to E2</t>
  </si>
  <si>
    <t>Corridor Short walls B2 to B2', E2 to E2'</t>
  </si>
  <si>
    <t>Corridor Grid B2' to E2'</t>
  </si>
  <si>
    <t>10'3"</t>
  </si>
  <si>
    <t>11'0"</t>
  </si>
  <si>
    <t xml:space="preserve">Digital room </t>
  </si>
  <si>
    <t>Meeting hall</t>
  </si>
  <si>
    <t>Add for window Jambs
1. Sarpanch Room- 2no's
2. Digital Store- 2no's
3. Meeting Hall - 2no's
4. Secretariat staff
5. Staircase landing
6. Visitors Waiting -2no's</t>
  </si>
  <si>
    <t>Add for door jambs of 1.20x2.10
1.Corridor Entrance 
2.Secretary staff
3. Meeting Hall -2 no's</t>
  </si>
  <si>
    <t xml:space="preserve">Add for door jambs of 1.05x2.10
1. Sarpanch Room 
2. Digital Stores
</t>
  </si>
  <si>
    <t xml:space="preserve">Add for door jambs of 0.75x2.10
1. Sarpanch Room Toilet
2. Ladies Toilet
3. Gents Uninals &amp; Toilet
</t>
  </si>
  <si>
    <t>Deduct for door of Size 1.20x2.10
1.Corridor Entrance 
2.Secretary staff
3. Meeting Hall -2 no's</t>
  </si>
  <si>
    <t xml:space="preserve">Deduct for door of Size 1.05x2.10
1. Sarpanch Room 
2. Digital Stores
</t>
  </si>
  <si>
    <t xml:space="preserve">Deduct for door of Size 0.75x2.10
1. Sarpanch Room Toilet
2. Ladies Toilet
3. Gents Uninals &amp; Toilet
</t>
  </si>
  <si>
    <t>Vistitors Waiting</t>
  </si>
  <si>
    <t>Stair case Landing beam 3 sides</t>
  </si>
  <si>
    <t>Deduct for window of size1.50x1.35
1. Sarpanch Room- 2no's
2. Digital Store- 2no's
3. Meeting Hall - 2no's
4. Secretariat staff
5. Staircase landing
6. Visitors Waiting -2no's</t>
  </si>
  <si>
    <t>Stair Case hand rail wall</t>
  </si>
  <si>
    <t>Super structure in First Floor</t>
  </si>
  <si>
    <t>Starir case 3 sides</t>
  </si>
  <si>
    <r>
      <t xml:space="preserve">Plastering 20mm thick in two coats using screened sand with base coat of 16mm thick in CM(1:6) and top coat of 4mm thick in CM(1:4) with dubara sponge finishing including cost and conveyance of all materials like cement, sand, water etc., to site, including sales &amp; other taxes on all materials, and all operational, incidental charges on materials and including cost of all labour charges for mixing mortar, finishing, scaffolding, lift charges, curing, including cutting grooves as directed by Engineer-in-charge Excluding GST etc., and overheads &amp; contractors profit complete for finished item of work. (SS 901,903 &amp; 904) </t>
    </r>
    <r>
      <rPr>
        <b/>
        <sz val="8"/>
        <rFont val="Arial"/>
        <family val="2"/>
      </rPr>
      <t>External Plastering</t>
    </r>
  </si>
  <si>
    <t>External Plastering to Brick Wall</t>
  </si>
  <si>
    <t>Parapet wall around</t>
  </si>
  <si>
    <t>Add Landing slab walls</t>
  </si>
  <si>
    <t xml:space="preserve">First Floor </t>
  </si>
  <si>
    <r>
      <rPr>
        <b/>
        <sz val="8"/>
        <rFont val="Arial"/>
        <family val="2"/>
      </rPr>
      <t>Flooring with vitrified tiles</t>
    </r>
    <r>
      <rPr>
        <sz val="8"/>
        <rFont val="Arial"/>
        <family val="2"/>
      </rPr>
      <t xml:space="preserve"> of 1st quality and of size not less than 598 x 598 mm x 8 mm thickness glossy finish permium colours, set over base coat of cement mortar (1:8), 12 mm thick over CC bed already laid or RCC roof slab, including neat cement slurry of honey like consistency spread @ 3.3.kgs per sqm &amp; jointed neatly with white cement paste to full depth mixed with pigment of matching shade, including cost and conveyance of all materials like cement, sand, and water and flooring tiles etc., complete, including   over heads &amp; contractor profit, labour charges  etc., complete for finished item of work, but excluding VAT and seignorage charges.</t>
    </r>
  </si>
  <si>
    <t>1 Sqm</t>
  </si>
  <si>
    <t>Vitrified tiles flooring in First Floor</t>
  </si>
  <si>
    <t>Secretariat Staff</t>
  </si>
  <si>
    <t>Corridor</t>
  </si>
  <si>
    <t>Digital Store</t>
  </si>
  <si>
    <t>Ground Floor Vitirified Skirting</t>
  </si>
  <si>
    <t>First Floor Vitirified Skirting</t>
  </si>
  <si>
    <t xml:space="preserve">Deduct Column projections in 
</t>
  </si>
  <si>
    <t>Deduct for door of 1.20x2.10
1.Corridor Entrance 
2.Secretary staff
3. Meeting Hall -2 no's</t>
  </si>
  <si>
    <t xml:space="preserve">Deduct for door of  1.05x2.10
1. Sarpanch Room 
2. Digital Stores
</t>
  </si>
  <si>
    <t>Deduct Door portions</t>
  </si>
  <si>
    <t>Add for door Jambs of 1.20x2.10
1.Corridor Entrance 
2.Secretary staff
3. Meeting Hall -2 no's</t>
  </si>
  <si>
    <t xml:space="preserve">Add for door Jambs of  1.05x2.10
1. Sarpanch Room 
2. Digital Stores
</t>
  </si>
  <si>
    <r>
      <t xml:space="preserve">Painting to new walls with 2 coats of Plastic Emulsion Paint Asian/ Berger/ Nerolac/ Saicoat/Indocem or Equivalent and shade over Priming Coat with Cement Primer Waterbase Interior Gr- 1 Asian/ Berger/ Nerolac/ Saicoat/Indocem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911 for </t>
    </r>
    <r>
      <rPr>
        <b/>
        <sz val="8"/>
        <rFont val="Arial"/>
        <family val="2"/>
      </rPr>
      <t>internal walls</t>
    </r>
  </si>
  <si>
    <t>Painting to internal walls</t>
  </si>
  <si>
    <r>
      <t>Painting to new walls with 2 coats of Plastic Emulsion Paint Asian/ Berger/ Nerolac/ Saicoat/Indocem or Equivalent and shade over Priming Coat with Cement Primer Waterbase Interior Gr- 1 Asian/ Berger/ Nerolac/ Saicoat/Indocem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911 for</t>
    </r>
    <r>
      <rPr>
        <b/>
        <sz val="8"/>
        <rFont val="Arial"/>
        <family val="2"/>
      </rPr>
      <t xml:space="preserve"> internal walls</t>
    </r>
  </si>
  <si>
    <t>Painting to celing in First Floor</t>
  </si>
  <si>
    <r>
      <t>Painting to new walls with 2 coats of Plastic Emulsion Paint Asian/ Berger/ Nerolac/ Saicoat/Indocem or Equivalent and shade over Priming Coat with Cement Primer Waterbase Interior Gr- 1 Asian/ Berger/ Nerolac/ Saicoat/Indocem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912  for E</t>
    </r>
    <r>
      <rPr>
        <b/>
        <sz val="8"/>
        <rFont val="Arial"/>
        <family val="2"/>
      </rPr>
      <t>xternal walls.</t>
    </r>
  </si>
  <si>
    <t>Gents toilet WC</t>
  </si>
  <si>
    <t>Gents toilet Urinals</t>
  </si>
  <si>
    <t>Deduction for doors</t>
  </si>
  <si>
    <t>Sarpanch room  toilet</t>
  </si>
  <si>
    <t>for doors  D        1.20x2.10</t>
  </si>
  <si>
    <t>for doors  D1      1.05x2.10</t>
  </si>
  <si>
    <r>
      <t>Supply and fixing of  Door single shutter fully pannlled door of size 1.05 x 2.10mt with frame made of</t>
    </r>
    <r>
      <rPr>
        <b/>
        <sz val="10"/>
        <rFont val="Arial"/>
        <family val="2"/>
      </rPr>
      <t xml:space="preserve"> PVC door frame of size 100 x 45 mm</t>
    </r>
    <r>
      <rPr>
        <sz val="8"/>
        <rFont val="Arial"/>
        <family val="2"/>
      </rPr>
      <t xml:space="preserve">   m and shutter   made of black board type with teak wood veneer on one face and commercial ply on another face 30 mm thick with fixtures of 6 nos of 9" ' z" holdfasts, 300 mm long MS powder coated   aldrop-1 no,150mm long MS powder coated    butt hinges 3 No's,  150mm long  Tower bolts  - 1no's MS powder coated  ,  200mm long  Tower bolts  - 1no's MS powder coated  , Ms powder coated  fancy  handles 150mm long 2no's,   with necessary screws complete including cost and conveyance of all materials and labour charges etc. complete as per specifications  (APSS NO.1001 &amp; 1002)                                                                                                                                                                                        </t>
    </r>
  </si>
  <si>
    <t xml:space="preserve">Supply and fixing of  Door single shutter fully pannlled door of size 1.20 x 2.10mt with frame made of internal prelaminated PVC door frame of size 100 x 45 mm   and shutter   made of black board type with teak wood veneer on one face and commercial ply on another face 30 mm thick with fixtures of 6 nos of 9" ' z" holdfasts, 300 mm long MS powder coated   aldrop-1 no,150mm long MS powder coated    butt hinges 3 No's,  150mm long  MS powder coated    - 1no's alumium,  200mm long  Tower bolts  - 1no's MS powder coated  , Ms powder coated  fancy  handles 150mm long 2no's,   with necessary screws complete including cost and conveyance of all materials and labour charges etc. complete as per specifications  (APSS NO.1001 &amp; 1002)                                                                                                                                                                            </t>
  </si>
  <si>
    <t>Door of Size 1.20x2.10
1.Corridor Entrance 
2.Secretary staff
3. Meeting Hall -2 no's</t>
  </si>
  <si>
    <t>1 No</t>
  </si>
  <si>
    <t xml:space="preserve">Supply and fixing of  Door single shutter fully pannlled door of size 1.05 x 2.10mt with frame made of PVC door frame of size 100 x 45 mm   m and shutter   made of black board type with teak wood veneer on one face and commercial ply on another face 30 mm thick with fixtures of 6 nos of 9" ' z" holdfasts, 300 mm long MS powder coated   aldrop-1 no,150mm long MS powder coated    butt hinges 3 No's,  150mm long  Tower bolts  - 1no's MS powder coated  ,  200mm long  Tower bolts  - 1no's MS powder coated  , Ms powder coated  fancy  handles 150mm long 2no's,   with necessary screws complete including cost and conveyance of all materials and labour charges etc. complete as per specifications  (APSS NO.1001 &amp; 1002)                                                                                                                                                                                        </t>
  </si>
  <si>
    <t>Door  of size1.05x2.10
1. Sarpanch Room 
2. Digital Stores</t>
  </si>
  <si>
    <t>Window of size1.50x1.35
1. Sarpanch Room- 2no's
2. Digital Store- 2no's
3. Meeting Hall - 2no's
4. Secretariat staff
5. Staircase landing
6. Visitors Waiting -2no's</t>
  </si>
  <si>
    <t xml:space="preserve">Supply and fixing of factory made Bathroom door frames without threshold, fabricated from pre-painted cold rollformed section 50mm x 50 mm made of galvanized (base steel as per IS – 513 „D‟ quality, galvanized as per IS-277 with Zinc of 120 Gms/sqm) steel colour coated sections with total coated thickness of 1 mm, primer coated with epoxy primer of 5-7 microns thick, finish painted with polyester paint of 12-16 microns and back coated with alkyd backer of 5-7 microns and the frame section filled with polyurethane (P.U. Foam) of 40 Kg/Cum; and the sections cut to length and mitre joined by means of 1.25mm thick CRCA electroplated corner brackets of size 75 x 75 mm and 1.25mm thick electroplated stiffeners of size 150mm for fixing hold fasts and hinges together with the following MS Power coated fitting (Supply and fixing) of approved make. (a) 6 Nos M.S. Z. Type hold fasts made of 30mm x 3 mm MS flat of 230mm long, 3 Nos each side expandable PVC covered screw type fasteners. (b) 2.5 mm x 300 mm long „T‟ hinges / 2.5mm x 50 mm x 100mm two way but hinges (3 Nos for single leaf or 2 Nos for Double leaf /leaf ) (c) 12 mm Dia MS tie rod at bottom with necessary size of nuts on either side.                                                                                             </t>
  </si>
  <si>
    <t>door of Size 0.75x2.10
1. Sarpanch Room Toilet
2. Ladies Toilet
3. Gents Uninals &amp; Toilet</t>
  </si>
  <si>
    <t>Providing and fixing 30mm thick Solid panel PVC door shutter consisting of frame made out of M.S. tubes of 19 gauge thickness and size of 19mm x 19mm for stiles, &amp; 15mm x 15mm for top &amp; bottom rails. M.S. frame shall have a coat of steel primers of approved make and manufacture.M.S. frame shall be covered with 5mm thick heat moulded PVC „C‟ channel of size 30 x 50mm forming stiles, and 5mm thick, 75mm wide PVC sheets for top rail, lock rail &amp;bottom rail on either side, and 10mm (5mm x 2) thick, 20mm wide cross PVC sheet as gap insert for top rail &amp; bottom rail. Panelling of 5mm thick PVC sheet to be fitted in the M.S. frame welded / sealed to the stiles &amp; rails with 30mm wide x 5mm thick PVC sheet beading on either side, and joined together with solvent cement adhesive etc. An additional 5mm thick PVC strip of 20mm width is to be stuck on the interior side of the „C‟ Channel using PVC solvent adhesive. Complete as per direction of Engineer-in-charge, manufacturer‟s specification &amp; drawing for finished item of work .</t>
  </si>
  <si>
    <t>1 Rm</t>
  </si>
  <si>
    <t>Metal
( 20&amp;12 mm )</t>
  </si>
  <si>
    <t>RCC M25 Footings</t>
  </si>
  <si>
    <t>RCC M25 Pedastals</t>
  </si>
  <si>
    <t>RCC M25 Plinth beams</t>
  </si>
  <si>
    <t>RCC M25 Columns</t>
  </si>
  <si>
    <t>RCC M25 Lintels</t>
  </si>
  <si>
    <t>RCC M25 stair case 150 mm thick</t>
  </si>
  <si>
    <t>RCC M25 Slab of 125 mm thick</t>
  </si>
  <si>
    <t>RCC M25  Roof beams concrete</t>
  </si>
  <si>
    <t>RCC M25  Sun shade concrete</t>
  </si>
  <si>
    <t>RBM in CM (1:4) with Country bricks</t>
  </si>
  <si>
    <r>
      <rPr>
        <b/>
        <sz val="8"/>
        <rFont val="Arial"/>
        <family val="2"/>
      </rPr>
      <t>Ornamental Plastering</t>
    </r>
    <r>
      <rPr>
        <sz val="8"/>
        <rFont val="Arial"/>
        <family val="2"/>
      </rPr>
      <t xml:space="preserve"> 12mm thick to ceiling in two coats using Portland Slag Cement (confirming to IS 455-1989) with a base coat of 8mm thick in CM(1:5) prop and top coat of 4mm thick in CM (1:3) prop. with dubara sponge finish including cost and conveyance of all materials and water to work site, seigniorage charges, all taxes and all operational incidental, labour charges such as scaffolding, mixing mortar, lift charges, curing etc., including using Recron 3S @ 125gms /per 1 bag of cement in first coat, complete for finished item of work (As per BLD-CSTN).</t>
    </r>
  </si>
  <si>
    <t>Plastering with CM 2 coats, 12 mm thick, base coat in CM (1:5), 8mm thick and top coat in CM (1:3), 4mm thick internal walls</t>
  </si>
  <si>
    <t>Plastering with CM 2 coats,20 mm thick, base coat in CM (1:6), 8mm thick and top coat in CM (1:4), 4mm thick external walls</t>
  </si>
  <si>
    <t>Granolithic Concrete of 20mm thick</t>
  </si>
  <si>
    <t>Dadoing with ceramic tiles</t>
  </si>
  <si>
    <t>Imprevious coat plastering (1:3)</t>
  </si>
  <si>
    <t>Sand filling</t>
  </si>
  <si>
    <t xml:space="preserve">Deduct Sand filling in footings </t>
  </si>
  <si>
    <t xml:space="preserve">Deduct PCC (1:4:8)filling in footings </t>
  </si>
  <si>
    <t>Deduct for RCC M25 Columns upto GL</t>
  </si>
  <si>
    <t>Provion for soil Exploration and QC tests on materials</t>
  </si>
  <si>
    <t>The Estimate provisions are as follows.</t>
  </si>
  <si>
    <t>1.Earth work excavation for foundations of Footings, External Plinth wall, Ramps &amp; Steps</t>
  </si>
  <si>
    <t>5.Brick masonary in CM(1:6) with country bricks  up to basement with 450 mm thick to a height 0.60 mts height from Natural Ground Level.</t>
  </si>
  <si>
    <t>6.All external walls are proposed with brick masonary 230 mm thick wall in CM(1:8) using country bricks 2 class to a height 3.30m including roof beams.</t>
  </si>
  <si>
    <t>7.All internal walls are proposed with Reinforced Brick Masonary 115 thick wall in CM(1:6) using country bricks 2 class to height 3.30m including roof beams.</t>
  </si>
  <si>
    <t>13. Proposed Granolithic Concrete Flooring, 20 mm thick with M20 Design mix in Godown and Ramps</t>
  </si>
  <si>
    <t>14. Proposed flooring with Ceramic non skid tiles of not less than 7.3mm thick 1st quality in Wash areas and Toilets set over 12.0 mm thick in CM (1:8 ) and neat grey cement slurry</t>
  </si>
  <si>
    <t>15. Providing dadooing to walls of Toilet and Wash area to a height of 2.10m with 5 to 7mm thick  ceramic  wall tiles set over base coat of CM (1:3) 12 mm thick with cement slurry</t>
  </si>
  <si>
    <t>Painting to new walls with 2 coats of Plastic Emulsion Paint Asian/ Berger/ Nerolac/ Saicoat/Indocem or Equivalent and shade over Priming Coat with Cement Primer Waterbase Interior Gr- 1 Asian/ Berger/ Nerolac/ Saicoat/ 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911 for internal walls</t>
  </si>
  <si>
    <t>17. UPVC window of size 1.50x1.35m is proposed to get better elevation to the building and also to avoid pest effect in future.</t>
  </si>
  <si>
    <t>18. PVC door frame followed by shutter of 35mm thick flush type one side teak veenering and other side commercial ply</t>
  </si>
  <si>
    <t xml:space="preserve">                    With the above provisions the estimate is prepared with 2019-2020 SS rates and    work will be carried out as per APDSS and building codes in vogue.</t>
  </si>
  <si>
    <t>Construction of Gram Sachivalayam Building at Peravalipalem (V) of Vemuru (M)</t>
  </si>
  <si>
    <t>Estimate Cost Rs.</t>
  </si>
  <si>
    <t>MGNREGS</t>
  </si>
  <si>
    <t>Mandal :</t>
  </si>
  <si>
    <t>Kandukur</t>
  </si>
  <si>
    <t xml:space="preserve">Construction of Gram Sachivalayam Building at </t>
  </si>
  <si>
    <t xml:space="preserve">(V) </t>
  </si>
  <si>
    <t>Salipeta</t>
  </si>
  <si>
    <t xml:space="preserve"> of </t>
  </si>
  <si>
    <t>(M)</t>
  </si>
  <si>
    <t xml:space="preserve">Mandal </t>
  </si>
  <si>
    <t>(V)</t>
  </si>
  <si>
    <t>of</t>
  </si>
  <si>
    <t>Estimate Cost</t>
  </si>
  <si>
    <t>Name of the grant</t>
  </si>
  <si>
    <t>100%  MGNREGS</t>
  </si>
  <si>
    <t>3.PCC (1:4:8) as levelling course for foundations of footings, External Plinth Wall, Ramps, Steps and bottom of Internal Plinth Beams</t>
  </si>
  <si>
    <t>2.Sand filling for foundations to level the bottom of foundations and to strengthen the foundations.</t>
  </si>
  <si>
    <t xml:space="preserve">Amount </t>
  </si>
  <si>
    <t xml:space="preserve"> vtrified tiles</t>
  </si>
  <si>
    <t>Ceramic tiles</t>
  </si>
  <si>
    <t>Dadoing</t>
  </si>
  <si>
    <t xml:space="preserve"> vtrified Skriting  tiles</t>
  </si>
  <si>
    <t>Add Labour charges</t>
  </si>
  <si>
    <t>Add Labour Charges</t>
  </si>
  <si>
    <t>wondows</t>
  </si>
  <si>
    <t>Black bowl urinal</t>
  </si>
  <si>
    <t>`</t>
  </si>
  <si>
    <t xml:space="preserve"> European Water Closet</t>
  </si>
  <si>
    <t>Flat Back Wash Hand  Basin</t>
  </si>
  <si>
    <t>GST CALCULATION SHEET</t>
  </si>
  <si>
    <t>Gudlur</t>
  </si>
  <si>
    <t>MPP/ Gudlur</t>
  </si>
  <si>
    <t>PRI Sub-Division, Kandukur</t>
  </si>
  <si>
    <t>M.P.P. Gudlur</t>
  </si>
  <si>
    <t>Asst eEngineer</t>
  </si>
  <si>
    <t>2. The entire length of road  shall be covered in one estimate.</t>
  </si>
  <si>
    <t xml:space="preserve">External Plinth wall Long </t>
  </si>
  <si>
    <t xml:space="preserve">Footing </t>
  </si>
  <si>
    <t xml:space="preserve">External Plinth wall  short </t>
  </si>
  <si>
    <t xml:space="preserve">Deduct for RCC M30 footings </t>
  </si>
  <si>
    <t>Deduct for RCC M30 Pedastals</t>
  </si>
  <si>
    <t>Middle Plinth beam</t>
  </si>
  <si>
    <t xml:space="preserve">Footing    </t>
  </si>
  <si>
    <t>Short Beams</t>
  </si>
  <si>
    <t>Long beams</t>
  </si>
  <si>
    <t xml:space="preserve">Columns </t>
  </si>
  <si>
    <t>Deduct columns</t>
  </si>
  <si>
    <t xml:space="preserve">External Plinth wall Long walls </t>
  </si>
  <si>
    <t>External Plinth wall Short walls</t>
  </si>
  <si>
    <t>Parapet wall Long</t>
  </si>
  <si>
    <t>Parapet wall Short</t>
  </si>
  <si>
    <t>Alround inside</t>
  </si>
  <si>
    <t>Deduct for 
1.Rolling shutter to stores</t>
  </si>
  <si>
    <t>Alround Outside</t>
  </si>
  <si>
    <t xml:space="preserve">Basement </t>
  </si>
  <si>
    <t>Celing</t>
  </si>
  <si>
    <t>Stores</t>
  </si>
  <si>
    <t>Walls alround</t>
  </si>
  <si>
    <t xml:space="preserve">Add for window Jambs
</t>
  </si>
  <si>
    <t>Deduct for Window</t>
  </si>
  <si>
    <t>Add window Jamb</t>
  </si>
  <si>
    <t>deduct Window</t>
  </si>
  <si>
    <t>Deduct Windows</t>
  </si>
  <si>
    <t>Add Rolling shutter Jambs</t>
  </si>
  <si>
    <t>Centre Beam sides</t>
  </si>
  <si>
    <t xml:space="preserve">deduction for Rolling Shutters
</t>
  </si>
  <si>
    <t xml:space="preserve">deduction for windows
</t>
  </si>
  <si>
    <t>Parapet wall alround</t>
  </si>
  <si>
    <t>Store</t>
  </si>
  <si>
    <t>Providing impervious coat to exposed RCC surfaces of sump, sump side wall, sump bottom slab, in side of septic tank, in sunken slabs etc., to required slopes with CM (1:3) prop. using screened sand 12mm thick mixed with water proofing compound manufactured by reputed manufacturers as approved by Engineer-in-charge at 1 Kg per one bag of cement, laid over roof slab when it is green, finished smooth with a floating coat of neat cement and thread lining at regular intervals of 45cmx45cm where ever necessary including cost and conveyance of all materials like cement, sand, water proofing compound, water etc., to site, including seigniorage charges, sales &amp; other taxes on all materials and operational, incidental, and labour charges for mixing mortar, laying, lift charges, rendering smooth and thread lining, curing including rounding off junctions of wall and slab Excluding GST etc., complete for finished item of work. (APSS No. 901 &amp; 903).</t>
  </si>
  <si>
    <t>Construction of Fertiliser cum Pesticides Shop</t>
  </si>
  <si>
    <t xml:space="preserve">Cost, Supply and Fixing of rolling shutter to Godown </t>
  </si>
  <si>
    <t>Paining to Iron work</t>
  </si>
  <si>
    <t>45.00 Lakhs</t>
  </si>
  <si>
    <t>Taking output : 1.00 cum</t>
  </si>
  <si>
    <t>RSSR Rate</t>
  </si>
  <si>
    <t>Over windows</t>
  </si>
  <si>
    <t>Over Rolling Shutter</t>
  </si>
  <si>
    <t>Slab Projection long side</t>
  </si>
  <si>
    <t>Slab Projection Short Side</t>
  </si>
  <si>
    <t>Steps Non Skid Variety</t>
  </si>
  <si>
    <t>Cost and Supply of Rolling Shutter</t>
  </si>
  <si>
    <t>Conversion into Kgs</t>
  </si>
  <si>
    <t>Say</t>
  </si>
  <si>
    <t xml:space="preserve">Slab Projection alround 300mm </t>
  </si>
  <si>
    <t>Individual Length</t>
  </si>
  <si>
    <t>Total Length</t>
  </si>
  <si>
    <t>Reinforcement Calculations</t>
  </si>
  <si>
    <t>No's</t>
  </si>
  <si>
    <t>10 tor</t>
  </si>
  <si>
    <t>12 Tor</t>
  </si>
  <si>
    <t>8 Tor</t>
  </si>
  <si>
    <t>16 Tor</t>
  </si>
  <si>
    <t>Y 10#11</t>
  </si>
  <si>
    <t>Y 12 # 4</t>
  </si>
  <si>
    <t>rings</t>
  </si>
  <si>
    <t>Y 8 # 5</t>
  </si>
  <si>
    <t>Y12 # 8</t>
  </si>
  <si>
    <t>Rings</t>
  </si>
  <si>
    <t>Y 10 # 34</t>
  </si>
  <si>
    <t>Hooks</t>
  </si>
  <si>
    <t>Y8 # 19</t>
  </si>
  <si>
    <t>Length wise</t>
  </si>
  <si>
    <t>Y12 # 6</t>
  </si>
  <si>
    <t>Y 8 # 39</t>
  </si>
  <si>
    <t>rings at Junction</t>
  </si>
  <si>
    <t>Y 8 # 16</t>
  </si>
  <si>
    <t>Width wise</t>
  </si>
  <si>
    <t>Y12 # 3</t>
  </si>
  <si>
    <t>Y 16 # 2</t>
  </si>
  <si>
    <t>Rings in the middle</t>
  </si>
  <si>
    <t>Y 8 # 26</t>
  </si>
  <si>
    <t xml:space="preserve">Lintels </t>
  </si>
  <si>
    <t>Lintels over windows</t>
  </si>
  <si>
    <t>Y12 # 4</t>
  </si>
  <si>
    <t>Y 8 # 13</t>
  </si>
  <si>
    <t>Lintels over rolling Shutters</t>
  </si>
  <si>
    <t>Y 8 # 28</t>
  </si>
  <si>
    <t>Roof Beams</t>
  </si>
  <si>
    <t>Y20 # 3</t>
  </si>
  <si>
    <t>Slab Reinforcment</t>
  </si>
  <si>
    <t xml:space="preserve">Short Span Direction </t>
  </si>
  <si>
    <t>Mains Plains</t>
  </si>
  <si>
    <t>Y8#28</t>
  </si>
  <si>
    <t>Cranks</t>
  </si>
  <si>
    <t>Y8#11</t>
  </si>
  <si>
    <t>Tie rods at end</t>
  </si>
  <si>
    <t>Y8#8</t>
  </si>
  <si>
    <t>Extra rods at Middle</t>
  </si>
  <si>
    <t>Extra rods at end</t>
  </si>
  <si>
    <t>Y8#22</t>
  </si>
  <si>
    <t xml:space="preserve">Long Span Direction </t>
  </si>
  <si>
    <t>Y8#26</t>
  </si>
  <si>
    <t>Y8#12</t>
  </si>
  <si>
    <t>Tie rods at Middle</t>
  </si>
  <si>
    <t>Y8#10</t>
  </si>
  <si>
    <t>Factor</t>
  </si>
  <si>
    <t>FIRST FLOOR ROOF SLAB</t>
  </si>
  <si>
    <t>Distribution</t>
  </si>
  <si>
    <t>Mains</t>
  </si>
  <si>
    <t xml:space="preserve">Length </t>
  </si>
  <si>
    <t>Plain rods</t>
  </si>
  <si>
    <t>Tie rods at middle</t>
  </si>
  <si>
    <t>FIRST FLOOR ROOF BEAM REINFORCEMENT DETAILING</t>
  </si>
  <si>
    <t>FB Identification</t>
  </si>
  <si>
    <t>W</t>
  </si>
  <si>
    <t>C/C length</t>
  </si>
  <si>
    <t>Upto end excluding cover</t>
  </si>
  <si>
    <t>Verical
Left</t>
  </si>
  <si>
    <t>Verical
Right</t>
  </si>
  <si>
    <t>Length</t>
  </si>
  <si>
    <t>FB201</t>
  </si>
  <si>
    <t>Bottom St</t>
  </si>
  <si>
    <t>Top St</t>
  </si>
  <si>
    <t>Rings at Junctions</t>
  </si>
  <si>
    <t>Rings at Middle</t>
  </si>
  <si>
    <t>FB202</t>
  </si>
  <si>
    <t>20 Tor</t>
  </si>
  <si>
    <t>FB203</t>
  </si>
  <si>
    <t>FB204</t>
  </si>
  <si>
    <t>Rings at cantilever</t>
  </si>
  <si>
    <t>FB205</t>
  </si>
  <si>
    <t>FB206</t>
  </si>
  <si>
    <t>FB207</t>
  </si>
  <si>
    <t>FB208</t>
  </si>
  <si>
    <t>FB209</t>
  </si>
  <si>
    <t>GROUND FLOOR ROOF SLAB</t>
  </si>
  <si>
    <t xml:space="preserve">Toilet </t>
  </si>
  <si>
    <t>GROUND FLOOR ROOF BEAM REINFORCEMENT DETAILING</t>
  </si>
  <si>
    <t>FB101</t>
  </si>
  <si>
    <t>Top Extra@ 2</t>
  </si>
  <si>
    <t>Top Extra@ 3</t>
  </si>
  <si>
    <t>FB102</t>
  </si>
  <si>
    <t>FB103</t>
  </si>
  <si>
    <t>FB104</t>
  </si>
  <si>
    <t>FB105</t>
  </si>
  <si>
    <t>Top Extra@ 1</t>
  </si>
  <si>
    <t>FB106</t>
  </si>
  <si>
    <t>FB107</t>
  </si>
  <si>
    <t>FB108</t>
  </si>
  <si>
    <t>FB109</t>
  </si>
  <si>
    <t>FB110</t>
  </si>
  <si>
    <t>Top Extra</t>
  </si>
  <si>
    <t>FB111</t>
  </si>
  <si>
    <t>PB Identification</t>
  </si>
  <si>
    <t>PLINTH BEAM</t>
  </si>
  <si>
    <t>PB101</t>
  </si>
  <si>
    <t>Bottom extra</t>
  </si>
  <si>
    <t>PB102</t>
  </si>
  <si>
    <t>PB103</t>
  </si>
  <si>
    <t>PB104</t>
  </si>
  <si>
    <t>PB105</t>
  </si>
  <si>
    <t>PB106</t>
  </si>
  <si>
    <t>Top Extra@ A</t>
  </si>
  <si>
    <t>Top Extra@ B</t>
  </si>
  <si>
    <t>Top Extra@ C</t>
  </si>
  <si>
    <t>Top Extra@ D</t>
  </si>
  <si>
    <t>Top Extra@ E</t>
  </si>
  <si>
    <t>PB107</t>
  </si>
  <si>
    <t>PB108</t>
  </si>
  <si>
    <t xml:space="preserve">STAIR CASE </t>
  </si>
  <si>
    <t>Steps</t>
  </si>
  <si>
    <t>Bottom Mains</t>
  </si>
  <si>
    <t>Bottom Dis</t>
  </si>
  <si>
    <t>Bottom top Mat</t>
  </si>
  <si>
    <t>Bottom top Dis</t>
  </si>
  <si>
    <t>At Landing slab</t>
  </si>
  <si>
    <t>Top Dis</t>
  </si>
  <si>
    <t>Top Mains</t>
  </si>
  <si>
    <t>At GF slab Level</t>
  </si>
  <si>
    <t>Landing Beam</t>
  </si>
  <si>
    <t xml:space="preserve">Rings </t>
  </si>
  <si>
    <t>GROUND FLOOR LINTELS</t>
  </si>
  <si>
    <t>Long walls</t>
  </si>
  <si>
    <t>B1 TO E1</t>
  </si>
  <si>
    <t>Bottom</t>
  </si>
  <si>
    <t>Top</t>
  </si>
  <si>
    <t xml:space="preserve">Staircase </t>
  </si>
  <si>
    <t>A1 TO B1</t>
  </si>
  <si>
    <t>A3 TO E3</t>
  </si>
  <si>
    <t>B2 TO D2</t>
  </si>
  <si>
    <t>Short walls</t>
  </si>
  <si>
    <t>A2 TO A3</t>
  </si>
  <si>
    <t>Sunshades over Windows</t>
  </si>
  <si>
    <t>A1 TO E1</t>
  </si>
  <si>
    <t>FIRST FLOOR LINTELS</t>
  </si>
  <si>
    <t>B2 TO E2</t>
  </si>
  <si>
    <t>B'2 TO E'2</t>
  </si>
  <si>
    <t>B2 TO B3</t>
  </si>
  <si>
    <t>Sunshades over Verandah</t>
  </si>
  <si>
    <t>A2 TO A3 &amp;
A3 to B3</t>
  </si>
  <si>
    <t>SBC - 150KN/m</t>
  </si>
  <si>
    <t>Description  of Room</t>
  </si>
  <si>
    <t>Door</t>
  </si>
  <si>
    <t>Windows</t>
  </si>
  <si>
    <t>Grid Number</t>
  </si>
  <si>
    <t>Column</t>
  </si>
  <si>
    <t>Size</t>
  </si>
  <si>
    <t>Reinforcement details</t>
  </si>
  <si>
    <t>Footing Size</t>
  </si>
  <si>
    <t>Footing Steel</t>
  </si>
  <si>
    <t>Pedastal</t>
  </si>
  <si>
    <t>size</t>
  </si>
  <si>
    <t>A1</t>
  </si>
  <si>
    <t>C1</t>
  </si>
  <si>
    <t>230x380</t>
  </si>
  <si>
    <t>8#12</t>
  </si>
  <si>
    <t>F2</t>
  </si>
  <si>
    <t>Y12#12</t>
  </si>
  <si>
    <t>Main Entrance Door</t>
  </si>
  <si>
    <t>1.20x2.10</t>
  </si>
  <si>
    <t>A2</t>
  </si>
  <si>
    <t>C2</t>
  </si>
  <si>
    <t>4#16
4#12</t>
  </si>
  <si>
    <t>F3</t>
  </si>
  <si>
    <t>Y12#16</t>
  </si>
  <si>
    <t>Agri Cum Acqua store</t>
  </si>
  <si>
    <t>1.05x2.10</t>
  </si>
  <si>
    <t>1.50x1.35</t>
  </si>
  <si>
    <t>A3</t>
  </si>
  <si>
    <t>Secretary Room</t>
  </si>
  <si>
    <t>B1</t>
  </si>
  <si>
    <t>Godown Rolling Shutter</t>
  </si>
  <si>
    <t>2.40x2.10</t>
  </si>
  <si>
    <t>B2</t>
  </si>
  <si>
    <t>B3</t>
  </si>
  <si>
    <t xml:space="preserve">Spandana </t>
  </si>
  <si>
    <t>First Floor</t>
  </si>
  <si>
    <t>C3</t>
  </si>
  <si>
    <r>
      <t xml:space="preserve">Visitors waiting </t>
    </r>
    <r>
      <rPr>
        <sz val="10"/>
        <color indexed="8"/>
        <rFont val="Calibri"/>
        <family val="2"/>
      </rPr>
      <t>Right side
Entrance Door and Grill</t>
    </r>
    <r>
      <rPr>
        <sz val="10"/>
        <rFont val="Arial"/>
        <family val="2"/>
      </rPr>
      <t xml:space="preserve">
</t>
    </r>
    <r>
      <rPr>
        <sz val="8"/>
        <color indexed="8"/>
        <rFont val="Calibri"/>
        <family val="2"/>
      </rPr>
      <t xml:space="preserve"> (Iron Doors and Iron Grills in Verandah)</t>
    </r>
  </si>
  <si>
    <t>090x2.10</t>
  </si>
  <si>
    <t>1.80x1.35</t>
  </si>
  <si>
    <t>D1</t>
  </si>
  <si>
    <t>3.79x1.35</t>
  </si>
  <si>
    <t>D2</t>
  </si>
  <si>
    <t>D3</t>
  </si>
  <si>
    <t>E1</t>
  </si>
  <si>
    <t>F1</t>
  </si>
  <si>
    <t>Y10#9</t>
  </si>
  <si>
    <t>0.90x2.10</t>
  </si>
  <si>
    <t>E2</t>
  </si>
  <si>
    <t>Sarpanch Room</t>
  </si>
  <si>
    <t>E3</t>
  </si>
  <si>
    <t>Toilet</t>
  </si>
  <si>
    <t>0.75x2.10</t>
  </si>
  <si>
    <t>0.60x0.60</t>
  </si>
  <si>
    <t>A1,B1,B2,C1,C2,D1,E1,E2</t>
  </si>
  <si>
    <t>L adies Toilet</t>
  </si>
  <si>
    <t>1.35x0.60</t>
  </si>
  <si>
    <t>A2,A3,B3,C3,D2,D3,E3</t>
  </si>
  <si>
    <t>Gents Toilet</t>
  </si>
  <si>
    <t>A1,A3,B1,B2,B3,C1,C3,D1,D3,E2.E3</t>
  </si>
  <si>
    <t>A2,C2,D2</t>
  </si>
  <si>
    <t>FOOTINGS AND PEDASTAL STEEL</t>
  </si>
  <si>
    <t>Footing</t>
  </si>
  <si>
    <t>No,s</t>
  </si>
  <si>
    <t>Steel</t>
  </si>
  <si>
    <t>Pedastal Steel</t>
  </si>
  <si>
    <t>10 Tor No's</t>
  </si>
  <si>
    <t>Total  Length</t>
  </si>
  <si>
    <t>12 Tor No's</t>
  </si>
  <si>
    <t>8 Tor No's</t>
  </si>
  <si>
    <t>F1 Footing
(1.60x1.60x0.30)</t>
  </si>
  <si>
    <t>F2 Footing
(2.05x2.05x0.35)</t>
  </si>
  <si>
    <t>F3 Footing
(2.40x2.40x.425)</t>
  </si>
  <si>
    <t xml:space="preserve">Total  </t>
  </si>
  <si>
    <t>COLUMNS UPTO GROUND FLOOR ROOF SLAB</t>
  </si>
  <si>
    <t>Column Size</t>
  </si>
  <si>
    <t>Column rings/hooks</t>
  </si>
  <si>
    <t>Column Mains</t>
  </si>
  <si>
    <t>Column rings</t>
  </si>
  <si>
    <t>No.of rings
 10 tor</t>
  </si>
  <si>
    <t>Length of each ring</t>
  </si>
  <si>
    <t>Mains 12 T</t>
  </si>
  <si>
    <t>Mains 16 T</t>
  </si>
  <si>
    <t>No.of rings
 8 tor</t>
  </si>
  <si>
    <t>C1 Column</t>
  </si>
  <si>
    <t>C2 Column</t>
  </si>
  <si>
    <t>COLUMNS UPTO FIRST FLOOR ROOF SLAB</t>
  </si>
  <si>
    <t xml:space="preserve">CONSTRUCTION OF STORE </t>
  </si>
  <si>
    <t>12-13-3.1.3</t>
  </si>
  <si>
    <t>Supply and Fixing of ISI  25mm outer dia medium (1.80mm thickness) grade with IS:9537 part 3 regid PVC pipe with PVC / Metallic Junction boxes and all accessories  including Fixing of existing suitable size Consealed box PVC / MS with hook for fan including all labour charges etc., complete.(Data No.             )</t>
  </si>
  <si>
    <t xml:space="preserve">Makes: Sudhakar / Maco Plast / Modi </t>
  </si>
  <si>
    <t>a) Labour charges :</t>
  </si>
  <si>
    <t>Skilled Electrician. (ELEC-19-20)</t>
  </si>
  <si>
    <t>Semi Skilled Electrician / Lineman (ELEC-19-20)</t>
  </si>
  <si>
    <t>Helper (Electrical) (ELEC-19-20)</t>
  </si>
  <si>
    <t>Labour Rate Per 100 Rm</t>
  </si>
  <si>
    <t>Labour Rate for  1 Mtr</t>
  </si>
  <si>
    <t>Supply of 25mm PVC Junction Boxes Normal.(ELEC-19-20-1.2.6-B)</t>
  </si>
  <si>
    <t>No</t>
  </si>
  <si>
    <t>Supply of 25mm dia 1.5mm thick PVC Bends of Sudhakar make.(ELEC-19-20-1.2.8-B)</t>
  </si>
  <si>
    <t>Supply of ISI 25mm outer dia medium (1.80mm thickness) grade with IS:9537 part 3 regid PVC pipe of makes Sudhakar / Maco Plast / Modi.(ELEC-19-20-1.2.2-B)</t>
  </si>
  <si>
    <t>Mtr</t>
  </si>
  <si>
    <t>Material Rate for 100 Mtrs</t>
  </si>
  <si>
    <t>Material Rate for  1 Mtr</t>
  </si>
  <si>
    <t>Total Cost of Material + Labour Charges</t>
  </si>
  <si>
    <t>Overheads&amp;Contractors Profit @13.615%</t>
  </si>
  <si>
    <t>Total Cost of Material + Labour Charges+  over haed</t>
  </si>
  <si>
    <t>12-13-8.1.3</t>
  </si>
  <si>
    <t>Supply and laying of ISI  25mm outer dia medium (1.80mm thickness) grade with IS:9537 part 3 regid PVC pipe concealed in wall with PVC / Metallic junction boxes and all required accessories including masonary work for light, fan and separate plug point including Fixing of existing suitable size moduler box for fix the Modular type switches including all labour charges etc., complete.(Data No.             )</t>
  </si>
  <si>
    <t>Skilled Mason (ELEC-19-20)</t>
  </si>
  <si>
    <t>Cement (ELEC-19-20-8.4.13)</t>
  </si>
  <si>
    <t>U Nails. (ELEC-19-20-8.1.10)</t>
  </si>
  <si>
    <t>Total Cost of Material + Labour Charges+Overheads</t>
  </si>
  <si>
    <t>12-13-14.1.1</t>
  </si>
  <si>
    <t>Wiring with run of 2 of 14/0.3mm (1.0 Sq.mm) FRLS / HFFR PVC insulated flexible ISI mark copper cable in existing PVC conduit pipe including Supply and fixing of Jumbo Ceiling rose and 6A/10A ISI Mark 1way Modular switch with required modular box and cover frame in existing Surface or Concealed pipe wiring including cost and conveyance of all material and all labour charges etc., complete for light and bell  points in N.R.B.(Data No.             )</t>
  </si>
  <si>
    <t>Copper Cable Makes:Makes: Finolex / RR kabel / Havells /KEI/Polycab/Gloster</t>
  </si>
  <si>
    <t>Accessories Makes:Makes: Legrand Arteor / Schneider Zen celo/ Crabtree Murano or Amare/L&amp;Tenglaze/GM-Zenova/ Goldmedal (GIFA)</t>
  </si>
  <si>
    <t>Labour for 6 Points</t>
  </si>
  <si>
    <t>Labour for 1 Point</t>
  </si>
  <si>
    <t xml:space="preserve">Supply of 3 Module box (ELEC-19-20-1.3.1-B) </t>
  </si>
  <si>
    <t>Supply of  6A / 10A 1 Way Modular Switch of Makes: Legrand Arteor / Schneider Zen celo/ Crabtree Murano or Amare/L&amp;Tenglaze/GM-Zenova/ Goldmedal (GIFA)
(ELEC-19-20-1.8.1-A)</t>
  </si>
  <si>
    <t>Supply of 3 Modular Cover Frame of Legrand Arteor / MK Blenge / Schneider Zen celo.(ELEC-19-20-3-1.8.3-B)</t>
  </si>
  <si>
    <t>Supply of  3 Plate Jumbo Ceiling Rose  of makes Anchor / Gold Medal Olive / Million Zoom.(ELEC-19-20-1.7.1-M)</t>
  </si>
  <si>
    <t>Supply of 14/0.3mm (1.0 Sqmm) FRLS / HFFR  PVC insulated 1100V grade as per IS:694/1990 specification for Copper cable of makes Makes: Finolex / RR kabel / Havells /KEI/Polycab/Gloster. (ELEC-19-20-1.5.1)</t>
  </si>
  <si>
    <t>Mtrs</t>
  </si>
  <si>
    <t>Cost of Material for 6 Points</t>
  </si>
  <si>
    <t>Cost of Material Rate per 1 Point</t>
  </si>
  <si>
    <t>12-13-14.1.3</t>
  </si>
  <si>
    <t>Supply and fixing of 6A/10A ISI Mark 3/2 pin Modular socket with 6A/10A 1way Modular switch, 3 Module box with cover frame on a Common switch board including cost and conveyance of all materials and all labour charges etc., complete in N.R.B.(Data No.             )</t>
  </si>
  <si>
    <t>Accessories MakesLegrand Arteor / Schneider Zen celo/ Crabtree Murano or Amare/L&amp;Tenglaze/GM-Zenova/ Goldmedal (GIFA)</t>
  </si>
  <si>
    <t>Supply of  6A / 10A 3/2 Pin Modular Socket with shutter of Legrand Arteor / Schneider Zen celo/ Crabtree Murano or Amare/L&amp;Tenglaze/GM-Zenova/ Goldmedal (GIFA)(ELEC-19-20-1.8.1-D)</t>
  </si>
  <si>
    <t>Supply of 3 Modular Cover Frame of Legrand Arteor / Schneider Zen celo/ Crabtree Murano or Amare/L&amp;Tenglaze/
GM-Zenova/ Goldmedal(GIFA).(ELEC-19-20-1.8.3)</t>
  </si>
  <si>
    <t>12-13-14.1.4</t>
  </si>
  <si>
    <t>Wiring with run of  3 of 14/0.3mm (1.0 Sq.mm)  FRLS / HFFR PVC insulated flexible ISI mark copper cable in existing PVC Surface / Consealed conduit pipe wiring  including supply and fixing of 6A/10A ISI Mark 3/2 pin Modular socket, 6A/10A 1way Modular switch, 3 Module box with required cover frame including cost and conveyance of all material and all labour charges etc., complete for seperate plug points in N.R.B. (Data No.             )</t>
  </si>
  <si>
    <t>Semi Skilled Electrician / Lineman (ELEC-1-20)</t>
  </si>
  <si>
    <t>Labour for 15 Points</t>
  </si>
  <si>
    <t>Cost of Material for 15 Points</t>
  </si>
  <si>
    <t>12-13-20.1.9</t>
  </si>
  <si>
    <t>Supply and  Run of 3 of 22/0.3mm (1.50 Sq.mm)   FRLS / HFFR PVC insulated flexible ISI mark copper cable in existing pipe for run of mains inlcuding all labour charges etc., complete.(Data No.             )</t>
  </si>
  <si>
    <t>Labour for 100 Mtr</t>
  </si>
  <si>
    <t>Labour for 1 Mtr</t>
  </si>
  <si>
    <t>Supply of 22/0.3mm (1.5 Sqmm) FRLS / HFFR  PVC insulated 1100V grade as per IS:694/1990 specification for Copper cable of makes Finolex / RR kabel / KEI. (ELEC-19-20-1.5.1-B)</t>
  </si>
  <si>
    <t>Cost of Material for 100 Metres</t>
  </si>
  <si>
    <t>Cost of Material Rate per Mtr= C/100</t>
  </si>
  <si>
    <t>Supply and  Run of 2 of 36/0.3mm (2.50 Sq.mm) with  Run 1 of 22/0.3mm(1.5Sqmm)  FRLS / HFFR PVC insulated flexible ISI mark copper cable in existing pipe for run of mains inlcuding all labour charges etc., complete.(Data No.             )</t>
  </si>
  <si>
    <t>Supply of 36/0.3mm (2.5 Sqmm) FRLS / HFFR  PVC insulated 1100V grade as per IS:694/1990 specification for Copper cable of Finolex / RR kabel / Havells /KEI/Polycab/Gloster (ELEC-19-20-1.5.3-C)</t>
  </si>
  <si>
    <t>12-13-20.1.12</t>
  </si>
  <si>
    <t>Supply and  Run of 2 of 56/0.3mm (4.00 Sq.mm) with  Run 1 of 22/0.3mm(1.5Sqmm)  FRLS / HFFR PVC insulated flexible ISI mark copper cable in existing pipe for run of mains inlcuding all labour charges etc., complete.(Data No.             )</t>
  </si>
  <si>
    <t>Copper Cable Makes: Finolex / RR kabel / Havells /KEI/Polycab/Gloster</t>
  </si>
  <si>
    <t>Supply of 56/0.3mm (4.0 Sqmm) FRLS / HFFR  PVC insulated 1100V grade as per IS:694/1990 specification for Copper cable of makes Finolex / RR kabel / Havells /KEI/Polycab/Gloster. (ELEC-19-20-1.5.1-)</t>
  </si>
  <si>
    <t>12-13-21.1.2</t>
  </si>
  <si>
    <t>Supply and fixing of ISI mark batten holder / angle holder on existing block, but without bulb including all connections etc., complete (For replacement).(Data No.             )</t>
  </si>
  <si>
    <t>BH Makes: GM G Home / Gold Medal Olive / Million Zoom / Great whiteOmega/Koncept/Vimal opel/ Anchor/Vihan/CPL</t>
  </si>
  <si>
    <t>Labour for 1 No</t>
  </si>
  <si>
    <t>Supply of  BH / SBH of makes GM G Home / Gold Medal Olive / Million Zoom / Great whiteOmega/Koncept/Vimal opel/ Anchor/Vihan/CPL.(ELEC-19-20-1.7.1-N)</t>
  </si>
  <si>
    <t>Cost of Material</t>
  </si>
  <si>
    <t>12-13-22.1.9</t>
  </si>
  <si>
    <t>Supply and fixing of Modular telephone Jack with connector on existing  Metallic deep box in existing surface / consealed pipe wiring including cost and coveyance of all material and all labour charges etc., complete in N.R.B. / R.B. (Data No.             )</t>
  </si>
  <si>
    <t>Makes: Legrand Arteor / Schneider Zen celo/ Crabtree Murano or Amare/L&amp;Tenglaze/GM-Zenova/ Goldmedal(GIFA)</t>
  </si>
  <si>
    <t>Supply of Modular Telephone jack with Connector of  Legrand Arteor / Schneider Zen celo/ Crabtree Murano or Amare/L&amp;Tenglaze/GM-Zenova/ Goldmedal(GIFA).(ELEC-19-20-1.8.1-O)</t>
  </si>
  <si>
    <t>12-13-33.1.3</t>
  </si>
  <si>
    <r>
      <t xml:space="preserve">Supply, Transportation and Fixing of 48" (1200mm) Sweep </t>
    </r>
    <r>
      <rPr>
        <b/>
        <sz val="8"/>
        <color indexed="8"/>
        <rFont val="Arial"/>
        <family val="2"/>
      </rPr>
      <t>5 Star rated Ceiling Fan</t>
    </r>
    <r>
      <rPr>
        <sz val="8"/>
        <color indexed="8"/>
        <rFont val="Arial"/>
        <family val="2"/>
      </rPr>
      <t xml:space="preserve"> with double ball bearings but without regulator including all standard accessories and all labour charges etc., complete.(Data No.             )</t>
    </r>
  </si>
  <si>
    <t>Ceiling Fan Makes:  Crompton HS Decora / Bajaj Regal Star /
Havells Spark deco / Orient summer crown
/Halonix(Zephyr) /Polycab(India Glory</t>
  </si>
  <si>
    <t>Twin Core Wire Makes:  Finolex / Polycab / Havells / V-Guard / GoldMedal / GM / Million / Vimal /Airson/CRI/ Tamra/
ollvin/Avocab</t>
  </si>
  <si>
    <t xml:space="preserve">a) Labour charges  </t>
  </si>
  <si>
    <t xml:space="preserve">b) Material </t>
  </si>
  <si>
    <t>Supply of 23 / 0060 twin core twisted / flat heavy Copper wire of makes Finolex / Polycab / Havells / V-Guard / GoldMedal / GM / Million / Vimal /Airson/CRI/ Tamra/
ollvin/Avocab.(ELEC-19--20-1.5.6)</t>
  </si>
  <si>
    <t>Cost of Material for fixing fan</t>
  </si>
  <si>
    <t>Supply of 48" (1200mm) Sweep 5 Star rated Ceiling Fan without Regulator of makesCrompton HS Decora / Bajaj Regal Star /
Havells Spark deco / Orient summer crown
/Halonix(Zephyr) /Polycab(India Glory). (ELEC-19-20-5.1.4)</t>
  </si>
  <si>
    <t>Transportation Charges on Unit Cost @1%</t>
  </si>
  <si>
    <t>Cost of Material for 1 No</t>
  </si>
  <si>
    <t>12-13-33.1.9</t>
  </si>
  <si>
    <r>
      <t xml:space="preserve">Supply &amp; Fixing of </t>
    </r>
    <r>
      <rPr>
        <b/>
        <sz val="8"/>
        <color indexed="8"/>
        <rFont val="Arial"/>
        <family val="2"/>
      </rPr>
      <t>Modular type</t>
    </r>
    <r>
      <rPr>
        <sz val="8"/>
        <color indexed="8"/>
        <rFont val="Arial"/>
        <family val="2"/>
      </rPr>
      <t xml:space="preserve"> Stepped  electronic regulator  for sweep AC ceiling fans of 900mm / 1200mm / 1400mm. (Data No.             )</t>
    </r>
  </si>
  <si>
    <t>Regulator Makes:  Legrand Arteor / Schneider Zen celo/ Crabtree Murano or Amare/L&amp;Tenglaze/
GM-Zenova/ Goldmedal(GIFA)</t>
  </si>
  <si>
    <t>Supply of Electronic Regulator of Modular of  Legrand Arteor / Schneider Zen celo/ Crabtree Murano or Amare/L&amp;Tenglaze/
GM-Zenova/ Goldmedal(GIFA).(ELEC-19-20-1.8.1-N)</t>
  </si>
  <si>
    <t>12-13-33.1.14</t>
  </si>
  <si>
    <t>Supply and fixing of Consealed box PVC / MS with hook for fan grouted in RCC slab with making the slab as original.(Data No.             )</t>
  </si>
  <si>
    <t>Semi Skilled Mason (ELEC-19-20)</t>
  </si>
  <si>
    <t>Consealed box PVC / MS with hook for fan. (ELEC-19-20-8.1.22)</t>
  </si>
  <si>
    <t>Cement Sand and rounding off</t>
  </si>
  <si>
    <t>Job</t>
  </si>
  <si>
    <t>12-13-33.1.16</t>
  </si>
  <si>
    <t>Supply and fixing of 19/20mm dia steel tube down rod for ceiling fan of 1 Mtr Length with bolts and nuts duly painted with matching colour of  fan including all labour charges etc., complete.(Data No.             )</t>
  </si>
  <si>
    <t>19/20mm steel tube down rod of 1 meter length. (ELEC-19-20-8.1.25)</t>
  </si>
  <si>
    <t>12-13-33.1.17</t>
  </si>
  <si>
    <t>Supply, Transportation and Fixing of 12" (300mm) ISI, Fresh Air fan with metallic body and blades including making hole in wall and masonary work and all labour charges etc., complete. (Data No.             )</t>
  </si>
  <si>
    <t>Exhaust Fan Makes:  Crompton / Bajaj Bahar WG / Havells Ventil
Air-DB / Orient hill air/Halonix /Polycab</t>
  </si>
  <si>
    <t>Twin Core Wire Makes: Finolex / Polycab / Havells / V-Guard / GoldMedal / GM / Million / Vimal /Airson/CRI/ Tamra/ollvin/Avocab</t>
  </si>
  <si>
    <t>Supply of 23 / 0060 twin core twisted / flat heavy Copper wire of makes Finolex / Polycab / Havells / V-Guard / GoldMedal / GM / Million / Vimal /Airson/CRI/ Tamra/ollvin/Avocab.(ELEC-19--20-1.5.6)</t>
  </si>
  <si>
    <t>Sundries such as Sand, Bolt, Nuts etc.</t>
  </si>
  <si>
    <t>Supply of 12" (300mm) ISI, Fresh Air fan of makes CCrompton / Bajaj Bahar WG / Havells Ventil
Air-DB / Orient hill air/Halonix /Polycab.(ELEC-19-20-13-5.1.11)</t>
  </si>
  <si>
    <t>12-13-32.1.11</t>
  </si>
  <si>
    <t>Supply and Transportation and fixing of 1200 mm length,Box type powder coatedtube light luminaire with necessary wiring suitable for fixing 2 Nos retrofit T8 LED tubes but without tube and
choke Makes: Phillips / Crompton /Bajaj/Surya/Havells/HPL</t>
  </si>
  <si>
    <t>Cost of Material for fixing luminaire</t>
  </si>
  <si>
    <t>Supply of 1200 mm length,Box type powder coated
tube light luminaire with necessary wiring suitable for
fixing 2 Nos retrofit T8 LED tubes but without tube and
choke Makes: Phillips / Crompton /
Bajaj/Surya/Havells/HPL. (ELEC-19-20-3.8.18)</t>
  </si>
  <si>
    <t>12-13-29.1.1</t>
  </si>
  <si>
    <t>Supply and fixing of DB with 1 No 20A single phase plug and Socket, in sheet steel enclosure with 1 No 10A to 20A 10 KA SP MCB including internal connection and labour charges for Surface Mounting etc., complete. (Data No.             )</t>
  </si>
  <si>
    <t>DB Makes:ABB/Standard / Havells-euro II / HPL (Techno) / C&amp;S / L&amp;T/GM /GoldMedal/Anchor/Salzer/Polycab</t>
  </si>
  <si>
    <t>MCB Makes:ABB/Standard / Havells-euro II / HPL (Techno) / C&amp;S / L&amp;T/GM /GoldMedal/Anchor/Salzer/Polycab</t>
  </si>
  <si>
    <t>a) Labour charges  for Surface Mounting</t>
  </si>
  <si>
    <t>Supply of 20A SP Plug and Socket in SS enclosure of makes ABB/Standard / Havells-euro II / HPL (Techno) / C&amp;S / L&amp;T/GM /GoldMedal/Anchor/Salzer/Polycab.(ELEC-19-20-2.13.14-A)</t>
  </si>
  <si>
    <t>Supply of 6-32A 10KA SP MCB, C/D Curve ISI Mark of make ABB/Standard / Havells-euro II / HPL (Techno) / C&amp;S / L&amp;T/GM /GoldMedal/Anchor/Salzer/Polycab.(ELEC-19-20-2.10.2)</t>
  </si>
  <si>
    <t>Cost of Material  for 1 No</t>
  </si>
  <si>
    <t>12-13-26.1.2</t>
  </si>
  <si>
    <t>Supply and fixing of 8 Way TPN DB Horizontal with IP 20 / 43 Protection as per IS:13032 and suitable for 24 Nos S.P. out goings and for 1 No 4 pole  Incommer with 1 No 40A / 63A / 80A / 100A FP Isolator and 24 Nos 6-32 A 10kA SP MCBs of including internal connections and labour charges for Flush Mounting etc., complete. (Data No. 6.2.1)</t>
  </si>
  <si>
    <t>TPN DB Makes:ABB/Standard / Havells-euro II / HPL (Techno) / C&amp;S / L&amp;T/GM /GoldMedal/Anchor/Salzer/Polycab</t>
  </si>
  <si>
    <t>Isolator Makes: ABB- S200/Standard / Havells-euro II / HPL (Techno) / C&amp;S /L&amp;T-Exora/GM /Gold Medal/ Anchor/Salzer /Polycab</t>
  </si>
  <si>
    <t>MCB Makes:ABB- S200/Standard / Havells-euro II / HPL (Techno) / C&amp;S /L&amp;T-Exora/GM /Gold Medal/ Anchor/Salzer /Polycab</t>
  </si>
  <si>
    <t>a) Labour charges  for Flush Mounting</t>
  </si>
  <si>
    <t>Supply of 8 Way TPN DB Horizontal with IP 43 Protection as per IS:13032 and suitable for 24 Nos S.P. out goings and for 1 No 4 pole  Incommer etc complete of makesABB/Standard / Havells-euro II / HPL (Techno) / C&amp;S / L&amp;T/GM /GoldMedal/Anchor/Salzer/Polycab.(ELEC-19-20-2.13.5-D)</t>
  </si>
  <si>
    <t>Supply of 63A FP Isolator  of make ABB- S200/Standard / Havells-euro II / HPL (Techno) / C&amp;S /L&amp;T-Exora/
GM /Gold Medal/ Anchor/Salzer /Polycab.(ELEC-19-20-2.11.2-G)</t>
  </si>
  <si>
    <t>Supply of 6-32A 10KA SP MCB, C/D Curve ISI Mark of make ABB- S200/Standard / Havells-euro II / HPL (Techno) / C&amp;S /L&amp;T-Exora/
GM /Gold Medal/ Anchor/Salzer /Polycab.(ELEC-19-20-2.10.2-A)</t>
  </si>
  <si>
    <t>12-13-20.1.15</t>
  </si>
  <si>
    <t>Supply and  Run of 4 of 84/0.3mm (6.0 Sq.mm) with  Run 1 of 36/0.3mm(2.5 Sqmm)  FRLS / HFFR PVC insulated flexible ISI mark copper cable in existing pipe for run of mains inlcuding all labour charges etc., complete.(Data No.             )</t>
  </si>
  <si>
    <t>Copper Cable Makes:Finolex / RR kabel / Havells /KEI/Polycab/Gloster</t>
  </si>
  <si>
    <t>Supply of 84/0.3mm (6.0 Sqmm) FRLS / HFFR  PVC insulated 1100V grade as per IS:694/1990 specification for Copper cable of makes Finolex / RR kabel / Havells /KEI/Polycab/GlosterI. (ELEC-19-20-1.5.1-E)</t>
  </si>
  <si>
    <t>Supply of 36/0.3mm (2.5 Sqmm) FRLS / HFFR  PVC insulated 1100V grade as per IS:694/1990 specification for Copper cable of makes Finolex / RR kabel / Havells /KEI/Polycab/GlosterI. (ELEC-19-20-1.5.1-C)</t>
  </si>
  <si>
    <t>12-13-36.1.1</t>
  </si>
  <si>
    <t>Providing independent earthling by excavating a pit to a depth of 2.25Mt in all soils, as per size specified in the Data, using 40mm dia 'B' class GI pipe of 2.5 Mtrs length with necessary No.8 G.I. double earth wire and accessories with 18" dia 2" thick hume pipe ring duly providing staggered holes  including filling with 20Kg Salt and 40Kg Charcoal or 40Kg bentonite powder in layers and all labour charges etc., complete.(Data No.             )</t>
  </si>
  <si>
    <t xml:space="preserve">b) labour charges for fixing pipe ring and connections </t>
  </si>
  <si>
    <t>Cost of Labour Charges</t>
  </si>
  <si>
    <t>a) Material</t>
  </si>
  <si>
    <t>40mm Nominal Bore Medium grade G.I.Pipe. (ELEC-19-20-8.4.17-D)</t>
  </si>
  <si>
    <t>25mm x 6 mm G.I.Strip (ELEC-19-20-8.3.6)</t>
  </si>
  <si>
    <t>No.8 G.I.Wire (ELEC-19-20-8.3.6)</t>
  </si>
  <si>
    <t>Drilling of 16 Nos through holes of 12mm dia to G.I pipe. (ELEC-19-20-8.4.20)</t>
  </si>
  <si>
    <t>G.I Nuts, Bolts an Washers each set. (ELEC-19-20-8.4.21)</t>
  </si>
  <si>
    <t>Sets</t>
  </si>
  <si>
    <t>Set</t>
  </si>
  <si>
    <t>18" dia  2" thick hume pipe ring. (ELEC-19-20-8.4.22)</t>
  </si>
  <si>
    <t>2" thick  CC cover for hume pipe ring with handle.(ELEC-19-20-8.4.24)</t>
  </si>
  <si>
    <t>Hard Coke  (ELEC-19-20-8.1.10)</t>
  </si>
  <si>
    <t>Salt. (ELEC-19-20-8.1.10)</t>
  </si>
  <si>
    <t>Earth Work Excavation of Hard gravel Soil with small boulder for trench 1st step of size 1.2 x 0.6 x 0.9 m (4'x2'x3')</t>
  </si>
  <si>
    <t>Excavation of Hard disteggrated rocks and boulders for trench 2nd Step of size 0.9 x 0.6 x 1.2 m (Civil SSR) (3'x2'x4')</t>
  </si>
  <si>
    <t>25% extra for narrow trench &amp; pit and back filling with Sand, Coke, Salt etc., and leveling</t>
  </si>
  <si>
    <t>Sundries such as Lugs and Saddles</t>
  </si>
  <si>
    <r>
      <t xml:space="preserve">Supply and run of 5 pair telephone copper wire in existing pipe inlcuding all labour charges etc., complete. </t>
    </r>
    <r>
      <rPr>
        <b/>
        <sz val="11"/>
        <color indexed="8"/>
        <rFont val="Calibri"/>
        <family val="2"/>
      </rPr>
      <t>Makes:Finolex / Delton / Surabi / Polycab / Nakoda / GM.</t>
    </r>
  </si>
  <si>
    <t>Supply of 5 Pair telephone copper wire.
Makes: Finolex / Delton / Surabi / Polycab
wire. Finolex / Delton / Surabi / Polycab</t>
  </si>
  <si>
    <t>Supply and run  of LAN Cable cat - 6 UTP cable of makes D Link / AMP / Molex / Legrand /
Krone</t>
  </si>
  <si>
    <t>Supply of LAN Cable cat - 6 UTP cable. of makes D Link / AMP / Molex / Legrand /
Krone</t>
  </si>
  <si>
    <t>Supply, Transportation and Fixing of 48" (1200mm) Sweep 5 Star rated Ceiling Fan with double ball bearings but without regulator including all standard accessories and all labour charges etc., complete.(Data No.             )</t>
  </si>
  <si>
    <t>Supply &amp; Fixing of Modular type Stepped  electronic regulator  for sweep AC ceiling fans of 900mm / 1200mm / 1400mm. (Data No.             )</t>
  </si>
  <si>
    <t>Supply and run of 5 pair telephone copper wire in existing pipe inlcuding all labour charges etc., complete. Makes:Finolex / Delton / Surabi / Polycab / Nakoda / GM.</t>
  </si>
  <si>
    <t>S.NO</t>
  </si>
  <si>
    <t>DESCRIPTION OF WORK</t>
  </si>
  <si>
    <t>QTY</t>
  </si>
  <si>
    <t>RATE</t>
  </si>
  <si>
    <t>PER</t>
  </si>
  <si>
    <t>AMOUNT</t>
  </si>
  <si>
    <t>RMT</t>
  </si>
  <si>
    <t>EACH</t>
  </si>
  <si>
    <t>EAH</t>
  </si>
  <si>
    <t>APSPDCL ELECTRICAL CHARGES</t>
  </si>
  <si>
    <t>TOTAL</t>
  </si>
  <si>
    <t>Supply and Fixing of ISI  25mm outer dia medium (1.80mm thickness) grade with IS:9537 part 3 regid PVC pipe with PVC / Metallic Junction boxes and all accessories  including Fixing of existing suitable size Consealed box PVC / MS with hook for fan including all labour charges etc., complete.(Data No.12-13-3.1.3)</t>
  </si>
  <si>
    <t>Motravulapadu</t>
  </si>
  <si>
    <t>Kanigiri</t>
  </si>
  <si>
    <t>Assistant Engineer</t>
  </si>
  <si>
    <t>Mandal Praja parishad</t>
  </si>
  <si>
    <t>H.M.Padu</t>
  </si>
  <si>
    <t>PRI Sub Division</t>
  </si>
  <si>
    <t>Name of the work</t>
  </si>
  <si>
    <t>Supply,laying ,testing and commisioning of 4-pair, Cat6 Solid (Third party ETL Intertek tested 600 MHZ above) to support 1Gbps with Cross (+) filler pair seperator &amp; PVC sheath 23 AWG, STP/UTP Cable , Meets or exceeds  NSI/TIA- 568-C.2 and UL Listed &amp;RoHS Compliant in the existing raceways /pvc conduits including making connections to information outlets and patch panels with  erruling at both ends for identifiation with necessary tools for punching stripping crimping and testing required etc., complete Makes: Systimax /AMP/ Panduit/ Siemond/ Molex/Legrand</t>
  </si>
  <si>
    <t>Name of the sub work</t>
  </si>
  <si>
    <t>Providing Electrification Items</t>
  </si>
  <si>
    <t>Unite</t>
  </si>
  <si>
    <t>DATA (SSR-2019-20) (Electrification)</t>
  </si>
  <si>
    <t>Unforseen items such as if any</t>
  </si>
  <si>
    <t>Provision for soil Exploration and QC tests on materials</t>
  </si>
  <si>
    <t>Provision for Electricity items</t>
  </si>
  <si>
    <t>Est. Rs.</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</si>
  <si>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</si>
  <si>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</si>
  <si>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f</t>
  </si>
  <si>
    <t>PANCHAYATI RAJ ENGINEERING DEPARTMENT</t>
  </si>
  <si>
    <t>DETAILED ESTIMATE CUM ABSTRACT</t>
  </si>
  <si>
    <t>NAME OF THE WORK</t>
  </si>
  <si>
    <t>ESTIMATE COST                 Rs</t>
  </si>
  <si>
    <t>GRANT</t>
  </si>
  <si>
    <t>MGNREGS 100%</t>
  </si>
  <si>
    <t>NAME OF THE MANDAL</t>
  </si>
  <si>
    <t>NAME OF SUB.DIVISION.</t>
  </si>
  <si>
    <t>NAME OF THE DIVISION</t>
  </si>
  <si>
    <t>NAME OF CIRCLE</t>
  </si>
  <si>
    <t>ONGOLE</t>
  </si>
  <si>
    <t>NAME OF DISTRICT</t>
  </si>
  <si>
    <t xml:space="preserve">PRAKASAM </t>
  </si>
  <si>
    <t>H.M.PADU</t>
  </si>
  <si>
    <t>KANIGIRI</t>
  </si>
  <si>
    <t>SEIGNEORAGE STATEMENT</t>
  </si>
  <si>
    <t>Description of Item</t>
  </si>
  <si>
    <t>Head Room</t>
  </si>
  <si>
    <t>Septic tank</t>
  </si>
  <si>
    <t>40 MM HBG Metal</t>
  </si>
  <si>
    <t>Brick</t>
  </si>
  <si>
    <t>ratio</t>
  </si>
  <si>
    <t>CC (1:5:10)</t>
  </si>
  <si>
    <t>M20 mix - Roof slab 115 mm</t>
  </si>
  <si>
    <t>M20 mix - Roof slab 100 mm</t>
  </si>
  <si>
    <t>PCC M20 mix - Staircase step</t>
  </si>
  <si>
    <t>Impervious coat with C.M ( 1;3 ), 20 mm thick</t>
  </si>
  <si>
    <t>Brick Masonery in C.M (1:6)</t>
  </si>
  <si>
    <t>Brick Masonery in C.M (1:8)</t>
  </si>
  <si>
    <t xml:space="preserve">RCC Brick Masonery 115mm </t>
  </si>
  <si>
    <t>Ornamental plastering with C. M ( 1:3 ), 12 mm thick</t>
  </si>
  <si>
    <t>Flooring with Virtified tiles</t>
  </si>
  <si>
    <t>Skirting with Polishde stone</t>
  </si>
  <si>
    <t>Ceramic tiled flooring</t>
  </si>
  <si>
    <t>Daddoing with tiles</t>
  </si>
  <si>
    <t>Or</t>
  </si>
  <si>
    <t>Bags</t>
  </si>
  <si>
    <t>INPUT DATA</t>
  </si>
  <si>
    <t xml:space="preserve">Project Name </t>
  </si>
  <si>
    <t>Rural infrastracture</t>
  </si>
  <si>
    <t>Project id</t>
  </si>
  <si>
    <t>Work Type Name</t>
  </si>
  <si>
    <t>Work Type Code</t>
  </si>
  <si>
    <t>Sharing pattern - 100% MGNREGS funds</t>
  </si>
  <si>
    <t>A) General Information</t>
  </si>
  <si>
    <t>Name of the District:</t>
  </si>
  <si>
    <t>Prakasam</t>
  </si>
  <si>
    <t>Name of the Constituency</t>
  </si>
  <si>
    <t>Name of the Mandal</t>
  </si>
  <si>
    <t>Name of the GP / Habitation</t>
  </si>
  <si>
    <t>Description of item</t>
  </si>
  <si>
    <t xml:space="preserve">Wage component </t>
  </si>
  <si>
    <t>Other componenet</t>
  </si>
  <si>
    <t>Total cost Rs.</t>
  </si>
  <si>
    <t>CW.01 Amount of wage component</t>
  </si>
  <si>
    <t>CW.02 Cement</t>
  </si>
  <si>
    <t xml:space="preserve">CW.03 Sand for Filling </t>
  </si>
  <si>
    <t>CW.04 Sand for Mortor</t>
  </si>
  <si>
    <t>CW.09 40mm nominal HBG metal</t>
  </si>
  <si>
    <t>CW.10 G10.Other component</t>
  </si>
  <si>
    <t>CW-G19.sand for Concrete</t>
  </si>
  <si>
    <t>CW-G20.Cost and supply of Steel</t>
  </si>
  <si>
    <t>CW.12 QC upto 0.5%</t>
  </si>
  <si>
    <t>x0.5%</t>
  </si>
  <si>
    <t>Name Board using Brick masonary Size 3f x 4f</t>
  </si>
  <si>
    <t>Plastering 12 mm two coats</t>
  </si>
  <si>
    <t>Plastering 20 mm two coats</t>
  </si>
  <si>
    <t>Granolithic Concrete Flooring</t>
  </si>
  <si>
    <t>20, 12, 10, 6MM HBG Metal</t>
  </si>
  <si>
    <t xml:space="preserve">Name of the Work: </t>
  </si>
  <si>
    <t>GST percentage</t>
  </si>
  <si>
    <t>Metal( 20, 12, 10, 6 mm )</t>
  </si>
  <si>
    <t>Door   1.20 x 2.10 (Rate Excluding labour amount)</t>
  </si>
  <si>
    <t>Door   1.05 x 2.10 (Rate Excluding labour amount)</t>
  </si>
  <si>
    <t>Door   0.75  x 2.10 (Rate Excluding labour amount)</t>
  </si>
  <si>
    <t xml:space="preserve"> GF  &amp; FF   Painting Primary </t>
  </si>
  <si>
    <t xml:space="preserve">GF &amp; FF interier Emulsion paint  </t>
  </si>
  <si>
    <t xml:space="preserve">GF &amp; FF Exterier Emulsion paint  </t>
  </si>
  <si>
    <t>TMT fe 500 GF &amp; FF</t>
  </si>
  <si>
    <t>Or Say</t>
  </si>
  <si>
    <t>Provision for GST as per calculation sheets</t>
  </si>
  <si>
    <t xml:space="preserve">Plastic seat and lid  for European water closets with rubber or plastic Buffers </t>
  </si>
  <si>
    <t>Electrification items (excluding labour rates)</t>
  </si>
  <si>
    <t>25mm dia PVC PIPes</t>
  </si>
  <si>
    <t xml:space="preserve">CW.G07.20mm to 12mm HBG </t>
  </si>
  <si>
    <t>CW-G15.LS amount for unforcen items. Like GST</t>
  </si>
  <si>
    <t>Provision for Name board</t>
  </si>
  <si>
    <t>Provision for QC @0.5% (Excluding labour component)</t>
  </si>
  <si>
    <t>K.Bitragunta</t>
  </si>
  <si>
    <t>Labour charges for Grooves 2-3mm thick for PVC pipes</t>
  </si>
  <si>
    <t xml:space="preserve"> Initial cost BMM-V.51</t>
  </si>
  <si>
    <t>Supply,laying ,testing and commisioning of 4-pair, Cat6 Solid (Third party ETL Intertek tested 600 MHZ above) to support 1Gbps with Cross (+) filler pair seperator &amp; PVC sheath 23 AWG, STP/UTP Cable , Meets or exceeds ANSI/TIA- 568-C.2 and UL Listed &amp;RoHS Compliant in the existing raceways /pvc conduits
including making connections to information outlets and patch panels with ferruling at both ends for identifiation with necessary tools for punching stripping crimping and testing required etc., complete Makes: Systimax /AMP/ Panduit/ Siemond/ Molex/Legrand ( ELEC-19-20-7.1.1-A)</t>
  </si>
  <si>
    <t>Providing skirting to internal walls to 15 cm height/risers of steps with vitrified tiles length equal to flooring stones, set over base coat of CM (1:5) 12 mm thick with cement slurry of honey like consistency spread at the rate of 3.30 kgs per sqm and jointed with white cement paste mixed with pigment of matching shade to full depth, including over heads &amp; contractor profit cost and conveyrance of all materials like tiles, cement, sand and water etc., complete</t>
  </si>
  <si>
    <r>
      <t xml:space="preserve">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t>
    </r>
    <r>
      <rPr>
        <b/>
        <sz val="8"/>
        <rFont val="Arial"/>
        <family val="2"/>
      </rPr>
      <t>FOUNDATIONS, PLINTH, PEDESTALS</t>
    </r>
    <r>
      <rPr>
        <sz val="8"/>
        <rFont val="Arial"/>
        <family val="2"/>
      </rPr>
      <t xml:space="preserve"> (Below Plinth).</t>
    </r>
  </si>
  <si>
    <t>Cement (limited to 330 kg)</t>
  </si>
  <si>
    <t>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COLUMNS, LINTELS, WATER TANKS, RCC WALLS IN BUILDINGS.</t>
  </si>
  <si>
    <t>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RCC SLABS, BEAMS</t>
  </si>
  <si>
    <t xml:space="preserve">Cement </t>
  </si>
  <si>
    <r>
      <t xml:space="preserve">Supply and placing of the 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for laying of concrete 75 mm thick at fixed end and 50 mm thick at free end with an average thickness of 62.5mm  including royalties and all taxes and all charges for finished item of work for 60.0 cm wide </t>
    </r>
    <r>
      <rPr>
        <b/>
        <sz val="8"/>
        <rFont val="Arial"/>
        <family val="2"/>
      </rPr>
      <t xml:space="preserve">sun-shade and Lofts </t>
    </r>
    <r>
      <rPr>
        <sz val="8"/>
        <rFont val="Arial"/>
        <family val="2"/>
      </rPr>
      <t>but excluding VAT and seignorage charges for finished item of work.</t>
    </r>
  </si>
  <si>
    <r>
      <t>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t>
    </r>
    <r>
      <rPr>
        <b/>
        <sz val="8"/>
        <rFont val="Arial"/>
        <family val="2"/>
      </rPr>
      <t xml:space="preserve"> FOUNDATIONS, PLINTH, PEDESTALS</t>
    </r>
    <r>
      <rPr>
        <sz val="8"/>
        <rFont val="Arial"/>
        <family val="2"/>
      </rPr>
      <t xml:space="preserve"> (Below Plinth).</t>
    </r>
  </si>
  <si>
    <r>
      <t xml:space="preserve">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t>
    </r>
    <r>
      <rPr>
        <b/>
        <sz val="8"/>
        <rFont val="Arial"/>
        <family val="2"/>
      </rPr>
      <t>COLUMNS, LINTELS, WATER TANKS, RCC WALLS IN BUILDINGS.</t>
    </r>
  </si>
  <si>
    <r>
      <t xml:space="preserve">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For </t>
    </r>
    <r>
      <rPr>
        <b/>
        <sz val="8"/>
        <rFont val="Arial"/>
        <family val="2"/>
      </rPr>
      <t>RCC SLABS, BEAMS</t>
    </r>
  </si>
  <si>
    <r>
      <t>Supply and placing of the 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for laying of concrete 75 mm thick at fixed end and 50 mm thick at free end with an average thickness of 62.5mm  including royalties and all taxes and all charges for finished item of work for</t>
    </r>
    <r>
      <rPr>
        <b/>
        <sz val="8"/>
        <rFont val="Arial"/>
        <family val="2"/>
      </rPr>
      <t xml:space="preserve"> 60.0 cm wide sun-shade and Lofts</t>
    </r>
    <r>
      <rPr>
        <sz val="8"/>
        <rFont val="Arial"/>
        <family val="2"/>
      </rPr>
      <t xml:space="preserve"> but excluding VAT and seignorage charges</t>
    </r>
  </si>
  <si>
    <r>
      <t xml:space="preserve">Supply and placing of the 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for laying of concrete 75 mm thick at fixed end and 50 mm thick at free end with an average thickness of 62.5mm  including royalties and all taxes and all charges for finished item of work for 60.0 cm wide </t>
    </r>
    <r>
      <rPr>
        <b/>
        <sz val="8"/>
        <rFont val="Arial"/>
        <family val="2"/>
      </rPr>
      <t>Sun-shade and Lofts</t>
    </r>
    <r>
      <rPr>
        <sz val="8"/>
        <rFont val="Arial"/>
        <family val="2"/>
      </rPr>
      <t xml:space="preserve"> but excluding VAT and seignorage charges</t>
    </r>
  </si>
  <si>
    <r>
      <t>Supply and placing of the VRCC M20 design mix Concrete corresponding to Table 9 of IS 456 using  with 20mm size graded machine crushed hard granite metal (coarse aggregate) from approved quarry including cost and conveyance of all materials like cement, fine aggregate (sand) coarse aggregate, water etc., to site including cost and conveyance of all materials, including all operational, incidental and labour charges such as , machine mixing, laying concrete, curing, including contractor profit and over head charges etc.,complete but excluding cost of steel and its fabrication charges for finished item of work with minimum cement content as per IS code from standard suppliers approved by the department including pumping, centering, shuttering, laying concrete, vibrating, curing etc. complete but excluding VAT and seignorage charges for finished item of work. Fo</t>
    </r>
    <r>
      <rPr>
        <b/>
        <sz val="8"/>
        <rFont val="Arial"/>
        <family val="2"/>
      </rPr>
      <t>r RCC</t>
    </r>
    <r>
      <rPr>
        <sz val="8"/>
        <rFont val="Arial"/>
        <family val="2"/>
      </rPr>
      <t xml:space="preserve"> </t>
    </r>
    <r>
      <rPr>
        <b/>
        <sz val="8"/>
        <rFont val="Arial"/>
        <family val="2"/>
      </rPr>
      <t>SLABS, BEAMS</t>
    </r>
  </si>
  <si>
    <t>Deduct Column C1</t>
  </si>
  <si>
    <t>Deduct Column C2</t>
  </si>
  <si>
    <t>Deduct Column C3</t>
  </si>
  <si>
    <t>Center wall</t>
  </si>
  <si>
    <t>Outside Toilet</t>
  </si>
  <si>
    <t>Cross wall</t>
  </si>
  <si>
    <t>Inner Toilet</t>
  </si>
  <si>
    <t>Steps Front and Side</t>
  </si>
  <si>
    <t>Steps Back Side</t>
  </si>
  <si>
    <t>MGS room</t>
  </si>
  <si>
    <t>Deduct Toilet room</t>
  </si>
  <si>
    <t>VO Room</t>
  </si>
  <si>
    <t>Carridor</t>
  </si>
  <si>
    <t>F1P1</t>
  </si>
  <si>
    <t>F2P1</t>
  </si>
  <si>
    <t>F3P1</t>
  </si>
  <si>
    <t>Pedastal concrete</t>
  </si>
  <si>
    <t>F1C1</t>
  </si>
  <si>
    <t>F2C3</t>
  </si>
  <si>
    <t>F3C3</t>
  </si>
  <si>
    <t>F3C2</t>
  </si>
  <si>
    <t>B1 &amp; B4</t>
  </si>
  <si>
    <t>tiolet back</t>
  </si>
  <si>
    <t>B5, B6, B7 &amp; B8</t>
  </si>
  <si>
    <t>Main block</t>
  </si>
  <si>
    <t>Toilet block</t>
  </si>
  <si>
    <t>Building front side</t>
  </si>
  <si>
    <t>Sarpanch windows</t>
  </si>
  <si>
    <t>Meeting hall back windows</t>
  </si>
  <si>
    <t>MGS back windows</t>
  </si>
  <si>
    <t>Deduct Door d1</t>
  </si>
  <si>
    <t>Deduct Door d2</t>
  </si>
  <si>
    <t>Deduct Door d3</t>
  </si>
  <si>
    <t>Windows w</t>
  </si>
  <si>
    <t>Qty.p.29 of M.B.No.31/A/ZP/15</t>
  </si>
  <si>
    <t>ventilators</t>
  </si>
  <si>
    <t>T Beams B5 B6</t>
  </si>
  <si>
    <t>T Beams B1,3,4</t>
  </si>
  <si>
    <t>T Beams</t>
  </si>
  <si>
    <t>T.Beam sides</t>
  </si>
  <si>
    <t>Sunshade building front</t>
  </si>
  <si>
    <t>Sarpanch window</t>
  </si>
  <si>
    <t>Meeting Hall window</t>
  </si>
  <si>
    <t>slab projection</t>
  </si>
  <si>
    <t>Slab edges</t>
  </si>
  <si>
    <t>Inside MGS room</t>
  </si>
  <si>
    <t>VO room</t>
  </si>
  <si>
    <t>Toilets</t>
  </si>
  <si>
    <t>Deduct door</t>
  </si>
  <si>
    <t>Deduct windows</t>
  </si>
  <si>
    <t>Deduct ventilaters</t>
  </si>
  <si>
    <t>Out side building alround</t>
  </si>
  <si>
    <t>Steps top</t>
  </si>
  <si>
    <t>Sides 1st step</t>
  </si>
  <si>
    <t>2nd step</t>
  </si>
  <si>
    <t>3rd step</t>
  </si>
  <si>
    <t>Door D1</t>
  </si>
  <si>
    <t>Door D2</t>
  </si>
  <si>
    <t>Door D3</t>
  </si>
  <si>
    <t>Window W1</t>
  </si>
  <si>
    <t>Jan.20</t>
  </si>
  <si>
    <t>BLD-CSTN-11-1</t>
  </si>
  <si>
    <t>Best Sal wood/ Teakwood wrought and putup of all sizes</t>
  </si>
  <si>
    <t>Carpenters</t>
  </si>
  <si>
    <t>Man Mazdoors</t>
  </si>
  <si>
    <t>Labour charges per 1 Cum</t>
  </si>
  <si>
    <t xml:space="preserve">Supply and fixing of  salwood Door single shutter  fully pannlled door of size 0.90 x 2.10 mt with frame made of well seasoned Sal Wood scantlings of size 100 x 75mm and bottom reeper of size 75x30 mm  with fixtures of 6 nos of 9" ' z" holdfasts  with necessary screws complete including cost and conveyance of all materials and labour charges etc. complete as per specifications  (APSS NO.1001 &amp; 1002)                                                                                                 </t>
  </si>
  <si>
    <t>Sal wood Frame Quantity</t>
  </si>
  <si>
    <t>Harizantal top</t>
  </si>
  <si>
    <t>=</t>
  </si>
  <si>
    <t>Horizantal Bottom</t>
  </si>
  <si>
    <t>Verticals</t>
  </si>
  <si>
    <t>1x2</t>
  </si>
  <si>
    <t>Total Frame wood Quantity</t>
  </si>
  <si>
    <t>Cost of Sal wood (BMT-E.15 )</t>
  </si>
  <si>
    <t>MS Zhold fasts Local rate</t>
  </si>
  <si>
    <t>Total for each Door (0.75 X 2.10 M) for frames only</t>
  </si>
  <si>
    <t>Sal wood Shutter Quantity</t>
  </si>
  <si>
    <t>Rails</t>
  </si>
  <si>
    <t>1x5</t>
  </si>
  <si>
    <t>1x4</t>
  </si>
  <si>
    <t>Total Shutter wood Quantity</t>
  </si>
  <si>
    <t>Cost of Sal wood shutter</t>
  </si>
  <si>
    <t>300 mm Al aldrop BMT-G.42</t>
  </si>
  <si>
    <t>200 mm Al tower bolt BMT-G.09</t>
  </si>
  <si>
    <t>150 mm Al tower bolt BMT-G.08</t>
  </si>
  <si>
    <t>Butt hinges 125mm long Alluminium BMT-G.25</t>
  </si>
  <si>
    <t>Door stoppers BMT-G.46</t>
  </si>
  <si>
    <t>150mm Al handle BMT-G.34</t>
  </si>
  <si>
    <t xml:space="preserve">Total for each Door </t>
  </si>
  <si>
    <t>Frame and shutter rate</t>
  </si>
  <si>
    <t xml:space="preserve">Supply and fixing of  salwood Door single shutter  fully pannlled door of size 1.20 x 2.10 mt with frame made of well seasoned Sal Wood scantlings of size 100 x 75mm and bottom reeper of size 75x30mm  with fixtures of 6 nos of 9" ' z" holdfasts  with necessary screws complete including cost and conveyance of all materials and labour charges etc. complete as per specifications  (APSS NO.1001 &amp; 1002)                                                                                                 </t>
  </si>
  <si>
    <t>Total for each Door (1.20 X 2.10 M)</t>
  </si>
  <si>
    <t>1x10</t>
  </si>
  <si>
    <t>1x8</t>
  </si>
  <si>
    <t>Total for each Door (1.20 X 2.10 M) for shutters</t>
  </si>
  <si>
    <t>Frame and shutter</t>
  </si>
  <si>
    <t xml:space="preserve">Supply and fixing of  sal wood Door single shutter   of size 0.75 x 2.10 mt with frame made of well seasoned sal Wood scantlings of size 100 x 75mm and shutter made of side rails 125mm X 30mm, top rail 125 mmX30 mm, bottom rail 125mmX 30 mm and intermediate rails  of 125mm x 30 mm and planks of 25mm thick and SAL wood shutters including fixers of  6 nos of 9" ' z" holdfasts, 300 mm long Aluminum aldrop-1 no,  250mm Aluminumtower bolt - 1No, 150mm Aluminum tower bolt - 1no, 125 long Aluminium  butt hinges 3 No's,  Door stoppers-1 no, ,  Aluminum  fancy  handles 150 mm -1nos    with necessary screws complete.                                                                                                                                                                       </t>
  </si>
  <si>
    <t>Cost of Sal wood frame</t>
  </si>
  <si>
    <t>Supplying  &amp; fixing of Iron Doors and Windows Grills including labour charges for fabricating steel including cost of welding rods, power charges &amp; fixing the grill in position etc complete</t>
  </si>
  <si>
    <t>MS Flats  for the month</t>
  </si>
  <si>
    <t>Labour charges for fabricating steel works like 
Compound Wall Grills BMM.V.14</t>
  </si>
  <si>
    <t>Labour charges for fixing of compound wall grills BMM.V.15</t>
  </si>
  <si>
    <t xml:space="preserve">Supply and fixing of  sal wood window two shutter   of size 0.90 x 1.35 mt with frame made of well seasoned sal Wood scantlings of size 100 x 75mm and shutter made of side rails 50mm X 30mm, top rail 50 mmX30 mm, bottom rail 50mmX 30 mm and intermediate rails  of 50mm x 30 mm and planks are made with MDF Board: exterior-Both Side Laminated -25 mm thick including fixers of  4 nos of 9" ' z" holdfasts,100mm Aluminum tower bolt - 4no, 75mm butt hinges 4 No's,  Al handles 75mm thick - 4No, window stoppers -4 no, and fixing MS Grills into frames for safety with necessary screws complete.                                                                                                                                                       </t>
  </si>
  <si>
    <t>1x3</t>
  </si>
  <si>
    <t>100 mm Al tower bolts BMT-G.07</t>
  </si>
  <si>
    <t>Al Butt hinges 75mm long  BMT-G.23</t>
  </si>
  <si>
    <t>aluminium 75mm door handles for windows BMT-G.31</t>
  </si>
  <si>
    <t>Wood stays Local rate</t>
  </si>
  <si>
    <t>MS Grills</t>
  </si>
  <si>
    <t>Total cost for 1 Kg</t>
  </si>
  <si>
    <t xml:space="preserve">Supply and fixing of  salwood Door single shutter  fully pannlled door of size 1.20 x 2.10 mt with frame made of well seasoned Sal Wood scantlings of size 100 x 75mm and bottom reeper of size 75x30mm  with fixtures of 6 nos of 9" ' z" holdfasts  with necessary screws complete including cost and conveyance of all materials and labour charges etc. complete as per specifications  (APSS NO.1001 &amp; 1002)     </t>
  </si>
  <si>
    <t xml:space="preserve">Supply and fixing of  sal wood Door single shutter   of size 0.75 x 2.10 mt with frame made of well seasoned sal Wood scantlings of size 100 x 75mm and shutter made of side rails 125mm X 30mm, top rail 125 mmX30 mm, bottom rail 125mmX 30 mm and intermediate rails  of 125mm x 30 mm and planks of 25mm thick and SAL wood shutters including fixers of  6 nos of 9" ' z" holdfasts, 300 mm long Aluminum aldrop-1 no,  250mm Aluminumtower bolt - 1No, 150mm Aluminum tower bolt - 1no, 125 long Aluminium  butt hinges 3 No's,  Door stoppers-1 no, ,  Aluminum  fancy  handles 150 mm -1nos    with necessary screws complete.             </t>
  </si>
  <si>
    <t xml:space="preserve">Supply and fixing of  sal wood window two shutter   of size 0.90 x 1.35 mt with frame made of well seasoned sal Wood scantlings of size 100 x 75mm and shutter made of side rails 50mm X 30mm, top rail 50 mmX30 mm, bottom rail 50mmX 30 mm and intermediate rails  of 50mm x 30 mm and planks are made with MDF Board: exterior-Both Side Laminated -25 mm thick including fixers of  4 nos of 9" ' z" holdfasts,100mm Aluminum tower bolt - 4no, 75mm butt hinges 4 No's,  Al handles 75mm thick - 4No, window stoppers -4 no, and fixing MS Grills into frames for safety with necessary screws complete.                             </t>
  </si>
  <si>
    <t>17.00 Lakhs</t>
  </si>
  <si>
    <r>
      <t xml:space="preserve">                         An amout Rs. 17.00 Lakhs was sanctioned under  MGNREGS 100% grant by vide Administrative Sanction Proceedings of the District Collector Rc. No.T3/MGNREGS/GPB/2019-20 DT 09.01.2020 of the District Collector &amp; District Programme Co-Ordinator,MGNREGS, Prakasam District, Ongole. At present The proposed site for construction of this building  is purely </t>
    </r>
    <r>
      <rPr>
        <sz val="10"/>
        <color indexed="10"/>
        <rFont val="Arial"/>
        <family val="2"/>
      </rPr>
      <t>BC</t>
    </r>
    <r>
      <rPr>
        <sz val="10"/>
        <rFont val="Arial"/>
        <family val="2"/>
      </rPr>
      <t xml:space="preserve"> Soils. Based on soil test report the bearing capacity of the soil is </t>
    </r>
    <r>
      <rPr>
        <sz val="10"/>
        <color indexed="10"/>
        <rFont val="Arial"/>
        <family val="2"/>
      </rPr>
      <t xml:space="preserve">20T </t>
    </r>
    <r>
      <rPr>
        <sz val="10"/>
        <rFont val="Arial"/>
        <family val="2"/>
      </rPr>
      <t>and foundation designs is implimented as per the designs</t>
    </r>
  </si>
  <si>
    <t>4.RCC M20 design mix of Concrete with Graded Metal of 20 mm,12mm,10mm &amp; 6mm HBG metal  for Footings, Pedastals, Columns, Plinth Beams, Lintels, Sunshades, Roof Level Beams &amp; Roof slabs as per design.</t>
  </si>
  <si>
    <t>7.All internal walls are proposed with plastering 12mm thick inside in two coats using ordinary portland cement with a base coat of 8mm thick in CM(1:5) prop and top coat of 4mm thick in CM (1:3) prop</t>
  </si>
  <si>
    <t>8. All external walls are proposed with plastering 20mm thick in two coats using with base coat of 16mm thick in CM(1:6) and top coat of 4mm thick in CM(1:4)</t>
  </si>
  <si>
    <t>9.Proposed ornamental plastering 12mm thick to ceiling in two coats with a base coat of 8mm thick in CM(1:5) prop and top coat of 4mm thick in CM (1:3)</t>
  </si>
  <si>
    <t>10. Easy maintenace and to get better look of the building proposed flooring with vitrified tiles of 1st quality and of size not less than 598 x 598 mm x 8 mm thickness set over base coat of cement mortar (1:8), 12 mm thick over CC bed already laid or RCC roof slab</t>
  </si>
  <si>
    <t xml:space="preserve">11.Providing skirting to internal walls to 15 cm height/risers of steps with vitrified tiles length equal to flooring stones, set over base coat of CM (1:5) 12 mm thick with cement slurry of honey like consistency spread at the rate of 3.30 kgs per sqm looring with vitrified tiles  of size 598x598 </t>
  </si>
  <si>
    <t>12. It is a public related building and hence painting to new walls with 2 coats of Plastic Emulsion Paint is proposed over Priming Coat for longivity and easy washability of walls.</t>
  </si>
  <si>
    <t xml:space="preserve">13.Proposed Thermo Mechanically Treated (TMT) (Fe 500 grade steel) as per IS 1786-1979) of different diameters for RCC works , </t>
  </si>
  <si>
    <t>14. Necessary provision is also made for sanitary ware without connections</t>
  </si>
  <si>
    <t xml:space="preserve">15.Provision is also made for GST @ 12% in the estimate and the same will be implimented when the GP has produced the GST bills of the material used </t>
  </si>
  <si>
    <t>16. Necessary provision is also made for QC charges @ 0.5% as per the norms in vogue.</t>
  </si>
  <si>
    <t>17. Provision is also made of seignoriage charges as per the calculations sheet enclosed.</t>
  </si>
  <si>
    <t>18. Provision is also made for soil testing, QC testing on material supplied and design mix of concrete etc.,</t>
  </si>
  <si>
    <t>19. Provision is also made of unforeseen items of work</t>
  </si>
  <si>
    <t>BNSK building - New</t>
  </si>
  <si>
    <t>maximum Estimate cost Rs. 17.00 lakhs</t>
  </si>
  <si>
    <t>M20 mix - Column Footings</t>
  </si>
  <si>
    <t>M20 mix - Column Pedastal</t>
  </si>
  <si>
    <t>M20 mix - Plinth Beam</t>
  </si>
  <si>
    <t>M20 mix - Columns</t>
  </si>
  <si>
    <t>M20 mix - Lintels</t>
  </si>
  <si>
    <t>M20 mix - Roof slab  150 mm</t>
  </si>
  <si>
    <t>M20 mix - Roof slab 125 mm</t>
  </si>
  <si>
    <t>M20 mix - Roof level beams</t>
  </si>
  <si>
    <t>M20 mix - Sunshades</t>
  </si>
  <si>
    <t>Door   0.90 x 2.10 (Rate Excluding labour amount)</t>
  </si>
  <si>
    <t>window   0.90  x 1.35 (Rate Excluding labour amount)</t>
  </si>
  <si>
    <t>Gayamvaripalli</t>
  </si>
  <si>
    <t>Constrution of Bharat Nirman Seva Kendra (BNSK) Grama Panchayat building in Gayamvaripalli  GP of H.M.Padu Mandal</t>
  </si>
</sst>
</file>

<file path=xl/styles.xml><?xml version="1.0" encoding="utf-8"?>
<styleSheet xmlns="http://schemas.openxmlformats.org/spreadsheetml/2006/main">
  <numFmts count="18">
    <numFmt numFmtId="44" formatCode="_(&quot;$&quot;* #,##0.00_);_(&quot;$&quot;* \(#,##0.00\);_(&quot;$&quot;* &quot;-&quot;??_);_(@_)"/>
    <numFmt numFmtId="43" formatCode="_(* #,##0.00_);_(* \(#,##0.00\);_(* &quot;-&quot;??_);_(@_)"/>
    <numFmt numFmtId="164" formatCode="0.0"/>
    <numFmt numFmtId="165" formatCode="0.000"/>
    <numFmt numFmtId="166" formatCode="0.0000"/>
    <numFmt numFmtId="167" formatCode="0.00000"/>
    <numFmt numFmtId="168" formatCode="0.00;[Red]0.00"/>
    <numFmt numFmtId="169" formatCode="0;[Red]0"/>
    <numFmt numFmtId="170" formatCode="0.000;[Red]0.000"/>
    <numFmt numFmtId="171" formatCode="#,##0.00;[Red]#,##0.00"/>
    <numFmt numFmtId="172" formatCode="0.000_)"/>
    <numFmt numFmtId="173" formatCode="_([$€-2]* #,##0.00_);_([$€-2]* \(#,##0.00\);_([$€-2]* &quot;-&quot;??_)"/>
    <numFmt numFmtId="174" formatCode="_ * #,##0_ ;_ * \-#,##0_ ;_ * &quot;-&quot;_ ;_ @_ "/>
    <numFmt numFmtId="175" formatCode="mm/dd/yy"/>
    <numFmt numFmtId="176" formatCode="_-* #,##0_-;\-* #,##0_-;_-* &quot;-&quot;_-;_-@_-"/>
    <numFmt numFmtId="177" formatCode="0.00_)"/>
    <numFmt numFmtId="178" formatCode="000000000000000000"/>
    <numFmt numFmtId="179" formatCode="0.0000;[Red]0.0000"/>
  </numFmts>
  <fonts count="191">
    <font>
      <sz val="10"/>
      <name val="Arial"/>
    </font>
    <font>
      <sz val="11"/>
      <color theme="1"/>
      <name val="Calibri"/>
      <family val="2"/>
      <scheme val="minor"/>
    </font>
    <font>
      <sz val="10"/>
      <name val="Arial"/>
      <family val="2"/>
    </font>
    <font>
      <b/>
      <sz val="10"/>
      <name val="Arial"/>
      <family val="2"/>
    </font>
    <font>
      <sz val="8"/>
      <name val="Arial"/>
      <family val="2"/>
    </font>
    <font>
      <u/>
      <sz val="10"/>
      <color indexed="12"/>
      <name val="Arial"/>
      <family val="2"/>
    </font>
    <font>
      <b/>
      <sz val="8"/>
      <name val="Arial"/>
      <family val="2"/>
    </font>
    <font>
      <sz val="10"/>
      <name val="Arial"/>
      <family val="2"/>
    </font>
    <font>
      <sz val="10"/>
      <name val="Arial"/>
      <family val="2"/>
    </font>
    <font>
      <sz val="8"/>
      <name val="Arial"/>
      <family val="2"/>
    </font>
    <font>
      <b/>
      <sz val="10"/>
      <name val="Comic Sans MS"/>
      <family val="4"/>
    </font>
    <font>
      <sz val="10"/>
      <name val="Comic Sans MS"/>
      <family val="4"/>
    </font>
    <font>
      <b/>
      <u/>
      <sz val="12"/>
      <name val="Arial"/>
      <family val="2"/>
    </font>
    <font>
      <b/>
      <sz val="14"/>
      <name val="Arial"/>
      <family val="2"/>
    </font>
    <font>
      <i/>
      <sz val="12"/>
      <name val="Arial"/>
      <family val="2"/>
    </font>
    <font>
      <b/>
      <i/>
      <sz val="9"/>
      <name val="Arial"/>
      <family val="2"/>
    </font>
    <font>
      <sz val="10"/>
      <color indexed="8"/>
      <name val="Arial"/>
      <family val="2"/>
    </font>
    <font>
      <sz val="10"/>
      <color indexed="10"/>
      <name val="Arial"/>
      <family val="2"/>
    </font>
    <font>
      <b/>
      <u/>
      <sz val="14"/>
      <name val="Bell MT"/>
      <family val="1"/>
    </font>
    <font>
      <b/>
      <i/>
      <sz val="10"/>
      <name val="Arial"/>
      <family val="2"/>
    </font>
    <font>
      <sz val="11"/>
      <name val="Times New Roman"/>
      <family val="1"/>
    </font>
    <font>
      <vertAlign val="superscript"/>
      <sz val="10"/>
      <name val="Arial"/>
      <family val="2"/>
    </font>
    <font>
      <sz val="10"/>
      <color indexed="14"/>
      <name val="Arial"/>
      <family val="2"/>
    </font>
    <font>
      <sz val="10"/>
      <color indexed="12"/>
      <name val="Arial"/>
      <family val="2"/>
    </font>
    <font>
      <b/>
      <sz val="9"/>
      <name val="Arial"/>
      <family val="2"/>
    </font>
    <font>
      <b/>
      <sz val="10"/>
      <color indexed="12"/>
      <name val="Arial"/>
      <family val="2"/>
    </font>
    <font>
      <sz val="12"/>
      <name val="Comic Sans MS"/>
      <family val="4"/>
    </font>
    <font>
      <sz val="11"/>
      <name val="Arial"/>
      <family val="2"/>
    </font>
    <font>
      <b/>
      <sz val="11"/>
      <name val="Arial"/>
      <family val="2"/>
    </font>
    <font>
      <b/>
      <sz val="11"/>
      <color indexed="10"/>
      <name val="Arial"/>
      <family val="2"/>
    </font>
    <font>
      <i/>
      <sz val="9"/>
      <name val="Arial"/>
      <family val="2"/>
    </font>
    <font>
      <i/>
      <sz val="8"/>
      <name val="Arial"/>
      <family val="2"/>
    </font>
    <font>
      <b/>
      <i/>
      <sz val="8"/>
      <name val="Arial"/>
      <family val="2"/>
    </font>
    <font>
      <sz val="8"/>
      <color indexed="12"/>
      <name val="Arial"/>
      <family val="2"/>
    </font>
    <font>
      <b/>
      <sz val="8"/>
      <color indexed="12"/>
      <name val="Arial"/>
      <family val="2"/>
    </font>
    <font>
      <sz val="9"/>
      <name val="Arial"/>
      <family val="2"/>
    </font>
    <font>
      <sz val="9"/>
      <color indexed="10"/>
      <name val="Arial"/>
      <family val="2"/>
    </font>
    <font>
      <sz val="8"/>
      <color indexed="10"/>
      <name val="Arial"/>
      <family val="2"/>
    </font>
    <font>
      <vertAlign val="superscript"/>
      <sz val="9"/>
      <name val="Arial"/>
      <family val="2"/>
    </font>
    <font>
      <b/>
      <sz val="10"/>
      <color indexed="8"/>
      <name val="Arial"/>
      <family val="2"/>
    </font>
    <font>
      <sz val="8"/>
      <name val="Arial"/>
      <family val="2"/>
    </font>
    <font>
      <b/>
      <sz val="9"/>
      <color indexed="10"/>
      <name val="Arial"/>
      <family val="2"/>
    </font>
    <font>
      <sz val="8"/>
      <color indexed="8"/>
      <name val="Arial"/>
      <family val="2"/>
    </font>
    <font>
      <u/>
      <sz val="8"/>
      <name val="Arial"/>
      <family val="2"/>
    </font>
    <font>
      <b/>
      <sz val="9"/>
      <name val="Comic Sans MS"/>
      <family val="4"/>
    </font>
    <font>
      <sz val="8"/>
      <name val="Trebuchet MS"/>
      <family val="2"/>
    </font>
    <font>
      <b/>
      <sz val="10"/>
      <name val="Trebuchet MS"/>
      <family val="2"/>
    </font>
    <font>
      <b/>
      <sz val="12"/>
      <name val="Trebuchet MS"/>
      <family val="2"/>
    </font>
    <font>
      <sz val="10"/>
      <name val="Trebuchet MS"/>
      <family val="2"/>
    </font>
    <font>
      <sz val="7"/>
      <name val="Trebuchet MS"/>
      <family val="2"/>
    </font>
    <font>
      <u/>
      <sz val="10"/>
      <name val="Trebuchet MS"/>
      <family val="2"/>
    </font>
    <font>
      <u/>
      <sz val="8"/>
      <name val="Trebuchet MS"/>
      <family val="2"/>
    </font>
    <font>
      <b/>
      <u/>
      <sz val="10"/>
      <name val="Trebuchet MS"/>
      <family val="2"/>
    </font>
    <font>
      <b/>
      <sz val="8"/>
      <name val="Trebuchet MS"/>
      <family val="2"/>
    </font>
    <font>
      <vertAlign val="superscript"/>
      <sz val="8"/>
      <name val="Arial"/>
      <family val="2"/>
    </font>
    <font>
      <u/>
      <sz val="18"/>
      <name val="Comic Sans MS"/>
      <family val="4"/>
    </font>
    <font>
      <b/>
      <sz val="8"/>
      <name val="Comic Sans MS"/>
      <family val="4"/>
    </font>
    <font>
      <sz val="8"/>
      <name val="Arial Narrow"/>
      <family val="2"/>
    </font>
    <font>
      <sz val="10"/>
      <name val="Arial Narrow"/>
      <family val="2"/>
    </font>
    <font>
      <sz val="11"/>
      <name val="Arial Narrow"/>
      <family val="2"/>
    </font>
    <font>
      <sz val="11"/>
      <color indexed="8"/>
      <name val="Calibri"/>
      <family val="2"/>
    </font>
    <font>
      <b/>
      <sz val="10"/>
      <name val="Tahoma"/>
      <family val="2"/>
    </font>
    <font>
      <sz val="10"/>
      <name val="Tahoma"/>
      <family val="2"/>
    </font>
    <font>
      <b/>
      <u/>
      <sz val="10"/>
      <name val="Tahoma"/>
      <family val="2"/>
    </font>
    <font>
      <vertAlign val="superscript"/>
      <sz val="10"/>
      <name val="Tahoma"/>
      <family val="2"/>
    </font>
    <font>
      <sz val="10"/>
      <name val="Verdana"/>
      <family val="2"/>
    </font>
    <font>
      <sz val="10"/>
      <name val="Cambari"/>
    </font>
    <font>
      <b/>
      <sz val="8"/>
      <name val="Arial Narrow"/>
      <family val="2"/>
    </font>
    <font>
      <b/>
      <u/>
      <sz val="8"/>
      <name val="Arial"/>
      <family val="2"/>
    </font>
    <font>
      <b/>
      <sz val="14"/>
      <name val="Comic Sans MS"/>
      <family val="4"/>
    </font>
    <font>
      <b/>
      <sz val="12"/>
      <name val="Comic Sans MS"/>
      <family val="4"/>
    </font>
    <font>
      <b/>
      <sz val="8"/>
      <color indexed="10"/>
      <name val="Arial"/>
      <family val="2"/>
    </font>
    <font>
      <b/>
      <u/>
      <sz val="12"/>
      <name val="Monotype Corsiva"/>
      <family val="4"/>
    </font>
    <font>
      <u/>
      <sz val="14"/>
      <name val="Monotype Corsiva"/>
      <family val="4"/>
    </font>
    <font>
      <b/>
      <u/>
      <sz val="12"/>
      <name val="Bradley Hand ITC"/>
      <family val="4"/>
    </font>
    <font>
      <u/>
      <sz val="15"/>
      <name val="Times New Roman"/>
      <family val="1"/>
    </font>
    <font>
      <b/>
      <u/>
      <sz val="12"/>
      <name val="Times New Roman"/>
      <family val="1"/>
    </font>
    <font>
      <b/>
      <i/>
      <sz val="16"/>
      <name val="Times New Roman"/>
      <family val="1"/>
    </font>
    <font>
      <i/>
      <sz val="14"/>
      <name val="Algerian"/>
      <family val="5"/>
    </font>
    <font>
      <i/>
      <sz val="14"/>
      <name val="Arial"/>
      <family val="2"/>
    </font>
    <font>
      <sz val="16"/>
      <name val="Arial"/>
      <family val="2"/>
    </font>
    <font>
      <sz val="8"/>
      <color indexed="8"/>
      <name val="Calibri"/>
      <family val="2"/>
    </font>
    <font>
      <sz val="10"/>
      <color indexed="8"/>
      <name val="Calibri"/>
      <family val="2"/>
    </font>
    <font>
      <sz val="11"/>
      <name val="Calibri"/>
      <family val="2"/>
    </font>
    <font>
      <b/>
      <sz val="11"/>
      <color indexed="8"/>
      <name val="Calibri"/>
      <family val="2"/>
    </font>
    <font>
      <b/>
      <sz val="8"/>
      <color indexed="8"/>
      <name val="Arial"/>
      <family val="2"/>
    </font>
    <font>
      <sz val="14"/>
      <name val="Arial"/>
      <family val="2"/>
    </font>
    <font>
      <b/>
      <sz val="11"/>
      <color theme="1"/>
      <name val="Calibri"/>
      <family val="2"/>
      <scheme val="minor"/>
    </font>
    <font>
      <sz val="11"/>
      <color rgb="FFFF0000"/>
      <name val="Calibri"/>
      <family val="2"/>
      <scheme val="minor"/>
    </font>
    <font>
      <sz val="8"/>
      <color rgb="FF00B050"/>
      <name val="Arial Narrow"/>
      <family val="2"/>
    </font>
    <font>
      <sz val="8"/>
      <color rgb="FF00B050"/>
      <name val="Arial"/>
      <family val="2"/>
    </font>
    <font>
      <sz val="10"/>
      <color rgb="FFFF0000"/>
      <name val="Tahoma"/>
      <family val="2"/>
    </font>
    <font>
      <sz val="10"/>
      <color rgb="FF000000"/>
      <name val="Tahoma"/>
      <family val="2"/>
    </font>
    <font>
      <sz val="9"/>
      <color rgb="FF000000"/>
      <name val="Tahoma"/>
      <family val="2"/>
    </font>
    <font>
      <b/>
      <sz val="10"/>
      <color rgb="FF0033CC"/>
      <name val="Tahoma"/>
      <family val="2"/>
    </font>
    <font>
      <b/>
      <sz val="8"/>
      <color rgb="FFFF0000"/>
      <name val="Arial"/>
      <family val="2"/>
    </font>
    <font>
      <u/>
      <sz val="14"/>
      <color rgb="FFFF0000"/>
      <name val="Monotype Corsiva"/>
      <family val="4"/>
    </font>
    <font>
      <sz val="8"/>
      <color rgb="FFFF0000"/>
      <name val="Arial"/>
      <family val="2"/>
    </font>
    <font>
      <sz val="8"/>
      <color theme="1"/>
      <name val="Calibri"/>
      <family val="2"/>
      <scheme val="minor"/>
    </font>
    <font>
      <sz val="10"/>
      <color theme="1"/>
      <name val="Calibri"/>
      <family val="2"/>
      <scheme val="minor"/>
    </font>
    <font>
      <sz val="11"/>
      <name val="Calibri"/>
      <family val="2"/>
      <scheme val="minor"/>
    </font>
    <font>
      <sz val="6"/>
      <color theme="1"/>
      <name val="Calibri"/>
      <family val="2"/>
      <scheme val="minor"/>
    </font>
    <font>
      <b/>
      <sz val="16"/>
      <color theme="1"/>
      <name val="Calibri"/>
      <family val="2"/>
      <scheme val="minor"/>
    </font>
    <font>
      <sz val="8"/>
      <color theme="1"/>
      <name val="Arial"/>
      <family val="2"/>
    </font>
    <font>
      <b/>
      <sz val="8"/>
      <color theme="1"/>
      <name val="Arial"/>
      <family val="2"/>
    </font>
    <font>
      <sz val="10"/>
      <color theme="1"/>
      <name val="Arial"/>
      <family val="2"/>
    </font>
    <font>
      <b/>
      <sz val="10"/>
      <color theme="1"/>
      <name val="Arial"/>
      <family val="2"/>
    </font>
    <font>
      <sz val="16"/>
      <color theme="1"/>
      <name val="Calibri"/>
      <family val="2"/>
      <scheme val="minor"/>
    </font>
    <font>
      <sz val="10"/>
      <color rgb="FFFF0000"/>
      <name val="Arial"/>
      <family val="2"/>
    </font>
    <font>
      <b/>
      <sz val="12"/>
      <name val="Arial"/>
      <family val="2"/>
    </font>
    <font>
      <b/>
      <sz val="11"/>
      <color rgb="FFFA7D00"/>
      <name val="Calibri"/>
      <family val="2"/>
      <scheme val="minor"/>
    </font>
    <font>
      <sz val="10"/>
      <name val="Webdings"/>
      <family val="1"/>
      <charset val="2"/>
    </font>
    <font>
      <u/>
      <sz val="16"/>
      <name val="Arial Black"/>
      <family val="2"/>
    </font>
    <font>
      <u/>
      <sz val="12"/>
      <name val="Century"/>
      <family val="1"/>
    </font>
    <font>
      <u/>
      <sz val="16"/>
      <name val="Century"/>
      <family val="1"/>
    </font>
    <font>
      <sz val="16"/>
      <name val="Century"/>
      <family val="1"/>
    </font>
    <font>
      <sz val="10"/>
      <name val="Century"/>
      <family val="1"/>
    </font>
    <font>
      <sz val="14"/>
      <name val="Century"/>
      <family val="1"/>
    </font>
    <font>
      <sz val="11"/>
      <name val="Century"/>
      <family val="1"/>
    </font>
    <font>
      <sz val="12"/>
      <name val="Century"/>
      <family val="1"/>
    </font>
    <font>
      <sz val="14"/>
      <color indexed="10"/>
      <name val="Century"/>
      <family val="1"/>
    </font>
    <font>
      <u/>
      <sz val="18"/>
      <name val="Arial"/>
      <family val="2"/>
    </font>
    <font>
      <sz val="10"/>
      <name val="Wingdings"/>
      <charset val="2"/>
    </font>
    <font>
      <sz val="11"/>
      <color indexed="9"/>
      <name val="Calibri"/>
      <family val="2"/>
    </font>
    <font>
      <sz val="11"/>
      <color indexed="16"/>
      <name val="Calibri"/>
      <family val="2"/>
    </font>
    <font>
      <sz val="11"/>
      <color indexed="20"/>
      <name val="Calibri"/>
      <family val="2"/>
    </font>
    <font>
      <b/>
      <sz val="11"/>
      <color indexed="53"/>
      <name val="Calibri"/>
      <family val="2"/>
    </font>
    <font>
      <b/>
      <sz val="11"/>
      <color indexed="52"/>
      <name val="Calibri"/>
      <family val="2"/>
    </font>
    <font>
      <b/>
      <sz val="11"/>
      <color indexed="9"/>
      <name val="Calibri"/>
      <family val="2"/>
    </font>
    <font>
      <sz val="10"/>
      <name val="Times New Roman"/>
      <family val="1"/>
    </font>
    <font>
      <sz val="10"/>
      <name val="MS Serif"/>
      <family val="1"/>
    </font>
    <font>
      <sz val="10"/>
      <color indexed="16"/>
      <name val="MS Serif"/>
      <family val="1"/>
    </font>
    <font>
      <i/>
      <sz val="11"/>
      <color indexed="23"/>
      <name val="Calibri"/>
      <family val="2"/>
    </font>
    <font>
      <sz val="11"/>
      <color indexed="17"/>
      <name val="Calibri"/>
      <family val="2"/>
    </font>
    <font>
      <b/>
      <sz val="15"/>
      <color indexed="62"/>
      <name val="Calibri"/>
      <family val="2"/>
    </font>
    <font>
      <b/>
      <sz val="15"/>
      <color indexed="56"/>
      <name val="Calibri"/>
      <family val="2"/>
    </font>
    <font>
      <b/>
      <sz val="13"/>
      <color indexed="62"/>
      <name val="Calibri"/>
      <family val="2"/>
    </font>
    <font>
      <b/>
      <sz val="13"/>
      <color indexed="56"/>
      <name val="Calibri"/>
      <family val="2"/>
    </font>
    <font>
      <b/>
      <sz val="11"/>
      <color indexed="62"/>
      <name val="Calibri"/>
      <family val="2"/>
    </font>
    <font>
      <b/>
      <sz val="11"/>
      <color indexed="56"/>
      <name val="Calibri"/>
      <family val="2"/>
    </font>
    <font>
      <u/>
      <sz val="10"/>
      <name val="Arial"/>
      <family val="2"/>
    </font>
    <font>
      <u/>
      <sz val="11"/>
      <color indexed="12"/>
      <name val="Times New Roman"/>
      <family val="1"/>
    </font>
    <font>
      <u/>
      <sz val="10"/>
      <color theme="10"/>
      <name val="Arial"/>
      <family val="2"/>
    </font>
    <font>
      <sz val="11"/>
      <color indexed="62"/>
      <name val="Calibri"/>
      <family val="2"/>
    </font>
    <font>
      <sz val="11"/>
      <color indexed="53"/>
      <name val="Calibri"/>
      <family val="2"/>
    </font>
    <font>
      <sz val="11"/>
      <color indexed="52"/>
      <name val="Calibri"/>
      <family val="2"/>
    </font>
    <font>
      <b/>
      <sz val="16"/>
      <name val="Arial"/>
      <family val="2"/>
    </font>
    <font>
      <b/>
      <sz val="12"/>
      <name val="Courier New"/>
      <family val="3"/>
    </font>
    <font>
      <b/>
      <sz val="10"/>
      <name val="Times New Roman"/>
      <family val="1"/>
    </font>
    <font>
      <b/>
      <sz val="9"/>
      <name val="Verdana"/>
      <family val="2"/>
    </font>
    <font>
      <sz val="11"/>
      <color indexed="60"/>
      <name val="Calibri"/>
      <family val="2"/>
    </font>
    <font>
      <sz val="7"/>
      <name val="Small Fonts"/>
      <family val="2"/>
    </font>
    <font>
      <sz val="11.5"/>
      <name val="Times New Roman"/>
      <family val="1"/>
    </font>
    <font>
      <sz val="10"/>
      <name val="Century Gothic"/>
      <family val="2"/>
    </font>
    <font>
      <sz val="12"/>
      <name val="Arial"/>
      <family val="2"/>
    </font>
    <font>
      <b/>
      <sz val="11"/>
      <color indexed="63"/>
      <name val="Calibri"/>
      <family val="2"/>
    </font>
    <font>
      <sz val="10"/>
      <name val="Bradley Hand ITC"/>
      <family val="4"/>
    </font>
    <font>
      <sz val="8"/>
      <name val="Helv"/>
    </font>
    <font>
      <b/>
      <sz val="18"/>
      <color indexed="62"/>
      <name val="Cambria"/>
      <family val="2"/>
    </font>
    <font>
      <b/>
      <sz val="12"/>
      <name val="MS Sans Serif"/>
      <family val="2"/>
    </font>
    <font>
      <sz val="10"/>
      <name val="Helv"/>
    </font>
    <font>
      <sz val="10"/>
      <name val="Helv"/>
      <family val="2"/>
    </font>
    <font>
      <sz val="10"/>
      <name val="Helv"/>
      <charset val="204"/>
    </font>
    <font>
      <sz val="12"/>
      <name val="MS Sans Serif"/>
      <family val="2"/>
    </font>
    <font>
      <u/>
      <sz val="12"/>
      <name val="Verdana"/>
      <family val="2"/>
    </font>
    <font>
      <b/>
      <sz val="8"/>
      <color indexed="8"/>
      <name val="Helv"/>
    </font>
    <font>
      <b/>
      <sz val="11"/>
      <name val="Times New Roman"/>
      <family val="1"/>
    </font>
    <font>
      <b/>
      <sz val="18"/>
      <color indexed="56"/>
      <name val="Cambria"/>
      <family val="2"/>
    </font>
    <font>
      <sz val="11"/>
      <color indexed="10"/>
      <name val="Calibri"/>
      <family val="2"/>
    </font>
    <font>
      <b/>
      <u/>
      <sz val="14"/>
      <name val="Calibri"/>
      <family val="2"/>
    </font>
    <font>
      <sz val="10"/>
      <name val="Calibri"/>
      <family val="2"/>
    </font>
    <font>
      <u/>
      <sz val="12"/>
      <name val="Calibri"/>
      <family val="2"/>
    </font>
    <font>
      <sz val="12"/>
      <name val="Calibri"/>
      <family val="2"/>
    </font>
    <font>
      <b/>
      <sz val="11"/>
      <name val="Calibri"/>
      <family val="2"/>
    </font>
    <font>
      <b/>
      <u/>
      <sz val="11"/>
      <name val="Calibri"/>
      <family val="2"/>
    </font>
    <font>
      <sz val="9"/>
      <name val="Calibri"/>
      <family val="2"/>
    </font>
    <font>
      <b/>
      <sz val="9"/>
      <name val="Calibri"/>
      <family val="2"/>
    </font>
    <font>
      <sz val="10"/>
      <color theme="1"/>
      <name val="Tahoma"/>
      <family val="2"/>
    </font>
    <font>
      <b/>
      <u/>
      <sz val="14"/>
      <name val="Calibri"/>
      <family val="2"/>
      <scheme val="minor"/>
    </font>
    <font>
      <sz val="10"/>
      <name val="Calibri"/>
      <family val="2"/>
      <scheme val="minor"/>
    </font>
    <font>
      <b/>
      <u/>
      <sz val="10"/>
      <name val="Calibri"/>
      <family val="2"/>
      <scheme val="minor"/>
    </font>
    <font>
      <b/>
      <sz val="11"/>
      <name val="Calibri"/>
      <family val="2"/>
      <scheme val="minor"/>
    </font>
    <font>
      <b/>
      <sz val="11"/>
      <color indexed="9"/>
      <name val="Calibri"/>
      <family val="2"/>
      <scheme val="minor"/>
    </font>
    <font>
      <sz val="8"/>
      <name val="Calibri"/>
      <family val="2"/>
      <scheme val="minor"/>
    </font>
    <font>
      <sz val="9"/>
      <name val="Calibri"/>
      <family val="2"/>
      <scheme val="minor"/>
    </font>
    <font>
      <b/>
      <u/>
      <sz val="10"/>
      <name val="Arial"/>
      <family val="2"/>
    </font>
    <font>
      <b/>
      <sz val="10"/>
      <color theme="0"/>
      <name val="Calibri"/>
      <family val="2"/>
      <scheme val="minor"/>
    </font>
    <font>
      <b/>
      <sz val="10"/>
      <name val="Calibri"/>
      <family val="2"/>
      <scheme val="minor"/>
    </font>
    <font>
      <sz val="10"/>
      <color theme="1" tint="4.9989318521683403E-2"/>
      <name val="Calibri"/>
      <family val="2"/>
      <scheme val="minor"/>
    </font>
    <font>
      <b/>
      <sz val="9"/>
      <name val="Calibri"/>
      <family val="2"/>
      <scheme val="minor"/>
    </font>
    <font>
      <sz val="8"/>
      <color theme="0"/>
      <name val="Arial"/>
      <family val="2"/>
    </font>
  </fonts>
  <fills count="59">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43"/>
        <bgColor indexed="64"/>
      </patternFill>
    </fill>
    <fill>
      <patternFill patternType="solid">
        <fgColor indexed="44"/>
        <bgColor indexed="64"/>
      </patternFill>
    </fill>
    <fill>
      <patternFill patternType="solid">
        <fgColor indexed="11"/>
        <bgColor indexed="64"/>
      </patternFill>
    </fill>
    <fill>
      <patternFill patternType="solid">
        <fgColor indexed="53"/>
        <bgColor indexed="64"/>
      </patternFill>
    </fill>
    <fill>
      <patternFill patternType="solid">
        <fgColor indexed="21"/>
        <bgColor indexed="64"/>
      </patternFill>
    </fill>
    <fill>
      <patternFill patternType="solid">
        <fgColor indexed="15"/>
        <bgColor indexed="64"/>
      </patternFill>
    </fill>
    <fill>
      <patternFill patternType="solid">
        <fgColor indexed="22"/>
        <bgColor indexed="64"/>
      </patternFill>
    </fill>
    <fill>
      <patternFill patternType="solid">
        <fgColor theme="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92D05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rgb="FFF2F2F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1"/>
        <bgColor indexed="31"/>
      </patternFill>
    </fill>
    <fill>
      <patternFill patternType="solid">
        <fgColor indexed="44"/>
        <bgColor indexed="44"/>
      </patternFill>
    </fill>
    <fill>
      <patternFill patternType="solid">
        <fgColor indexed="54"/>
        <bgColor indexed="54"/>
      </patternFill>
    </fill>
    <fill>
      <patternFill patternType="solid">
        <fgColor indexed="62"/>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25"/>
        <bgColor indexed="25"/>
      </patternFill>
    </fill>
    <fill>
      <patternFill patternType="solid">
        <fgColor indexed="10"/>
      </patternFill>
    </fill>
    <fill>
      <patternFill patternType="solid">
        <fgColor indexed="42"/>
        <bgColor indexed="42"/>
      </patternFill>
    </fill>
    <fill>
      <patternFill patternType="solid">
        <fgColor indexed="57"/>
      </patternFill>
    </fill>
    <fill>
      <patternFill patternType="solid">
        <fgColor indexed="27"/>
        <bgColor indexed="27"/>
      </patternFill>
    </fill>
    <fill>
      <patternFill patternType="solid">
        <fgColor indexed="49"/>
        <bgColor indexed="49"/>
      </patternFill>
    </fill>
    <fill>
      <patternFill patternType="solid">
        <fgColor indexed="47"/>
        <bgColor indexed="47"/>
      </patternFill>
    </fill>
    <fill>
      <patternFill patternType="solid">
        <fgColor indexed="52"/>
        <bgColor indexed="52"/>
      </patternFill>
    </fill>
    <fill>
      <patternFill patternType="solid">
        <fgColor indexed="53"/>
      </patternFill>
    </fill>
    <fill>
      <patternFill patternType="solid">
        <fgColor indexed="45"/>
        <bgColor indexed="45"/>
      </patternFill>
    </fill>
    <fill>
      <patternFill patternType="solid">
        <fgColor indexed="9"/>
        <bgColor indexed="9"/>
      </patternFill>
    </fill>
    <fill>
      <patternFill patternType="solid">
        <fgColor indexed="22"/>
      </patternFill>
    </fill>
    <fill>
      <patternFill patternType="solid">
        <fgColor indexed="5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64"/>
      </patternFill>
    </fill>
    <fill>
      <patternFill patternType="solid">
        <fgColor indexed="43"/>
        <bgColor indexed="43"/>
      </patternFill>
    </fill>
    <fill>
      <patternFill patternType="solid">
        <fgColor indexed="43"/>
      </patternFill>
    </fill>
    <fill>
      <patternFill patternType="solid">
        <fgColor indexed="26"/>
      </patternFill>
    </fill>
  </fills>
  <borders count="57">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double">
        <color indexed="64"/>
      </top>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style="thin">
        <color indexed="64"/>
      </right>
      <top/>
      <bottom/>
      <diagonal/>
    </border>
    <border>
      <left style="thin">
        <color indexed="64"/>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style="medium">
        <color indexed="64"/>
      </top>
      <bottom style="medium">
        <color indexed="64"/>
      </bottom>
      <diagonal/>
    </border>
    <border>
      <left/>
      <right/>
      <top/>
      <bottom style="thick">
        <color indexed="54"/>
      </bottom>
      <diagonal/>
    </border>
    <border>
      <left/>
      <right/>
      <top/>
      <bottom style="thick">
        <color indexed="62"/>
      </bottom>
      <diagonal/>
    </border>
    <border>
      <left/>
      <right/>
      <top/>
      <bottom style="thick">
        <color indexed="22"/>
      </bottom>
      <diagonal/>
    </border>
    <border>
      <left/>
      <right/>
      <top/>
      <bottom style="medium">
        <color indexed="4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style="thin">
        <color indexed="64"/>
      </top>
      <bottom style="double">
        <color indexed="64"/>
      </bottom>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right/>
      <top/>
      <bottom style="hair">
        <color indexed="64"/>
      </bottom>
      <diagonal/>
    </border>
    <border>
      <left/>
      <right/>
      <top style="hair">
        <color indexed="64"/>
      </top>
      <bottom style="hair">
        <color indexed="64"/>
      </bottom>
      <diagonal/>
    </border>
  </borders>
  <cellStyleXfs count="1281">
    <xf numFmtId="0" fontId="0" fillId="0" borderId="0"/>
    <xf numFmtId="0" fontId="5" fillId="0" borderId="0" applyNumberFormat="0" applyFill="0" applyBorder="0" applyAlignment="0" applyProtection="0">
      <alignment vertical="top"/>
      <protection locked="0"/>
    </xf>
    <xf numFmtId="0" fontId="8" fillId="0" borderId="0"/>
    <xf numFmtId="0" fontId="7" fillId="0" borderId="0"/>
    <xf numFmtId="0" fontId="8" fillId="0" borderId="0"/>
    <xf numFmtId="0" fontId="8" fillId="0" borderId="0"/>
    <xf numFmtId="0" fontId="8" fillId="0" borderId="0"/>
    <xf numFmtId="0" fontId="7" fillId="0" borderId="0"/>
    <xf numFmtId="0" fontId="20" fillId="0" borderId="0"/>
    <xf numFmtId="9" fontId="2" fillId="0" borderId="0" applyFont="0" applyFill="0" applyBorder="0" applyAlignment="0" applyProtection="0"/>
    <xf numFmtId="0" fontId="2" fillId="0" borderId="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8"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19"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0"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2"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3"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5"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6"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1"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4"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60" fillId="27"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8"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5"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6"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123" fillId="31"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123" fillId="33"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5" borderId="0" applyNumberFormat="0" applyBorder="0" applyAlignment="0" applyProtection="0"/>
    <xf numFmtId="0" fontId="123" fillId="35" borderId="0" applyNumberFormat="0" applyBorder="0" applyAlignment="0" applyProtection="0"/>
    <xf numFmtId="0" fontId="123" fillId="34" borderId="0" applyNumberFormat="0" applyBorder="0" applyAlignment="0" applyProtection="0"/>
    <xf numFmtId="0" fontId="123" fillId="35" borderId="0" applyNumberFormat="0" applyBorder="0" applyAlignment="0" applyProtection="0"/>
    <xf numFmtId="0" fontId="123" fillId="35"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7" borderId="0" applyNumberFormat="0" applyBorder="0" applyAlignment="0" applyProtection="0"/>
    <xf numFmtId="0" fontId="60" fillId="37" borderId="0" applyNumberFormat="0" applyBorder="0" applyAlignment="0" applyProtection="0"/>
    <xf numFmtId="0" fontId="60" fillId="37" borderId="0" applyNumberFormat="0" applyBorder="0" applyAlignment="0" applyProtection="0"/>
    <xf numFmtId="0" fontId="60" fillId="37" borderId="0" applyNumberFormat="0" applyBorder="0" applyAlignment="0" applyProtection="0"/>
    <xf numFmtId="0" fontId="123" fillId="38"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40" borderId="0" applyNumberFormat="0" applyBorder="0" applyAlignment="0" applyProtection="0"/>
    <xf numFmtId="0" fontId="123" fillId="40" borderId="0" applyNumberFormat="0" applyBorder="0" applyAlignment="0" applyProtection="0"/>
    <xf numFmtId="0" fontId="123" fillId="39" borderId="0" applyNumberFormat="0" applyBorder="0" applyAlignment="0" applyProtection="0"/>
    <xf numFmtId="0" fontId="123" fillId="40" borderId="0" applyNumberFormat="0" applyBorder="0" applyAlignment="0" applyProtection="0"/>
    <xf numFmtId="0" fontId="123" fillId="40"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123" fillId="39"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41" borderId="0" applyNumberFormat="0" applyBorder="0" applyAlignment="0" applyProtection="0"/>
    <xf numFmtId="0" fontId="60" fillId="41" borderId="0" applyNumberFormat="0" applyBorder="0" applyAlignment="0" applyProtection="0"/>
    <xf numFmtId="0" fontId="60" fillId="41" borderId="0" applyNumberFormat="0" applyBorder="0" applyAlignment="0" applyProtection="0"/>
    <xf numFmtId="0" fontId="60" fillId="41" borderId="0" applyNumberFormat="0" applyBorder="0" applyAlignment="0" applyProtection="0"/>
    <xf numFmtId="0" fontId="123" fillId="37"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42" borderId="0" applyNumberFormat="0" applyBorder="0" applyAlignment="0" applyProtection="0"/>
    <xf numFmtId="0" fontId="123" fillId="42" borderId="0" applyNumberFormat="0" applyBorder="0" applyAlignment="0" applyProtection="0"/>
    <xf numFmtId="0" fontId="123" fillId="38" borderId="0" applyNumberFormat="0" applyBorder="0" applyAlignment="0" applyProtection="0"/>
    <xf numFmtId="0" fontId="123" fillId="42" borderId="0" applyNumberFormat="0" applyBorder="0" applyAlignment="0" applyProtection="0"/>
    <xf numFmtId="0" fontId="123" fillId="42"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123" fillId="38"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7" borderId="0" applyNumberFormat="0" applyBorder="0" applyAlignment="0" applyProtection="0"/>
    <xf numFmtId="0" fontId="60" fillId="37" borderId="0" applyNumberFormat="0" applyBorder="0" applyAlignment="0" applyProtection="0"/>
    <xf numFmtId="0" fontId="60" fillId="37" borderId="0" applyNumberFormat="0" applyBorder="0" applyAlignment="0" applyProtection="0"/>
    <xf numFmtId="0" fontId="60" fillId="37" borderId="0" applyNumberFormat="0" applyBorder="0" applyAlignment="0" applyProtection="0"/>
    <xf numFmtId="0" fontId="123" fillId="37"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34" borderId="0" applyNumberFormat="0" applyBorder="0" applyAlignment="0" applyProtection="0"/>
    <xf numFmtId="0" fontId="123" fillId="29" borderId="0" applyNumberFormat="0" applyBorder="0" applyAlignment="0" applyProtection="0"/>
    <xf numFmtId="0" fontId="123" fillId="29"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123" fillId="34" borderId="0" applyNumberFormat="0" applyBorder="0" applyAlignment="0" applyProtection="0"/>
    <xf numFmtId="0" fontId="60" fillId="43" borderId="0" applyNumberFormat="0" applyBorder="0" applyAlignment="0" applyProtection="0"/>
    <xf numFmtId="0" fontId="60" fillId="43" borderId="0" applyNumberFormat="0" applyBorder="0" applyAlignment="0" applyProtection="0"/>
    <xf numFmtId="0" fontId="60" fillId="43" borderId="0" applyNumberFormat="0" applyBorder="0" applyAlignment="0" applyProtection="0"/>
    <xf numFmtId="0" fontId="60" fillId="43"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60" fillId="32" borderId="0" applyNumberFormat="0" applyBorder="0" applyAlignment="0" applyProtection="0"/>
    <xf numFmtId="0" fontId="123" fillId="33"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44" borderId="0" applyNumberFormat="0" applyBorder="0" applyAlignment="0" applyProtection="0"/>
    <xf numFmtId="0" fontId="123" fillId="30" borderId="0" applyNumberFormat="0" applyBorder="0" applyAlignment="0" applyProtection="0"/>
    <xf numFmtId="0" fontId="123" fillId="30"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123" fillId="44"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36" borderId="0" applyNumberFormat="0" applyBorder="0" applyAlignment="0" applyProtection="0"/>
    <xf numFmtId="0" fontId="60" fillId="45" borderId="0" applyNumberFormat="0" applyBorder="0" applyAlignment="0" applyProtection="0"/>
    <xf numFmtId="0" fontId="60" fillId="45" borderId="0" applyNumberFormat="0" applyBorder="0" applyAlignment="0" applyProtection="0"/>
    <xf numFmtId="0" fontId="60" fillId="45" borderId="0" applyNumberFormat="0" applyBorder="0" applyAlignment="0" applyProtection="0"/>
    <xf numFmtId="0" fontId="60" fillId="45" borderId="0" applyNumberFormat="0" applyBorder="0" applyAlignment="0" applyProtection="0"/>
    <xf numFmtId="0" fontId="123" fillId="45"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7" borderId="0" applyNumberFormat="0" applyBorder="0" applyAlignment="0" applyProtection="0"/>
    <xf numFmtId="0" fontId="123" fillId="47" borderId="0" applyNumberFormat="0" applyBorder="0" applyAlignment="0" applyProtection="0"/>
    <xf numFmtId="0" fontId="123" fillId="46" borderId="0" applyNumberFormat="0" applyBorder="0" applyAlignment="0" applyProtection="0"/>
    <xf numFmtId="0" fontId="123" fillId="47" borderId="0" applyNumberFormat="0" applyBorder="0" applyAlignment="0" applyProtection="0"/>
    <xf numFmtId="0" fontId="123" fillId="47"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3" fillId="46"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5" fillId="19" borderId="0" applyNumberFormat="0" applyBorder="0" applyAlignment="0" applyProtection="0"/>
    <xf numFmtId="0" fontId="125" fillId="19" borderId="0" applyNumberFormat="0" applyBorder="0" applyAlignment="0" applyProtection="0"/>
    <xf numFmtId="0" fontId="124" fillId="48" borderId="0" applyNumberFormat="0" applyBorder="0" applyAlignment="0" applyProtection="0"/>
    <xf numFmtId="0" fontId="125" fillId="19" borderId="0" applyNumberFormat="0" applyBorder="0" applyAlignment="0" applyProtection="0"/>
    <xf numFmtId="0" fontId="125" fillId="19"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124" fillId="48" borderId="0" applyNumberFormat="0" applyBorder="0" applyAlignment="0" applyProtection="0"/>
    <xf numFmtId="0" fontId="2" fillId="0" borderId="0"/>
    <xf numFmtId="0" fontId="16" fillId="0" borderId="0" applyFill="0" applyBorder="0" applyAlignment="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7" fillId="50" borderId="36" applyNumberFormat="0" applyAlignment="0" applyProtection="0"/>
    <xf numFmtId="0" fontId="127" fillId="50" borderId="36" applyNumberFormat="0" applyAlignment="0" applyProtection="0"/>
    <xf numFmtId="0" fontId="126" fillId="49" borderId="36" applyNumberFormat="0" applyAlignment="0" applyProtection="0"/>
    <xf numFmtId="0" fontId="127" fillId="50" borderId="36" applyNumberFormat="0" applyAlignment="0" applyProtection="0"/>
    <xf numFmtId="0" fontId="110" fillId="17" borderId="35" applyNumberFormat="0" applyAlignment="0" applyProtection="0"/>
    <xf numFmtId="0" fontId="127" fillId="50"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6" fillId="49" borderId="36"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51" borderId="37" applyNumberFormat="0" applyAlignment="0" applyProtection="0"/>
    <xf numFmtId="0" fontId="128" fillId="51" borderId="37" applyNumberFormat="0" applyAlignment="0" applyProtection="0"/>
    <xf numFmtId="0" fontId="128" fillId="38" borderId="37" applyNumberFormat="0" applyAlignment="0" applyProtection="0"/>
    <xf numFmtId="0" fontId="128" fillId="51" borderId="37" applyNumberFormat="0" applyAlignment="0" applyProtection="0"/>
    <xf numFmtId="0" fontId="128" fillId="51"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128" fillId="38" borderId="37" applyNumberForma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applyFont="0" applyFill="0" applyBorder="0" applyAlignment="0" applyProtection="0"/>
    <xf numFmtId="169" fontId="129" fillId="0" borderId="0" applyFont="0" applyFill="0" applyBorder="0" applyAlignment="0" applyProtection="0"/>
    <xf numFmtId="43" fontId="20"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43" fontId="20"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169" fontId="129" fillId="0" borderId="0" applyFont="0" applyFill="0" applyBorder="0" applyAlignment="0" applyProtection="0"/>
    <xf numFmtId="43" fontId="60" fillId="0" borderId="0" applyFont="0" applyFill="0" applyBorder="0" applyAlignment="0" applyProtection="0"/>
    <xf numFmtId="171" fontId="2" fillId="0" borderId="0" applyFont="0" applyFill="0" applyBorder="0" applyAlignment="0" applyProtection="0"/>
    <xf numFmtId="171" fontId="2" fillId="0" borderId="0" applyFont="0" applyFill="0" applyBorder="0" applyAlignment="0" applyProtection="0"/>
    <xf numFmtId="171" fontId="2" fillId="0" borderId="0" applyFont="0" applyFill="0" applyBorder="0" applyAlignment="0" applyProtection="0"/>
    <xf numFmtId="43" fontId="20" fillId="0" borderId="0" applyFont="0" applyFill="0" applyBorder="0" applyAlignment="0" applyProtection="0"/>
    <xf numFmtId="43" fontId="60" fillId="0" borderId="0" applyFont="0" applyFill="0" applyBorder="0" applyAlignment="0" applyProtection="0"/>
    <xf numFmtId="43" fontId="20"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72" fontId="2" fillId="0" borderId="0" applyFont="0" applyFill="0" applyBorder="0" applyAlignment="0" applyProtection="0"/>
    <xf numFmtId="43" fontId="2" fillId="0" borderId="0" applyFont="0" applyFill="0" applyBorder="0" applyAlignment="0" applyProtection="0"/>
    <xf numFmtId="43" fontId="20" fillId="0" borderId="0" applyFont="0" applyFill="0" applyBorder="0" applyAlignment="0" applyProtection="0"/>
    <xf numFmtId="164" fontId="129" fillId="0" borderId="0" applyFont="0" applyFill="0" applyBorder="0" applyAlignment="0" applyProtection="0"/>
    <xf numFmtId="165" fontId="2" fillId="0" borderId="0" applyFill="0" applyBorder="0" applyAlignment="0" applyProtection="0"/>
    <xf numFmtId="165" fontId="2" fillId="0" borderId="0" applyFill="0" applyBorder="0" applyAlignment="0" applyProtection="0"/>
    <xf numFmtId="165" fontId="2" fillId="0" borderId="0" applyFill="0" applyBorder="0" applyAlignment="0" applyProtection="0"/>
    <xf numFmtId="164" fontId="2" fillId="0" borderId="0" applyFill="0" applyBorder="0" applyAlignment="0" applyProtection="0"/>
    <xf numFmtId="164" fontId="2" fillId="0" borderId="0" applyFill="0" applyBorder="0" applyAlignment="0" applyProtection="0"/>
    <xf numFmtId="164" fontId="2" fillId="0" borderId="0" applyFill="0" applyBorder="0" applyAlignment="0" applyProtection="0"/>
    <xf numFmtId="165" fontId="2" fillId="0" borderId="0" applyFill="0" applyBorder="0" applyAlignment="0" applyProtection="0"/>
    <xf numFmtId="43" fontId="20" fillId="0" borderId="0" applyFont="0" applyFill="0" applyBorder="0" applyAlignment="0" applyProtection="0"/>
    <xf numFmtId="43" fontId="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60"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 fillId="0" borderId="0" applyFont="0" applyFill="0" applyBorder="0" applyAlignment="0" applyProtection="0"/>
    <xf numFmtId="43" fontId="60" fillId="0" borderId="0" applyFont="0" applyFill="0" applyBorder="0" applyAlignment="0" applyProtection="0"/>
    <xf numFmtId="43" fontId="60" fillId="0" borderId="0" applyFont="0" applyFill="0" applyBorder="0" applyAlignment="0" applyProtection="0"/>
    <xf numFmtId="43" fontId="2" fillId="0" borderId="0" applyFont="0" applyFill="0" applyBorder="0" applyAlignment="0" applyProtection="0"/>
    <xf numFmtId="0" fontId="130" fillId="0" borderId="0" applyNumberFormat="0" applyAlignment="0">
      <alignment horizontal="left"/>
    </xf>
    <xf numFmtId="0" fontId="130" fillId="0" borderId="0" applyNumberFormat="0" applyAlignment="0">
      <alignment horizontal="left"/>
    </xf>
    <xf numFmtId="0" fontId="130" fillId="0" borderId="0" applyNumberFormat="0" applyAlignment="0">
      <alignment horizontal="left"/>
    </xf>
    <xf numFmtId="0" fontId="130" fillId="0" borderId="0" applyNumberFormat="0" applyAlignment="0">
      <alignment horizontal="left"/>
    </xf>
    <xf numFmtId="0" fontId="130" fillId="0" borderId="0" applyNumberFormat="0" applyAlignment="0">
      <alignment horizontal="left"/>
    </xf>
    <xf numFmtId="0" fontId="130" fillId="0" borderId="0" applyNumberFormat="0" applyAlignment="0">
      <alignment horizontal="left"/>
    </xf>
    <xf numFmtId="0" fontId="130" fillId="0" borderId="0" applyNumberFormat="0" applyAlignment="0">
      <alignment horizontal="left"/>
    </xf>
    <xf numFmtId="44" fontId="2" fillId="0" borderId="0" applyFont="0" applyFill="0" applyBorder="0" applyAlignment="0" applyProtection="0"/>
    <xf numFmtId="44" fontId="2" fillId="0" borderId="0" applyFont="0" applyFill="0" applyBorder="0" applyAlignment="0" applyProtection="0"/>
    <xf numFmtId="44" fontId="129" fillId="0" borderId="0" applyFont="0" applyFill="0" applyBorder="0" applyAlignment="0" applyProtection="0"/>
    <xf numFmtId="44" fontId="2" fillId="0" borderId="0" applyFont="0" applyFill="0" applyBorder="0" applyAlignment="0" applyProtection="0"/>
    <xf numFmtId="44" fontId="2" fillId="0" borderId="0" applyFont="0" applyFill="0" applyBorder="0" applyAlignment="0" applyProtection="0"/>
    <xf numFmtId="44" fontId="60" fillId="0" borderId="0" applyFont="0" applyFill="0" applyBorder="0" applyAlignment="0" applyProtection="0"/>
    <xf numFmtId="0" fontId="84" fillId="52" borderId="0" applyNumberFormat="0" applyBorder="0" applyAlignment="0" applyProtection="0"/>
    <xf numFmtId="0" fontId="84" fillId="53" borderId="0" applyNumberFormat="0" applyBorder="0" applyAlignment="0" applyProtection="0"/>
    <xf numFmtId="0" fontId="84" fillId="54" borderId="0" applyNumberFormat="0" applyBorder="0" applyAlignment="0" applyProtection="0"/>
    <xf numFmtId="0" fontId="131" fillId="0" borderId="0" applyNumberFormat="0" applyAlignment="0">
      <alignment horizontal="left"/>
    </xf>
    <xf numFmtId="0" fontId="131" fillId="0" borderId="0" applyNumberFormat="0" applyAlignment="0">
      <alignment horizontal="left"/>
    </xf>
    <xf numFmtId="0" fontId="131" fillId="0" borderId="0" applyNumberFormat="0" applyAlignment="0">
      <alignment horizontal="left"/>
    </xf>
    <xf numFmtId="0" fontId="131" fillId="0" borderId="0" applyNumberFormat="0" applyAlignment="0">
      <alignment horizontal="left"/>
    </xf>
    <xf numFmtId="0" fontId="131" fillId="0" borderId="0" applyNumberFormat="0" applyAlignment="0">
      <alignment horizontal="left"/>
    </xf>
    <xf numFmtId="0" fontId="131" fillId="0" borderId="0" applyNumberFormat="0" applyAlignment="0">
      <alignment horizontal="left"/>
    </xf>
    <xf numFmtId="0" fontId="131" fillId="0" borderId="0" applyNumberFormat="0" applyAlignment="0">
      <alignment horizontal="left"/>
    </xf>
    <xf numFmtId="173" fontId="2" fillId="0" borderId="0" applyFont="0" applyFill="0" applyBorder="0" applyAlignment="0" applyProtection="0"/>
    <xf numFmtId="0" fontId="60" fillId="0" borderId="0"/>
    <xf numFmtId="0" fontId="60" fillId="0" borderId="0"/>
    <xf numFmtId="0" fontId="84" fillId="0" borderId="38" applyNumberFormat="0" applyFill="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0" fontId="132" fillId="0" borderId="0" applyNumberFormat="0" applyFill="0" applyBorder="0" applyAlignment="0" applyProtection="0"/>
    <xf numFmtId="2" fontId="2" fillId="0" borderId="0" applyFont="0" applyFill="0" applyBorder="0" applyAlignment="0" applyProtection="0"/>
    <xf numFmtId="2" fontId="2" fillId="0" borderId="0" applyFont="0" applyFill="0" applyBorder="0" applyAlignment="0" applyProtection="0"/>
    <xf numFmtId="2" fontId="2" fillId="0" borderId="0" applyFont="0" applyFill="0" applyBorder="0" applyAlignment="0" applyProtection="0"/>
    <xf numFmtId="1" fontId="2" fillId="0" borderId="0"/>
    <xf numFmtId="1" fontId="2" fillId="0" borderId="0"/>
    <xf numFmtId="1" fontId="2" fillId="0" borderId="0"/>
    <xf numFmtId="1" fontId="2" fillId="0" borderId="0"/>
    <xf numFmtId="1" fontId="2" fillId="0" borderId="0"/>
    <xf numFmtId="1" fontId="2" fillId="0" borderId="0"/>
    <xf numFmtId="1" fontId="2" fillId="0" borderId="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20" borderId="0" applyNumberFormat="0" applyBorder="0" applyAlignment="0" applyProtection="0"/>
    <xf numFmtId="0" fontId="133" fillId="20" borderId="0" applyNumberFormat="0" applyBorder="0" applyAlignment="0" applyProtection="0"/>
    <xf numFmtId="0" fontId="133" fillId="41" borderId="0" applyNumberFormat="0" applyBorder="0" applyAlignment="0" applyProtection="0"/>
    <xf numFmtId="0" fontId="133" fillId="20" borderId="0" applyNumberFormat="0" applyBorder="0" applyAlignment="0" applyProtection="0"/>
    <xf numFmtId="0" fontId="133" fillId="20"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0" fontId="133" fillId="41" borderId="0" applyNumberFormat="0" applyBorder="0" applyAlignment="0" applyProtection="0"/>
    <xf numFmtId="38" fontId="4" fillId="10" borderId="0" applyNumberFormat="0" applyBorder="0" applyAlignment="0" applyProtection="0"/>
    <xf numFmtId="38" fontId="4" fillId="10" borderId="0" applyNumberFormat="0" applyBorder="0" applyAlignment="0" applyProtection="0"/>
    <xf numFmtId="0" fontId="109" fillId="0" borderId="39" applyNumberFormat="0" applyAlignment="0" applyProtection="0">
      <alignment horizontal="left" vertical="center"/>
    </xf>
    <xf numFmtId="0" fontId="109" fillId="0" borderId="13">
      <alignment horizontal="left" vertical="center"/>
    </xf>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5" fillId="0" borderId="41" applyNumberFormat="0" applyFill="0" applyAlignment="0" applyProtection="0"/>
    <xf numFmtId="0" fontId="135" fillId="0" borderId="41" applyNumberFormat="0" applyFill="0" applyAlignment="0" applyProtection="0"/>
    <xf numFmtId="0" fontId="134" fillId="0" borderId="40" applyNumberFormat="0" applyFill="0" applyAlignment="0" applyProtection="0"/>
    <xf numFmtId="0" fontId="135" fillId="0" borderId="41" applyNumberFormat="0" applyFill="0" applyAlignment="0" applyProtection="0"/>
    <xf numFmtId="0" fontId="135" fillId="0" borderId="41"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4" fillId="0" borderId="40"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7" fillId="0" borderId="42" applyNumberFormat="0" applyFill="0" applyAlignment="0" applyProtection="0"/>
    <xf numFmtId="0" fontId="137" fillId="0" borderId="42" applyNumberFormat="0" applyFill="0" applyAlignment="0" applyProtection="0"/>
    <xf numFmtId="0" fontId="136" fillId="0" borderId="42" applyNumberFormat="0" applyFill="0" applyAlignment="0" applyProtection="0"/>
    <xf numFmtId="0" fontId="137" fillId="0" borderId="42" applyNumberFormat="0" applyFill="0" applyAlignment="0" applyProtection="0"/>
    <xf numFmtId="0" fontId="137"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6" fillId="0" borderId="42"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9" fillId="0" borderId="44" applyNumberFormat="0" applyFill="0" applyAlignment="0" applyProtection="0"/>
    <xf numFmtId="0" fontId="139" fillId="0" borderId="44" applyNumberFormat="0" applyFill="0" applyAlignment="0" applyProtection="0"/>
    <xf numFmtId="0" fontId="138" fillId="0" borderId="43" applyNumberFormat="0" applyFill="0" applyAlignment="0" applyProtection="0"/>
    <xf numFmtId="0" fontId="139" fillId="0" borderId="44" applyNumberFormat="0" applyFill="0" applyAlignment="0" applyProtection="0"/>
    <xf numFmtId="0" fontId="139" fillId="0" borderId="44"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43" applyNumberFormat="0" applyFill="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9" fillId="0" borderId="0" applyNumberFormat="0" applyFill="0" applyBorder="0" applyAlignment="0" applyProtection="0"/>
    <xf numFmtId="0" fontId="139" fillId="0" borderId="0" applyNumberFormat="0" applyFill="0" applyBorder="0" applyAlignment="0" applyProtection="0"/>
    <xf numFmtId="0" fontId="138" fillId="0" borderId="0" applyNumberFormat="0" applyFill="0" applyBorder="0" applyAlignment="0" applyProtection="0"/>
    <xf numFmtId="0" fontId="139" fillId="0" borderId="0" applyNumberFormat="0" applyFill="0" applyBorder="0" applyAlignment="0" applyProtection="0"/>
    <xf numFmtId="0" fontId="139"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38" fillId="0" borderId="0" applyNumberFormat="0" applyFill="0" applyBorder="0" applyAlignment="0" applyProtection="0"/>
    <xf numFmtId="0" fontId="140"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41" fillId="0" borderId="0" applyNumberFormat="0" applyFill="0" applyBorder="0" applyAlignment="0" applyProtection="0">
      <alignment vertical="top"/>
      <protection locked="0"/>
    </xf>
    <xf numFmtId="0" fontId="5" fillId="0" borderId="0" applyNumberFormat="0" applyFill="0" applyBorder="0" applyAlignment="0" applyProtection="0">
      <alignment vertical="top"/>
      <protection locked="0"/>
    </xf>
    <xf numFmtId="0" fontId="142" fillId="0" borderId="0" applyNumberFormat="0" applyFill="0" applyBorder="0" applyAlignment="0" applyProtection="0">
      <alignment vertical="top"/>
      <protection locked="0"/>
    </xf>
    <xf numFmtId="10" fontId="4" fillId="55" borderId="1" applyNumberFormat="0" applyBorder="0" applyAlignment="0" applyProtection="0"/>
    <xf numFmtId="10" fontId="4" fillId="55" borderId="1" applyNumberFormat="0" applyBorder="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23" borderId="36" applyNumberFormat="0" applyAlignment="0" applyProtection="0"/>
    <xf numFmtId="0" fontId="143" fillId="23" borderId="36" applyNumberFormat="0" applyAlignment="0" applyProtection="0"/>
    <xf numFmtId="0" fontId="143" fillId="45" borderId="36" applyNumberFormat="0" applyAlignment="0" applyProtection="0"/>
    <xf numFmtId="0" fontId="143" fillId="23" borderId="36" applyNumberFormat="0" applyAlignment="0" applyProtection="0"/>
    <xf numFmtId="0" fontId="143" fillId="23"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3" fillId="45" borderId="36" applyNumberFormat="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5" fillId="0" borderId="45" applyNumberFormat="0" applyFill="0" applyAlignment="0" applyProtection="0"/>
    <xf numFmtId="0" fontId="145" fillId="0" borderId="45" applyNumberFormat="0" applyFill="0" applyAlignment="0" applyProtection="0"/>
    <xf numFmtId="0" fontId="144" fillId="0" borderId="45" applyNumberFormat="0" applyFill="0" applyAlignment="0" applyProtection="0"/>
    <xf numFmtId="0" fontId="145" fillId="0" borderId="45" applyNumberFormat="0" applyFill="0" applyAlignment="0" applyProtection="0"/>
    <xf numFmtId="0" fontId="145"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4" fillId="0" borderId="45" applyNumberFormat="0" applyFill="0" applyAlignment="0" applyProtection="0"/>
    <xf numFmtId="0" fontId="146" fillId="0" borderId="0" applyProtection="0">
      <alignment horizontal="center" vertical="center"/>
    </xf>
    <xf numFmtId="0" fontId="146" fillId="0" borderId="0" applyProtection="0">
      <alignment horizontal="center" vertical="center"/>
    </xf>
    <xf numFmtId="0" fontId="146" fillId="0" borderId="0" applyProtection="0">
      <alignment horizontal="center" vertical="center"/>
    </xf>
    <xf numFmtId="0" fontId="146" fillId="0" borderId="0" applyProtection="0">
      <alignment horizontal="center" vertical="center"/>
    </xf>
    <xf numFmtId="0" fontId="147" fillId="0" borderId="0">
      <alignment vertical="top"/>
    </xf>
    <xf numFmtId="164" fontId="148" fillId="0" borderId="16">
      <alignment horizontal="right"/>
    </xf>
    <xf numFmtId="0" fontId="148" fillId="0" borderId="16">
      <alignment horizontal="right"/>
    </xf>
    <xf numFmtId="164" fontId="148" fillId="0" borderId="16">
      <alignment horizontal="right"/>
    </xf>
    <xf numFmtId="164" fontId="148" fillId="0" borderId="16">
      <alignment horizontal="right"/>
    </xf>
    <xf numFmtId="164" fontId="148" fillId="0" borderId="16">
      <alignment horizontal="right"/>
    </xf>
    <xf numFmtId="164" fontId="148" fillId="0" borderId="16">
      <alignment horizontal="right"/>
    </xf>
    <xf numFmtId="164" fontId="148" fillId="0" borderId="16">
      <alignment horizontal="right"/>
    </xf>
    <xf numFmtId="0" fontId="149" fillId="0" borderId="1">
      <alignment wrapText="1"/>
    </xf>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7" borderId="0" applyNumberFormat="0" applyBorder="0" applyAlignment="0" applyProtection="0"/>
    <xf numFmtId="0" fontId="150" fillId="57" borderId="0" applyNumberFormat="0" applyBorder="0" applyAlignment="0" applyProtection="0"/>
    <xf numFmtId="0" fontId="150" fillId="56" borderId="0" applyNumberFormat="0" applyBorder="0" applyAlignment="0" applyProtection="0"/>
    <xf numFmtId="0" fontId="150" fillId="57" borderId="0" applyNumberFormat="0" applyBorder="0" applyAlignment="0" applyProtection="0"/>
    <xf numFmtId="0" fontId="150" fillId="57"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0" fontId="150" fillId="56" borderId="0" applyNumberFormat="0" applyBorder="0" applyAlignment="0" applyProtection="0"/>
    <xf numFmtId="37" fontId="151" fillId="0" borderId="0"/>
    <xf numFmtId="37" fontId="151" fillId="0" borderId="0"/>
    <xf numFmtId="37" fontId="151" fillId="0" borderId="0"/>
    <xf numFmtId="37" fontId="151" fillId="0" borderId="0"/>
    <xf numFmtId="37" fontId="151" fillId="0" borderId="0"/>
    <xf numFmtId="37" fontId="151" fillId="0" borderId="0"/>
    <xf numFmtId="37" fontId="151"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74" fontId="2" fillId="0" borderId="0"/>
    <xf numFmtId="174" fontId="2" fillId="0" borderId="0"/>
    <xf numFmtId="0" fontId="2" fillId="0" borderId="0"/>
    <xf numFmtId="0" fontId="2" fillId="0" borderId="0"/>
    <xf numFmtId="0" fontId="2" fillId="0" borderId="0"/>
    <xf numFmtId="0" fontId="1" fillId="0" borderId="0"/>
    <xf numFmtId="0" fontId="20" fillId="0" borderId="0"/>
    <xf numFmtId="0" fontId="20" fillId="0" borderId="0"/>
    <xf numFmtId="0" fontId="20" fillId="0" borderId="0"/>
    <xf numFmtId="0" fontId="20" fillId="0" borderId="0"/>
    <xf numFmtId="0" fontId="1" fillId="0" borderId="0"/>
    <xf numFmtId="0" fontId="1" fillId="0" borderId="0"/>
    <xf numFmtId="0" fontId="2" fillId="0" borderId="0"/>
    <xf numFmtId="0" fontId="1" fillId="0" borderId="0"/>
    <xf numFmtId="0" fontId="1" fillId="0" borderId="0"/>
    <xf numFmtId="0" fontId="1" fillId="0" borderId="0"/>
    <xf numFmtId="0" fontId="20" fillId="0" borderId="0"/>
    <xf numFmtId="0" fontId="2" fillId="0" borderId="0"/>
    <xf numFmtId="0" fontId="1" fillId="0" borderId="0"/>
    <xf numFmtId="0" fontId="1" fillId="0" borderId="0"/>
    <xf numFmtId="0" fontId="60" fillId="0" borderId="0"/>
    <xf numFmtId="0" fontId="2" fillId="0" borderId="0"/>
    <xf numFmtId="0" fontId="20" fillId="0" borderId="0"/>
    <xf numFmtId="0" fontId="2" fillId="0" borderId="0"/>
    <xf numFmtId="0" fontId="2" fillId="0" borderId="0"/>
    <xf numFmtId="0" fontId="20" fillId="0" borderId="0"/>
    <xf numFmtId="0" fontId="2" fillId="0" borderId="0">
      <alignment vertical="center"/>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 fillId="0" borderId="0"/>
    <xf numFmtId="0" fontId="2" fillId="0" borderId="0"/>
    <xf numFmtId="0" fontId="20" fillId="0" borderId="0"/>
    <xf numFmtId="0" fontId="2" fillId="0" borderId="0"/>
    <xf numFmtId="0" fontId="60"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9" fillId="0" borderId="0"/>
    <xf numFmtId="0" fontId="129" fillId="0" borderId="0"/>
    <xf numFmtId="0" fontId="2" fillId="0" borderId="0"/>
    <xf numFmtId="0" fontId="2" fillId="0" borderId="0"/>
    <xf numFmtId="0" fontId="2" fillId="0" borderId="0"/>
    <xf numFmtId="0" fontId="2" fillId="0" borderId="0"/>
    <xf numFmtId="0" fontId="2" fillId="0" borderId="0"/>
    <xf numFmtId="0" fontId="20" fillId="0" borderId="0"/>
    <xf numFmtId="0" fontId="2" fillId="0" borderId="0"/>
    <xf numFmtId="0" fontId="129" fillId="0" borderId="0"/>
    <xf numFmtId="0" fontId="1" fillId="0" borderId="0"/>
    <xf numFmtId="0" fontId="60" fillId="0" borderId="0"/>
    <xf numFmtId="0" fontId="20" fillId="0" borderId="0"/>
    <xf numFmtId="0" fontId="20" fillId="0" borderId="0"/>
    <xf numFmtId="0" fontId="20"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0" fillId="0" borderId="0"/>
    <xf numFmtId="0" fontId="20" fillId="0" borderId="0"/>
    <xf numFmtId="0" fontId="20" fillId="0" borderId="0"/>
    <xf numFmtId="0" fontId="20" fillId="0" borderId="0"/>
    <xf numFmtId="0" fontId="2" fillId="0" borderId="0"/>
    <xf numFmtId="0" fontId="2" fillId="0" borderId="0"/>
    <xf numFmtId="0" fontId="20" fillId="0" borderId="0"/>
    <xf numFmtId="0" fontId="2" fillId="0" borderId="0"/>
    <xf numFmtId="0" fontId="1" fillId="0" borderId="0"/>
    <xf numFmtId="0" fontId="2" fillId="0" borderId="0"/>
    <xf numFmtId="0" fontId="2" fillId="0" borderId="0"/>
    <xf numFmtId="0" fontId="2" fillId="0" borderId="0"/>
    <xf numFmtId="0" fontId="2" fillId="0" borderId="0"/>
    <xf numFmtId="0" fontId="20" fillId="0" borderId="0"/>
    <xf numFmtId="0" fontId="129" fillId="0" borderId="0"/>
    <xf numFmtId="0" fontId="2" fillId="0" borderId="0"/>
    <xf numFmtId="0" fontId="20" fillId="0" borderId="0"/>
    <xf numFmtId="0" fontId="1" fillId="0" borderId="0"/>
    <xf numFmtId="0" fontId="20" fillId="0" borderId="0"/>
    <xf numFmtId="0" fontId="20" fillId="0" borderId="0"/>
    <xf numFmtId="0" fontId="20" fillId="0" borderId="0"/>
    <xf numFmtId="0" fontId="20" fillId="0" borderId="0"/>
    <xf numFmtId="0" fontId="1" fillId="0" borderId="0"/>
    <xf numFmtId="0" fontId="20" fillId="0" borderId="0"/>
    <xf numFmtId="0" fontId="20" fillId="0" borderId="0"/>
    <xf numFmtId="0" fontId="2" fillId="0" borderId="0"/>
    <xf numFmtId="0" fontId="2" fillId="0" borderId="0"/>
    <xf numFmtId="0" fontId="1" fillId="0" borderId="0"/>
    <xf numFmtId="0" fontId="1" fillId="0" borderId="0"/>
    <xf numFmtId="0" fontId="2" fillId="0" borderId="0"/>
    <xf numFmtId="0" fontId="2" fillId="0" borderId="0"/>
    <xf numFmtId="0" fontId="2"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1" fillId="0" borderId="0"/>
    <xf numFmtId="0" fontId="1"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2" fillId="0" borderId="0"/>
    <xf numFmtId="0" fontId="2" fillId="0" borderId="0"/>
    <xf numFmtId="0" fontId="20" fillId="0" borderId="0"/>
    <xf numFmtId="0" fontId="2" fillId="0" borderId="0"/>
    <xf numFmtId="0" fontId="60" fillId="0" borderId="0"/>
    <xf numFmtId="0" fontId="60" fillId="0" borderId="0"/>
    <xf numFmtId="0" fontId="60" fillId="0" borderId="0"/>
    <xf numFmtId="0" fontId="60" fillId="0" borderId="0"/>
    <xf numFmtId="0" fontId="2" fillId="0" borderId="0"/>
    <xf numFmtId="0" fontId="2" fillId="0" borderId="0"/>
    <xf numFmtId="0" fontId="2" fillId="0" borderId="0"/>
    <xf numFmtId="0" fontId="2" fillId="0" borderId="0"/>
    <xf numFmtId="0" fontId="60" fillId="0" borderId="0"/>
    <xf numFmtId="0" fontId="1" fillId="0" borderId="0"/>
    <xf numFmtId="0" fontId="1" fillId="0" borderId="0"/>
    <xf numFmtId="0" fontId="1" fillId="0" borderId="0"/>
    <xf numFmtId="0" fontId="1" fillId="0" borderId="0"/>
    <xf numFmtId="0" fontId="2" fillId="0" borderId="0"/>
    <xf numFmtId="0" fontId="2" fillId="0" borderId="0"/>
    <xf numFmtId="0" fontId="1" fillId="0" borderId="0"/>
    <xf numFmtId="0" fontId="2" fillId="0" borderId="0"/>
    <xf numFmtId="0" fontId="1" fillId="0" borderId="0"/>
    <xf numFmtId="0" fontId="1" fillId="0" borderId="0"/>
    <xf numFmtId="0" fontId="1" fillId="0" borderId="0"/>
    <xf numFmtId="0" fontId="1" fillId="0" borderId="0"/>
    <xf numFmtId="0" fontId="1" fillId="0" borderId="0"/>
    <xf numFmtId="0" fontId="1" fillId="0" borderId="0"/>
    <xf numFmtId="0" fontId="152"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2" fillId="0" borderId="0"/>
    <xf numFmtId="0" fontId="2" fillId="0" borderId="0"/>
    <xf numFmtId="0" fontId="1" fillId="0" borderId="0"/>
    <xf numFmtId="0" fontId="1" fillId="0" borderId="0"/>
    <xf numFmtId="0" fontId="2" fillId="0" borderId="0"/>
    <xf numFmtId="0" fontId="2" fillId="0" borderId="0"/>
    <xf numFmtId="0" fontId="1" fillId="0" borderId="0"/>
    <xf numFmtId="0" fontId="1" fillId="0" borderId="0"/>
    <xf numFmtId="0" fontId="1" fillId="0" borderId="0"/>
    <xf numFmtId="0" fontId="1" fillId="0" borderId="0"/>
    <xf numFmtId="0" fontId="1" fillId="0" borderId="0"/>
    <xf numFmtId="0" fontId="129" fillId="0" borderId="0"/>
    <xf numFmtId="0" fontId="2" fillId="0" borderId="0"/>
    <xf numFmtId="0" fontId="2" fillId="0" borderId="0"/>
    <xf numFmtId="0" fontId="129" fillId="0" borderId="0"/>
    <xf numFmtId="0" fontId="129" fillId="0" borderId="0"/>
    <xf numFmtId="0" fontId="2" fillId="0" borderId="0"/>
    <xf numFmtId="0" fontId="1" fillId="0" borderId="0"/>
    <xf numFmtId="0" fontId="2" fillId="0" borderId="0"/>
    <xf numFmtId="0" fontId="1" fillId="0" borderId="0"/>
    <xf numFmtId="0" fontId="60" fillId="0" borderId="0"/>
    <xf numFmtId="0" fontId="20" fillId="0" borderId="0"/>
    <xf numFmtId="0" fontId="2" fillId="0" borderId="0"/>
    <xf numFmtId="0" fontId="1" fillId="0" borderId="0"/>
    <xf numFmtId="0" fontId="60" fillId="0" borderId="0"/>
    <xf numFmtId="0" fontId="2" fillId="0" borderId="0"/>
    <xf numFmtId="0" fontId="2" fillId="0" borderId="0"/>
    <xf numFmtId="0" fontId="2" fillId="0" borderId="0"/>
    <xf numFmtId="0" fontId="60" fillId="0" borderId="0"/>
    <xf numFmtId="0" fontId="2" fillId="0" borderId="0"/>
    <xf numFmtId="0" fontId="2" fillId="0" borderId="0"/>
    <xf numFmtId="0" fontId="2" fillId="0" borderId="0"/>
    <xf numFmtId="0" fontId="20" fillId="0" borderId="0"/>
    <xf numFmtId="0" fontId="1" fillId="0" borderId="0"/>
    <xf numFmtId="0" fontId="20" fillId="0" borderId="0"/>
    <xf numFmtId="0" fontId="1" fillId="0" borderId="0"/>
    <xf numFmtId="0" fontId="1" fillId="0" borderId="0"/>
    <xf numFmtId="0" fontId="1" fillId="0" borderId="0"/>
    <xf numFmtId="0" fontId="1" fillId="0" borderId="0"/>
    <xf numFmtId="0" fontId="1" fillId="0" borderId="0"/>
    <xf numFmtId="0" fontId="1" fillId="0" borderId="0"/>
    <xf numFmtId="0" fontId="20" fillId="0" borderId="0"/>
    <xf numFmtId="0" fontId="2" fillId="0" borderId="0"/>
    <xf numFmtId="0" fontId="2" fillId="0" borderId="0"/>
    <xf numFmtId="0" fontId="1" fillId="0" borderId="0"/>
    <xf numFmtId="0" fontId="1" fillId="0" borderId="0"/>
    <xf numFmtId="0" fontId="1" fillId="0" borderId="0"/>
    <xf numFmtId="0" fontId="6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0" borderId="0"/>
    <xf numFmtId="0" fontId="2" fillId="0" borderId="0"/>
    <xf numFmtId="0" fontId="1" fillId="0" borderId="0"/>
    <xf numFmtId="0" fontId="2" fillId="0" borderId="0"/>
    <xf numFmtId="0" fontId="129" fillId="0" borderId="0"/>
    <xf numFmtId="0" fontId="129" fillId="0" borderId="0"/>
    <xf numFmtId="0" fontId="129" fillId="0" borderId="0"/>
    <xf numFmtId="0" fontId="2" fillId="0" borderId="0"/>
    <xf numFmtId="0" fontId="2" fillId="0" borderId="0"/>
    <xf numFmtId="0" fontId="2" fillId="0" borderId="0"/>
    <xf numFmtId="0" fontId="2" fillId="0" borderId="0"/>
    <xf numFmtId="0" fontId="2" fillId="0" borderId="0"/>
    <xf numFmtId="0" fontId="153" fillId="0" borderId="0"/>
    <xf numFmtId="0" fontId="2" fillId="0" borderId="0"/>
    <xf numFmtId="0" fontId="154" fillId="0" borderId="0"/>
    <xf numFmtId="0" fontId="154" fillId="0" borderId="0"/>
    <xf numFmtId="0" fontId="2" fillId="0" borderId="0"/>
    <xf numFmtId="0" fontId="2" fillId="0" borderId="0"/>
    <xf numFmtId="0" fontId="60" fillId="0" borderId="0"/>
    <xf numFmtId="0" fontId="1" fillId="0" borderId="0"/>
    <xf numFmtId="0" fontId="129" fillId="0" borderId="0"/>
    <xf numFmtId="0" fontId="129" fillId="0" borderId="0"/>
    <xf numFmtId="0" fontId="129" fillId="0" borderId="0"/>
    <xf numFmtId="0" fontId="129" fillId="0" borderId="0"/>
    <xf numFmtId="0" fontId="154" fillId="0" borderId="0"/>
    <xf numFmtId="0" fontId="2" fillId="0" borderId="0"/>
    <xf numFmtId="0" fontId="2" fillId="0" borderId="0"/>
    <xf numFmtId="0" fontId="2" fillId="0" borderId="0"/>
    <xf numFmtId="0" fontId="129" fillId="0" borderId="0"/>
    <xf numFmtId="0" fontId="129" fillId="0" borderId="0"/>
    <xf numFmtId="0" fontId="60" fillId="0" borderId="0"/>
    <xf numFmtId="0" fontId="20" fillId="0" borderId="0"/>
    <xf numFmtId="0" fontId="2" fillId="0" borderId="0"/>
    <xf numFmtId="0" fontId="2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9" fillId="0" borderId="0"/>
    <xf numFmtId="0" fontId="20" fillId="0" borderId="0"/>
    <xf numFmtId="0" fontId="20" fillId="0" borderId="0"/>
    <xf numFmtId="0" fontId="20" fillId="0" borderId="0"/>
    <xf numFmtId="0" fontId="129" fillId="0" borderId="0"/>
    <xf numFmtId="0" fontId="60" fillId="0" borderId="0"/>
    <xf numFmtId="0" fontId="2" fillId="0" borderId="0"/>
    <xf numFmtId="0" fontId="2" fillId="0" borderId="0"/>
    <xf numFmtId="0" fontId="2" fillId="0" borderId="0"/>
    <xf numFmtId="0" fontId="129" fillId="0" borderId="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58" borderId="46" applyNumberFormat="0" applyFont="0" applyAlignment="0" applyProtection="0"/>
    <xf numFmtId="0" fontId="2" fillId="58" borderId="46" applyNumberFormat="0" applyFont="0" applyAlignment="0" applyProtection="0"/>
    <xf numFmtId="0" fontId="2" fillId="36" borderId="46" applyNumberFormat="0" applyFont="0" applyAlignment="0" applyProtection="0"/>
    <xf numFmtId="0" fontId="2" fillId="58" borderId="46" applyNumberFormat="0" applyFont="0" applyAlignment="0" applyProtection="0"/>
    <xf numFmtId="0" fontId="2" fillId="58"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2" fillId="36" borderId="46" applyNumberFormat="0" applyFon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50" borderId="47" applyNumberFormat="0" applyAlignment="0" applyProtection="0"/>
    <xf numFmtId="0" fontId="155" fillId="50" borderId="47" applyNumberFormat="0" applyAlignment="0" applyProtection="0"/>
    <xf numFmtId="0" fontId="155" fillId="49" borderId="47" applyNumberFormat="0" applyAlignment="0" applyProtection="0"/>
    <xf numFmtId="0" fontId="155" fillId="50" borderId="47" applyNumberFormat="0" applyAlignment="0" applyProtection="0"/>
    <xf numFmtId="0" fontId="155" fillId="50"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0" fontId="155" fillId="49" borderId="47" applyNumberFormat="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10"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0" fillId="0" borderId="0" applyFont="0" applyFill="0" applyBorder="0" applyAlignment="0" applyProtection="0"/>
    <xf numFmtId="9" fontId="60" fillId="0" borderId="0" applyFont="0" applyFill="0" applyBorder="0" applyAlignment="0" applyProtection="0"/>
    <xf numFmtId="9" fontId="129"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60" fillId="0" borderId="0" applyFont="0" applyFill="0" applyBorder="0" applyAlignment="0" applyProtection="0"/>
    <xf numFmtId="9" fontId="60" fillId="0" borderId="0" applyFont="0" applyFill="0" applyBorder="0" applyAlignment="0" applyProtection="0"/>
    <xf numFmtId="9" fontId="60" fillId="0" borderId="0" applyFont="0" applyFill="0" applyBorder="0" applyAlignment="0" applyProtection="0"/>
    <xf numFmtId="9" fontId="60" fillId="0" borderId="0" applyFont="0" applyFill="0" applyBorder="0" applyAlignment="0" applyProtection="0"/>
    <xf numFmtId="9" fontId="2"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129"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60"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56" fillId="0" borderId="0">
      <alignment vertical="top"/>
    </xf>
    <xf numFmtId="175" fontId="157" fillId="0" borderId="0" applyNumberFormat="0" applyFill="0" applyBorder="0" applyAlignment="0" applyProtection="0">
      <alignment horizontal="left"/>
    </xf>
    <xf numFmtId="14" fontId="157" fillId="0" borderId="0" applyNumberFormat="0" applyFill="0" applyBorder="0" applyAlignment="0" applyProtection="0">
      <alignment horizontal="left"/>
    </xf>
    <xf numFmtId="0" fontId="158" fillId="0" borderId="0" applyNumberFormat="0" applyFill="0" applyBorder="0" applyAlignment="0" applyProtection="0"/>
    <xf numFmtId="0" fontId="159" fillId="0" borderId="1">
      <alignment horizontal="center"/>
    </xf>
    <xf numFmtId="0" fontId="160" fillId="0" borderId="0"/>
    <xf numFmtId="0" fontId="161" fillId="0" borderId="0"/>
    <xf numFmtId="0" fontId="162" fillId="0" borderId="0"/>
    <xf numFmtId="0" fontId="160" fillId="0" borderId="0"/>
    <xf numFmtId="0" fontId="160" fillId="0" borderId="0"/>
    <xf numFmtId="0" fontId="105" fillId="0" borderId="3">
      <alignment wrapText="1"/>
    </xf>
    <xf numFmtId="0" fontId="159" fillId="0" borderId="1">
      <alignment horizontal="center"/>
    </xf>
    <xf numFmtId="0" fontId="159" fillId="0" borderId="1">
      <alignment horizontal="center"/>
    </xf>
    <xf numFmtId="0" fontId="159" fillId="0" borderId="1">
      <alignment horizontal="center"/>
    </xf>
    <xf numFmtId="0" fontId="159" fillId="0" borderId="1">
      <alignment horizontal="center"/>
    </xf>
    <xf numFmtId="0" fontId="159" fillId="0" borderId="1">
      <alignment horizontal="center"/>
    </xf>
    <xf numFmtId="0" fontId="159" fillId="0" borderId="0">
      <alignment horizontal="center" vertical="center"/>
    </xf>
    <xf numFmtId="0" fontId="159" fillId="0" borderId="0">
      <alignment horizontal="center" vertical="center"/>
    </xf>
    <xf numFmtId="0" fontId="159" fillId="0" borderId="0">
      <alignment horizontal="center" vertical="center"/>
    </xf>
    <xf numFmtId="0" fontId="159" fillId="0" borderId="0">
      <alignment horizontal="center" vertical="center"/>
    </xf>
    <xf numFmtId="0" fontId="159" fillId="0" borderId="0">
      <alignment horizontal="center" vertical="center"/>
    </xf>
    <xf numFmtId="0" fontId="159" fillId="0" borderId="0">
      <alignment horizontal="center" vertical="center"/>
    </xf>
    <xf numFmtId="0" fontId="159" fillId="0" borderId="0">
      <alignment horizontal="center" vertical="center"/>
    </xf>
    <xf numFmtId="0" fontId="163" fillId="49" borderId="0" applyNumberFormat="0" applyFill="0">
      <alignment horizontal="left" vertical="center"/>
    </xf>
    <xf numFmtId="0" fontId="163" fillId="49" borderId="0" applyNumberFormat="0" applyFill="0">
      <alignment horizontal="left" vertical="center"/>
    </xf>
    <xf numFmtId="0" fontId="163" fillId="49" borderId="0" applyNumberFormat="0" applyFill="0">
      <alignment horizontal="left" vertical="center"/>
    </xf>
    <xf numFmtId="0" fontId="163" fillId="49" borderId="0" applyNumberFormat="0" applyFill="0">
      <alignment horizontal="left" vertical="center"/>
    </xf>
    <xf numFmtId="0" fontId="163" fillId="49" borderId="0" applyNumberFormat="0" applyFill="0">
      <alignment horizontal="left" vertical="center"/>
    </xf>
    <xf numFmtId="0" fontId="163" fillId="49" borderId="0" applyNumberFormat="0" applyFill="0">
      <alignment horizontal="left" vertical="center"/>
    </xf>
    <xf numFmtId="0" fontId="163" fillId="49" borderId="0" applyNumberFormat="0" applyFill="0">
      <alignment horizontal="left" vertical="center"/>
    </xf>
    <xf numFmtId="0" fontId="164" fillId="0" borderId="1">
      <alignment horizontal="center" vertical="center" wrapText="1"/>
    </xf>
    <xf numFmtId="40" fontId="165" fillId="0" borderId="0" applyBorder="0">
      <alignment horizontal="right"/>
    </xf>
    <xf numFmtId="49" fontId="2" fillId="0" borderId="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0" fontId="166" fillId="0" borderId="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167" fillId="0" borderId="0" applyNumberFormat="0" applyFill="0" applyBorder="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38" applyNumberFormat="0" applyFill="0" applyAlignment="0" applyProtection="0"/>
    <xf numFmtId="0" fontId="84" fillId="0" borderId="38" applyNumberFormat="0" applyFill="0" applyAlignment="0" applyProtection="0"/>
    <xf numFmtId="0" fontId="84" fillId="0" borderId="48" applyNumberFormat="0" applyFill="0" applyAlignment="0" applyProtection="0"/>
    <xf numFmtId="0" fontId="84" fillId="0" borderId="38" applyNumberFormat="0" applyFill="0" applyAlignment="0" applyProtection="0"/>
    <xf numFmtId="0" fontId="84" fillId="0" borderId="3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0" fontId="84" fillId="0" borderId="48" applyNumberFormat="0" applyFill="0" applyAlignment="0" applyProtection="0"/>
    <xf numFmtId="177" fontId="24" fillId="0" borderId="1">
      <alignment horizontal="center" vertical="center"/>
    </xf>
    <xf numFmtId="177" fontId="24" fillId="0" borderId="1">
      <alignment horizontal="center" vertical="center"/>
    </xf>
    <xf numFmtId="177" fontId="24" fillId="0" borderId="1">
      <alignment horizontal="center" vertical="center"/>
    </xf>
    <xf numFmtId="177" fontId="24" fillId="0" borderId="1">
      <alignment horizontal="center" vertical="center"/>
    </xf>
    <xf numFmtId="177" fontId="24" fillId="0" borderId="1">
      <alignment horizontal="center" vertical="center"/>
    </xf>
    <xf numFmtId="177" fontId="24" fillId="0" borderId="1">
      <alignment horizontal="center" vertical="center"/>
    </xf>
    <xf numFmtId="177" fontId="24" fillId="0" borderId="1">
      <alignment horizontal="center" vertical="center"/>
    </xf>
    <xf numFmtId="177" fontId="24" fillId="0" borderId="1">
      <alignment horizontal="center" vertical="center"/>
    </xf>
    <xf numFmtId="0" fontId="2" fillId="0" borderId="4">
      <alignment horizontal="center"/>
    </xf>
    <xf numFmtId="0" fontId="2" fillId="0" borderId="4">
      <alignment horizontal="center"/>
    </xf>
    <xf numFmtId="0" fontId="2" fillId="0" borderId="4">
      <alignment horizontal="center"/>
    </xf>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68" fillId="0" borderId="0" applyNumberFormat="0" applyFill="0" applyBorder="0" applyAlignment="0" applyProtection="0"/>
    <xf numFmtId="0" fontId="129" fillId="0" borderId="0"/>
    <xf numFmtId="0" fontId="2" fillId="0" borderId="0"/>
  </cellStyleXfs>
  <cellXfs count="1486">
    <xf numFmtId="0" fontId="0" fillId="0" borderId="0" xfId="0"/>
    <xf numFmtId="0" fontId="0" fillId="0" borderId="1" xfId="0" applyBorder="1" applyAlignment="1">
      <alignment horizontal="center" vertical="center"/>
    </xf>
    <xf numFmtId="0" fontId="4" fillId="0" borderId="0" xfId="0" applyFont="1"/>
    <xf numFmtId="2" fontId="0" fillId="0" borderId="0" xfId="0" applyNumberFormat="1"/>
    <xf numFmtId="0" fontId="0" fillId="0" borderId="0" xfId="0" applyAlignment="1">
      <alignment vertical="center"/>
    </xf>
    <xf numFmtId="2" fontId="0" fillId="0" borderId="0" xfId="0" applyNumberFormat="1" applyAlignment="1">
      <alignment horizontal="center"/>
    </xf>
    <xf numFmtId="1" fontId="0" fillId="0" borderId="0" xfId="0" applyNumberFormat="1"/>
    <xf numFmtId="0" fontId="3" fillId="0" borderId="0" xfId="0" applyFont="1" applyAlignment="1"/>
    <xf numFmtId="0" fontId="10" fillId="0" borderId="0" xfId="0" applyFont="1" applyBorder="1"/>
    <xf numFmtId="0" fontId="11" fillId="0" borderId="0" xfId="0" applyFont="1" applyBorder="1"/>
    <xf numFmtId="0" fontId="12" fillId="0" borderId="0" xfId="0" applyFont="1" applyBorder="1" applyAlignment="1">
      <alignment horizontal="center" vertical="center"/>
    </xf>
    <xf numFmtId="0" fontId="7" fillId="0" borderId="0" xfId="0" applyFont="1" applyBorder="1" applyAlignment="1">
      <alignment vertical="top"/>
    </xf>
    <xf numFmtId="0" fontId="7" fillId="0" borderId="0" xfId="0" applyFont="1" applyBorder="1" applyAlignment="1">
      <alignment vertical="center"/>
    </xf>
    <xf numFmtId="0" fontId="3" fillId="0" borderId="0" xfId="0" applyFont="1" applyBorder="1" applyAlignment="1">
      <alignment horizontal="left" vertical="center"/>
    </xf>
    <xf numFmtId="0" fontId="3" fillId="0" borderId="0" xfId="0" applyFont="1" applyBorder="1" applyAlignment="1">
      <alignment horizontal="center" vertical="center" wrapText="1"/>
    </xf>
    <xf numFmtId="0" fontId="13" fillId="0" borderId="0" xfId="0" applyFont="1" applyBorder="1" applyAlignment="1">
      <alignment vertical="center"/>
    </xf>
    <xf numFmtId="0" fontId="14" fillId="0" borderId="0" xfId="0" applyFont="1" applyBorder="1" applyAlignment="1">
      <alignment horizontal="left" vertical="center"/>
    </xf>
    <xf numFmtId="0" fontId="7" fillId="0" borderId="0" xfId="0" applyFont="1" applyBorder="1" applyAlignment="1">
      <alignment horizontal="centerContinuous" vertical="center"/>
    </xf>
    <xf numFmtId="0" fontId="7" fillId="0" borderId="0" xfId="0" applyFont="1" applyBorder="1" applyAlignment="1">
      <alignment horizontal="center" vertical="center"/>
    </xf>
    <xf numFmtId="0" fontId="15" fillId="0" borderId="0" xfId="0" applyFont="1" applyBorder="1" applyAlignment="1">
      <alignment horizontal="center" vertical="center" wrapText="1"/>
    </xf>
    <xf numFmtId="0" fontId="15" fillId="0" borderId="0" xfId="0" applyFont="1" applyBorder="1" applyAlignment="1">
      <alignment vertical="center"/>
    </xf>
    <xf numFmtId="2" fontId="7" fillId="0" borderId="0" xfId="0" applyNumberFormat="1" applyFont="1" applyBorder="1" applyAlignment="1">
      <alignment horizontal="center" vertical="center"/>
    </xf>
    <xf numFmtId="0" fontId="16" fillId="0" borderId="0" xfId="6" applyFont="1" applyBorder="1"/>
    <xf numFmtId="0" fontId="16" fillId="0" borderId="0" xfId="6" applyFont="1" applyBorder="1" applyAlignment="1">
      <alignment horizontal="center"/>
    </xf>
    <xf numFmtId="0" fontId="3" fillId="0" borderId="0" xfId="0" applyFont="1" applyBorder="1" applyAlignment="1">
      <alignment horizontal="center" vertical="center"/>
    </xf>
    <xf numFmtId="0" fontId="3" fillId="0" borderId="0" xfId="0" applyFont="1" applyBorder="1"/>
    <xf numFmtId="0" fontId="15" fillId="0" borderId="0" xfId="0" applyFont="1" applyBorder="1" applyAlignment="1">
      <alignment vertical="center" wrapText="1"/>
    </xf>
    <xf numFmtId="168" fontId="15" fillId="0" borderId="0" xfId="0" applyNumberFormat="1" applyFont="1" applyBorder="1" applyAlignment="1">
      <alignment horizontal="center" vertical="center" wrapText="1"/>
    </xf>
    <xf numFmtId="169" fontId="19" fillId="0" borderId="0" xfId="0" applyNumberFormat="1" applyFont="1" applyBorder="1" applyAlignment="1">
      <alignment horizontal="center" vertical="center" wrapText="1"/>
    </xf>
    <xf numFmtId="169" fontId="7" fillId="0" borderId="0" xfId="0" applyNumberFormat="1" applyFont="1" applyBorder="1" applyAlignment="1">
      <alignment horizontal="center" vertical="center" wrapText="1"/>
    </xf>
    <xf numFmtId="169" fontId="7" fillId="0" borderId="0" xfId="0" applyNumberFormat="1" applyFont="1" applyBorder="1" applyAlignment="1">
      <alignment horizontal="left" vertical="center" wrapText="1"/>
    </xf>
    <xf numFmtId="168" fontId="7" fillId="0" borderId="0" xfId="0" applyNumberFormat="1" applyFont="1" applyBorder="1" applyAlignment="1">
      <alignment horizontal="center" vertical="center" wrapText="1"/>
    </xf>
    <xf numFmtId="0" fontId="16" fillId="0" borderId="0" xfId="0" applyFont="1" applyFill="1" applyBorder="1" applyAlignment="1" applyProtection="1">
      <alignment horizontal="left" vertical="center"/>
    </xf>
    <xf numFmtId="2" fontId="17" fillId="0" borderId="0" xfId="0" applyNumberFormat="1" applyFont="1" applyBorder="1" applyAlignment="1">
      <alignment horizontal="center" vertical="center"/>
    </xf>
    <xf numFmtId="0" fontId="16" fillId="0" borderId="0" xfId="0" applyFont="1" applyFill="1" applyBorder="1" applyAlignment="1" applyProtection="1">
      <alignment horizontal="center" vertical="center"/>
    </xf>
    <xf numFmtId="2" fontId="3" fillId="0" borderId="0" xfId="0" applyNumberFormat="1" applyFont="1" applyBorder="1" applyAlignment="1">
      <alignment horizontal="center" vertical="center"/>
    </xf>
    <xf numFmtId="0" fontId="7" fillId="0" borderId="0" xfId="8" applyNumberFormat="1" applyFont="1" applyFill="1" applyBorder="1" applyAlignment="1">
      <alignment horizontal="center" vertical="top" wrapText="1"/>
    </xf>
    <xf numFmtId="0" fontId="7" fillId="0" borderId="0" xfId="8" applyNumberFormat="1" applyFont="1" applyFill="1" applyBorder="1" applyAlignment="1">
      <alignment vertical="top" wrapText="1"/>
    </xf>
    <xf numFmtId="0" fontId="7" fillId="0" borderId="0" xfId="0" applyFont="1" applyBorder="1" applyAlignment="1">
      <alignment horizontal="center" vertical="top" wrapText="1"/>
    </xf>
    <xf numFmtId="0" fontId="7" fillId="0" borderId="0" xfId="0" applyFont="1" applyBorder="1"/>
    <xf numFmtId="169" fontId="3" fillId="0" borderId="0" xfId="0" applyNumberFormat="1" applyFont="1" applyBorder="1" applyAlignment="1">
      <alignment horizontal="center" vertical="center" wrapText="1"/>
    </xf>
    <xf numFmtId="169" fontId="3" fillId="0" borderId="0" xfId="0" applyNumberFormat="1" applyFont="1" applyBorder="1" applyAlignment="1">
      <alignment horizontal="justify" vertical="top" wrapText="1"/>
    </xf>
    <xf numFmtId="0" fontId="3" fillId="0" borderId="0" xfId="0" applyFont="1" applyBorder="1" applyAlignment="1">
      <alignment horizontal="justify" vertical="center" wrapText="1"/>
    </xf>
    <xf numFmtId="168" fontId="3" fillId="0" borderId="0" xfId="0" applyNumberFormat="1" applyFont="1" applyBorder="1" applyAlignment="1">
      <alignment horizontal="center" vertical="center" wrapText="1"/>
    </xf>
    <xf numFmtId="0" fontId="3" fillId="0" borderId="0" xfId="0" applyFont="1" applyBorder="1" applyAlignment="1">
      <alignment vertical="center"/>
    </xf>
    <xf numFmtId="0" fontId="7" fillId="0" borderId="0" xfId="0" applyFont="1" applyBorder="1" applyAlignment="1">
      <alignment horizontal="center" vertical="center" wrapText="1"/>
    </xf>
    <xf numFmtId="168" fontId="7" fillId="0" borderId="0" xfId="0" applyNumberFormat="1" applyFont="1" applyBorder="1" applyAlignment="1">
      <alignment horizontal="justify" vertical="center" wrapText="1"/>
    </xf>
    <xf numFmtId="168" fontId="3" fillId="0" borderId="0" xfId="0" applyNumberFormat="1" applyFont="1" applyBorder="1" applyAlignment="1">
      <alignment horizontal="justify" vertical="center" wrapText="1"/>
    </xf>
    <xf numFmtId="168" fontId="7" fillId="0" borderId="0" xfId="0" applyNumberFormat="1" applyFont="1" applyFill="1" applyBorder="1" applyAlignment="1">
      <alignment horizontal="justify" vertical="center" wrapText="1"/>
    </xf>
    <xf numFmtId="168" fontId="7" fillId="0" borderId="0" xfId="0" applyNumberFormat="1" applyFont="1" applyFill="1" applyBorder="1" applyAlignment="1">
      <alignment horizontal="center" vertical="center" wrapText="1"/>
    </xf>
    <xf numFmtId="168" fontId="7" fillId="0" borderId="0" xfId="0" applyNumberFormat="1" applyFont="1" applyBorder="1" applyAlignment="1">
      <alignment horizontal="justify" vertical="top" wrapText="1"/>
    </xf>
    <xf numFmtId="168" fontId="7" fillId="0" borderId="0" xfId="0" applyNumberFormat="1" applyFont="1" applyBorder="1" applyAlignment="1">
      <alignment horizontal="center" vertical="top" wrapText="1"/>
    </xf>
    <xf numFmtId="168" fontId="7" fillId="0" borderId="0" xfId="0" applyNumberFormat="1" applyFont="1" applyFill="1" applyBorder="1" applyAlignment="1">
      <alignment horizontal="center" vertical="top" wrapText="1"/>
    </xf>
    <xf numFmtId="168" fontId="7" fillId="0" borderId="0" xfId="0" applyNumberFormat="1" applyFont="1" applyFill="1" applyBorder="1" applyAlignment="1">
      <alignment horizontal="justify" vertical="top" wrapText="1"/>
    </xf>
    <xf numFmtId="0" fontId="3" fillId="0" borderId="0" xfId="0" applyFont="1" applyBorder="1" applyAlignment="1">
      <alignment horizontal="center" vertical="top" wrapText="1"/>
    </xf>
    <xf numFmtId="168" fontId="3" fillId="0" borderId="0" xfId="0" applyNumberFormat="1" applyFont="1" applyFill="1" applyBorder="1" applyAlignment="1">
      <alignment horizontal="justify" vertical="center" wrapText="1"/>
    </xf>
    <xf numFmtId="170" fontId="7" fillId="0" borderId="0" xfId="0" applyNumberFormat="1" applyFont="1" applyBorder="1" applyAlignment="1">
      <alignment horizontal="center" vertical="top" wrapText="1"/>
    </xf>
    <xf numFmtId="165" fontId="7" fillId="0" borderId="0" xfId="0" applyNumberFormat="1" applyFont="1" applyBorder="1" applyAlignment="1">
      <alignment horizontal="center" vertical="center" wrapText="1" shrinkToFit="1"/>
    </xf>
    <xf numFmtId="2" fontId="7" fillId="0" borderId="0" xfId="0" applyNumberFormat="1" applyFont="1" applyBorder="1" applyAlignment="1">
      <alignment horizontal="center" vertical="center" wrapText="1" shrinkToFit="1"/>
    </xf>
    <xf numFmtId="0" fontId="7" fillId="0" borderId="0" xfId="0" applyFont="1" applyFill="1" applyBorder="1" applyAlignment="1">
      <alignment horizontal="center" vertical="center" wrapText="1"/>
    </xf>
    <xf numFmtId="165" fontId="7" fillId="0" borderId="0" xfId="0" applyNumberFormat="1" applyFont="1" applyFill="1" applyBorder="1" applyAlignment="1">
      <alignment horizontal="center" vertical="center" wrapText="1" shrinkToFit="1"/>
    </xf>
    <xf numFmtId="0" fontId="7" fillId="0" borderId="0" xfId="0" applyFont="1" applyFill="1" applyBorder="1" applyAlignment="1">
      <alignment vertical="center"/>
    </xf>
    <xf numFmtId="2" fontId="7" fillId="0" borderId="0" xfId="0" applyNumberFormat="1" applyFont="1" applyFill="1" applyBorder="1" applyAlignment="1">
      <alignment horizontal="center" vertical="center" wrapText="1" shrinkToFit="1"/>
    </xf>
    <xf numFmtId="168" fontId="22" fillId="0" borderId="0" xfId="0" applyNumberFormat="1" applyFont="1" applyBorder="1" applyAlignment="1">
      <alignment horizontal="center" vertical="center" wrapText="1"/>
    </xf>
    <xf numFmtId="168" fontId="22" fillId="0" borderId="0" xfId="0" applyNumberFormat="1" applyFont="1" applyFill="1" applyBorder="1" applyAlignment="1">
      <alignment horizontal="center" vertical="center" wrapText="1"/>
    </xf>
    <xf numFmtId="168" fontId="7" fillId="0" borderId="0" xfId="0" applyNumberFormat="1" applyFont="1" applyBorder="1" applyAlignment="1">
      <alignment horizontal="center" vertical="center"/>
    </xf>
    <xf numFmtId="0" fontId="3" fillId="0" borderId="0" xfId="0" applyFont="1" applyFill="1" applyBorder="1" applyAlignment="1">
      <alignment horizontal="center" vertical="center" wrapText="1"/>
    </xf>
    <xf numFmtId="168" fontId="3" fillId="0" borderId="0" xfId="0" applyNumberFormat="1" applyFont="1" applyFill="1" applyBorder="1" applyAlignment="1">
      <alignment horizontal="center" vertical="center" wrapText="1"/>
    </xf>
    <xf numFmtId="165" fontId="3" fillId="0" borderId="0" xfId="0" applyNumberFormat="1" applyFont="1" applyFill="1" applyBorder="1" applyAlignment="1">
      <alignment horizontal="center" vertical="center" wrapText="1" shrinkToFit="1"/>
    </xf>
    <xf numFmtId="0" fontId="3" fillId="0" borderId="0" xfId="0" applyFont="1" applyFill="1" applyBorder="1" applyAlignment="1">
      <alignment vertical="center"/>
    </xf>
    <xf numFmtId="168" fontId="3" fillId="0" borderId="0" xfId="0" applyNumberFormat="1" applyFont="1" applyFill="1" applyBorder="1" applyAlignment="1">
      <alignment horizontal="left" vertical="center"/>
    </xf>
    <xf numFmtId="49" fontId="7" fillId="0" borderId="0" xfId="0" applyNumberFormat="1" applyFont="1" applyBorder="1" applyAlignment="1">
      <alignment horizontal="center" vertical="top" wrapText="1"/>
    </xf>
    <xf numFmtId="0" fontId="7" fillId="0" borderId="0" xfId="0" applyFont="1" applyFill="1" applyBorder="1" applyAlignment="1">
      <alignment horizontal="justify" vertical="center" wrapText="1"/>
    </xf>
    <xf numFmtId="0" fontId="3" fillId="0" borderId="0" xfId="0" applyFont="1" applyFill="1" applyBorder="1" applyAlignment="1">
      <alignment horizontal="justify" vertical="center" wrapText="1"/>
    </xf>
    <xf numFmtId="4" fontId="7" fillId="0" borderId="0" xfId="0" applyNumberFormat="1" applyFont="1" applyBorder="1" applyAlignment="1">
      <alignment horizontal="center" vertical="center" wrapText="1"/>
    </xf>
    <xf numFmtId="0" fontId="7" fillId="0" borderId="0" xfId="0" applyNumberFormat="1" applyFont="1" applyFill="1" applyBorder="1" applyAlignment="1">
      <alignment horizontal="center" vertical="center" wrapText="1"/>
    </xf>
    <xf numFmtId="4" fontId="7" fillId="0" borderId="0" xfId="0" applyNumberFormat="1" applyFont="1" applyFill="1" applyBorder="1" applyAlignment="1">
      <alignment horizontal="center" vertical="center" wrapText="1"/>
    </xf>
    <xf numFmtId="0" fontId="7" fillId="0" borderId="0" xfId="0" applyNumberFormat="1" applyFont="1" applyBorder="1" applyAlignment="1">
      <alignment horizontal="center" vertical="center" wrapText="1"/>
    </xf>
    <xf numFmtId="170" fontId="3" fillId="0" borderId="0" xfId="0" applyNumberFormat="1" applyFont="1" applyFill="1" applyBorder="1" applyAlignment="1">
      <alignment horizontal="center" vertical="center" wrapText="1"/>
    </xf>
    <xf numFmtId="168" fontId="3" fillId="0" borderId="0" xfId="0" applyNumberFormat="1" applyFont="1" applyBorder="1" applyAlignment="1">
      <alignment horizontal="left" vertical="center"/>
    </xf>
    <xf numFmtId="0" fontId="7" fillId="0" borderId="0" xfId="0" applyFont="1" applyFill="1" applyBorder="1" applyAlignment="1">
      <alignment horizontal="center" vertical="top" wrapText="1"/>
    </xf>
    <xf numFmtId="170" fontId="7" fillId="0" borderId="0" xfId="0" applyNumberFormat="1" applyFont="1" applyFill="1" applyBorder="1" applyAlignment="1">
      <alignment horizontal="center" vertical="top" wrapText="1"/>
    </xf>
    <xf numFmtId="0" fontId="7" fillId="0" borderId="0" xfId="0" applyFont="1" applyFill="1" applyBorder="1"/>
    <xf numFmtId="170" fontId="7" fillId="0" borderId="0" xfId="0" applyNumberFormat="1" applyFont="1" applyBorder="1" applyAlignment="1">
      <alignment horizontal="center" vertical="center" wrapText="1"/>
    </xf>
    <xf numFmtId="168" fontId="7" fillId="0" borderId="0" xfId="0" applyNumberFormat="1" applyFont="1" applyFill="1" applyBorder="1" applyAlignment="1">
      <alignment vertical="center"/>
    </xf>
    <xf numFmtId="0" fontId="23" fillId="0" borderId="0" xfId="0" applyFont="1" applyBorder="1" applyAlignment="1">
      <alignment horizontal="center" vertical="center" wrapText="1"/>
    </xf>
    <xf numFmtId="168" fontId="23" fillId="0" borderId="0" xfId="0" applyNumberFormat="1" applyFont="1" applyFill="1" applyBorder="1" applyAlignment="1">
      <alignment horizontal="justify" vertical="center" wrapText="1"/>
    </xf>
    <xf numFmtId="168" fontId="23" fillId="0" borderId="0" xfId="0" applyNumberFormat="1" applyFont="1" applyBorder="1" applyAlignment="1">
      <alignment horizontal="center" vertical="center" wrapText="1"/>
    </xf>
    <xf numFmtId="0" fontId="23" fillId="0" borderId="0" xfId="0" applyFont="1" applyBorder="1" applyAlignment="1">
      <alignment vertical="center"/>
    </xf>
    <xf numFmtId="170" fontId="7" fillId="0" borderId="0" xfId="0" applyNumberFormat="1" applyFont="1" applyFill="1" applyBorder="1" applyAlignment="1">
      <alignment horizontal="center" vertical="center" wrapText="1"/>
    </xf>
    <xf numFmtId="0" fontId="7" fillId="0" borderId="0" xfId="0" applyFont="1" applyBorder="1" applyAlignment="1">
      <alignment horizontal="justify" vertical="center" wrapText="1"/>
    </xf>
    <xf numFmtId="168" fontId="7" fillId="2" borderId="0" xfId="0" applyNumberFormat="1" applyFont="1" applyFill="1" applyBorder="1" applyAlignment="1">
      <alignment horizontal="center" vertical="center" wrapText="1"/>
    </xf>
    <xf numFmtId="170" fontId="7" fillId="2" borderId="0" xfId="0" applyNumberFormat="1" applyFont="1" applyFill="1" applyBorder="1" applyAlignment="1">
      <alignment horizontal="center" vertical="center" wrapText="1"/>
    </xf>
    <xf numFmtId="10" fontId="7" fillId="0" borderId="0" xfId="0" applyNumberFormat="1" applyFont="1" applyBorder="1" applyAlignment="1">
      <alignment horizontal="center" vertical="center" wrapText="1"/>
    </xf>
    <xf numFmtId="168" fontId="23" fillId="2" borderId="0" xfId="0" applyNumberFormat="1" applyFont="1" applyFill="1" applyBorder="1" applyAlignment="1">
      <alignment horizontal="center" vertical="center" wrapText="1"/>
    </xf>
    <xf numFmtId="170" fontId="23" fillId="0" borderId="0" xfId="0" applyNumberFormat="1" applyFont="1" applyBorder="1" applyAlignment="1">
      <alignment horizontal="center" vertical="center" wrapText="1"/>
    </xf>
    <xf numFmtId="168" fontId="3" fillId="0" borderId="0" xfId="0" applyNumberFormat="1" applyFont="1" applyFill="1" applyBorder="1" applyAlignment="1">
      <alignment horizontal="justify" vertical="top" wrapText="1"/>
    </xf>
    <xf numFmtId="168" fontId="7" fillId="2" borderId="0" xfId="0" applyNumberFormat="1" applyFont="1" applyFill="1" applyBorder="1" applyAlignment="1">
      <alignment horizontal="center" vertical="top" wrapText="1"/>
    </xf>
    <xf numFmtId="0" fontId="23" fillId="0" borderId="0" xfId="0" applyFont="1" applyBorder="1" applyAlignment="1">
      <alignment horizontal="center" vertical="top" wrapText="1"/>
    </xf>
    <xf numFmtId="168" fontId="23" fillId="0" borderId="0" xfId="0" applyNumberFormat="1" applyFont="1" applyFill="1" applyBorder="1" applyAlignment="1">
      <alignment horizontal="justify" vertical="top" wrapText="1"/>
    </xf>
    <xf numFmtId="168" fontId="23" fillId="2" borderId="0" xfId="0" applyNumberFormat="1" applyFont="1" applyFill="1" applyBorder="1" applyAlignment="1">
      <alignment horizontal="center" vertical="top" wrapText="1"/>
    </xf>
    <xf numFmtId="170" fontId="23" fillId="0" borderId="0" xfId="0" applyNumberFormat="1" applyFont="1" applyBorder="1" applyAlignment="1">
      <alignment horizontal="center" vertical="top" wrapText="1"/>
    </xf>
    <xf numFmtId="168" fontId="23" fillId="0" borderId="0" xfId="0" applyNumberFormat="1" applyFont="1" applyBorder="1" applyAlignment="1">
      <alignment horizontal="center" vertical="top" wrapText="1"/>
    </xf>
    <xf numFmtId="0" fontId="23" fillId="0" borderId="0" xfId="0" applyFont="1" applyBorder="1"/>
    <xf numFmtId="0" fontId="25" fillId="0" borderId="0" xfId="0" applyFont="1" applyBorder="1" applyAlignment="1">
      <alignment horizontal="center" vertical="center" wrapText="1"/>
    </xf>
    <xf numFmtId="0" fontId="25" fillId="0" borderId="0" xfId="0" applyFont="1" applyBorder="1" applyAlignment="1">
      <alignment horizontal="justify" vertical="center" wrapText="1"/>
    </xf>
    <xf numFmtId="0" fontId="25" fillId="0" borderId="0" xfId="0" applyFont="1" applyBorder="1" applyAlignment="1">
      <alignment vertical="center"/>
    </xf>
    <xf numFmtId="170" fontId="23" fillId="0" borderId="0" xfId="0" applyNumberFormat="1" applyFont="1" applyBorder="1" applyAlignment="1">
      <alignment horizontal="right" vertical="center" wrapText="1"/>
    </xf>
    <xf numFmtId="168" fontId="23" fillId="0" borderId="0" xfId="0" applyNumberFormat="1" applyFont="1" applyBorder="1" applyAlignment="1">
      <alignment horizontal="right" vertical="center" wrapText="1"/>
    </xf>
    <xf numFmtId="168" fontId="25" fillId="0" borderId="0" xfId="0" applyNumberFormat="1" applyFont="1" applyBorder="1" applyAlignment="1">
      <alignment horizontal="right" vertical="center" wrapText="1"/>
    </xf>
    <xf numFmtId="168" fontId="7" fillId="0" borderId="0" xfId="0" applyNumberFormat="1" applyFont="1" applyBorder="1" applyAlignment="1">
      <alignment horizontal="right" vertical="center" wrapText="1"/>
    </xf>
    <xf numFmtId="168" fontId="3" fillId="0" borderId="0" xfId="0" applyNumberFormat="1" applyFont="1" applyBorder="1" applyAlignment="1">
      <alignment horizontal="right" vertical="center" wrapText="1"/>
    </xf>
    <xf numFmtId="0" fontId="7" fillId="0" borderId="0" xfId="0" applyFont="1" applyBorder="1" applyAlignment="1">
      <alignment horizontal="right" vertical="center" wrapText="1"/>
    </xf>
    <xf numFmtId="0" fontId="7" fillId="0" borderId="0" xfId="0" applyFont="1" applyBorder="1" applyAlignment="1">
      <alignment horizontal="left" vertical="center" wrapText="1"/>
    </xf>
    <xf numFmtId="170" fontId="7" fillId="0" borderId="0" xfId="0" applyNumberFormat="1" applyFont="1" applyBorder="1" applyAlignment="1">
      <alignment horizontal="left" vertical="center" wrapText="1"/>
    </xf>
    <xf numFmtId="2" fontId="17" fillId="0" borderId="0" xfId="0" applyNumberFormat="1" applyFont="1" applyBorder="1" applyAlignment="1">
      <alignment horizontal="right" vertical="center"/>
    </xf>
    <xf numFmtId="2" fontId="7" fillId="0" borderId="0" xfId="0" applyNumberFormat="1" applyFont="1" applyBorder="1" applyAlignment="1">
      <alignment horizontal="right" vertical="center" wrapText="1"/>
    </xf>
    <xf numFmtId="0" fontId="3" fillId="0" borderId="0" xfId="0" applyFont="1" applyBorder="1" applyAlignment="1">
      <alignment vertical="center" wrapText="1"/>
    </xf>
    <xf numFmtId="170" fontId="7" fillId="0" borderId="0" xfId="0" applyNumberFormat="1" applyFont="1" applyBorder="1" applyAlignment="1">
      <alignment horizontal="right" vertical="center" wrapText="1"/>
    </xf>
    <xf numFmtId="168" fontId="3" fillId="0" borderId="0" xfId="0" applyNumberFormat="1" applyFont="1" applyFill="1" applyBorder="1" applyAlignment="1">
      <alignment horizontal="right" vertical="center" wrapText="1"/>
    </xf>
    <xf numFmtId="0" fontId="7" fillId="0" borderId="0" xfId="0" applyFont="1" applyBorder="1" applyAlignment="1">
      <alignment vertical="center" wrapText="1"/>
    </xf>
    <xf numFmtId="2" fontId="3" fillId="0" borderId="0" xfId="2" applyNumberFormat="1" applyFont="1" applyFill="1" applyBorder="1" applyAlignment="1">
      <alignment horizontal="right" vertical="center"/>
    </xf>
    <xf numFmtId="0" fontId="3" fillId="0" borderId="0" xfId="0" applyFont="1" applyBorder="1" applyAlignment="1">
      <alignment horizontal="justify" vertical="top" wrapText="1"/>
    </xf>
    <xf numFmtId="2" fontId="7" fillId="0" borderId="0" xfId="0" applyNumberFormat="1" applyFont="1" applyBorder="1" applyAlignment="1">
      <alignment horizontal="center" vertical="center" wrapText="1"/>
    </xf>
    <xf numFmtId="166" fontId="7" fillId="0" borderId="0" xfId="0" applyNumberFormat="1" applyFont="1" applyBorder="1" applyAlignment="1">
      <alignment horizontal="center" vertical="center" wrapText="1"/>
    </xf>
    <xf numFmtId="2" fontId="7" fillId="0" borderId="0" xfId="0" applyNumberFormat="1" applyFont="1" applyBorder="1" applyAlignment="1">
      <alignment vertical="center" wrapText="1"/>
    </xf>
    <xf numFmtId="166" fontId="3" fillId="0" borderId="0" xfId="0" applyNumberFormat="1" applyFont="1" applyBorder="1" applyAlignment="1">
      <alignment horizontal="center" vertical="center" wrapText="1"/>
    </xf>
    <xf numFmtId="166" fontId="7" fillId="0" borderId="0" xfId="0" applyNumberFormat="1" applyFont="1" applyBorder="1" applyAlignment="1">
      <alignment horizontal="right" vertical="center" wrapText="1"/>
    </xf>
    <xf numFmtId="165" fontId="7" fillId="0" borderId="0" xfId="0" applyNumberFormat="1" applyFont="1" applyBorder="1" applyAlignment="1">
      <alignment horizontal="right" vertical="center" wrapText="1"/>
    </xf>
    <xf numFmtId="0" fontId="7" fillId="0" borderId="0" xfId="2" applyFont="1" applyFill="1" applyBorder="1" applyAlignment="1">
      <alignment horizontal="right" vertical="center"/>
    </xf>
    <xf numFmtId="2" fontId="3" fillId="0" borderId="0" xfId="0" applyNumberFormat="1" applyFont="1" applyBorder="1" applyAlignment="1">
      <alignment vertical="center" wrapText="1"/>
    </xf>
    <xf numFmtId="2" fontId="3" fillId="0" borderId="0" xfId="0" applyNumberFormat="1" applyFont="1" applyFill="1" applyBorder="1" applyAlignment="1">
      <alignment vertical="center"/>
    </xf>
    <xf numFmtId="0" fontId="3" fillId="0" borderId="0" xfId="0" applyFont="1" applyBorder="1" applyAlignment="1">
      <alignment horizontal="right" vertical="center" wrapText="1"/>
    </xf>
    <xf numFmtId="0" fontId="7" fillId="0" borderId="0" xfId="2" applyFont="1" applyFill="1" applyBorder="1" applyAlignment="1">
      <alignment horizontal="center" vertical="center"/>
    </xf>
    <xf numFmtId="0" fontId="7" fillId="0" borderId="0" xfId="0" applyFont="1" applyBorder="1" applyAlignment="1">
      <alignment horizontal="center" vertical="justify" wrapText="1"/>
    </xf>
    <xf numFmtId="0" fontId="7" fillId="0" borderId="0" xfId="0" applyFont="1" applyBorder="1" applyAlignment="1">
      <alignment vertical="justify" wrapText="1"/>
    </xf>
    <xf numFmtId="2" fontId="3" fillId="0" borderId="0" xfId="0" applyNumberFormat="1" applyFont="1" applyBorder="1" applyAlignment="1">
      <alignment horizontal="right" vertical="center" wrapText="1"/>
    </xf>
    <xf numFmtId="0" fontId="7" fillId="0" borderId="0" xfId="2" applyFont="1" applyFill="1" applyBorder="1" applyAlignment="1">
      <alignment vertical="center"/>
    </xf>
    <xf numFmtId="0" fontId="7" fillId="0" borderId="0" xfId="0" applyFont="1" applyFill="1" applyBorder="1" applyAlignment="1">
      <alignment vertical="center" wrapText="1"/>
    </xf>
    <xf numFmtId="0" fontId="7" fillId="0" borderId="0" xfId="0" applyFont="1" applyFill="1" applyBorder="1" applyAlignment="1">
      <alignment vertical="top"/>
    </xf>
    <xf numFmtId="0" fontId="7" fillId="0" borderId="0" xfId="0" applyFont="1" applyFill="1" applyBorder="1" applyAlignment="1">
      <alignment horizontal="justify" vertical="top" wrapText="1"/>
    </xf>
    <xf numFmtId="0" fontId="7" fillId="0" borderId="0" xfId="0" applyNumberFormat="1" applyFont="1" applyFill="1" applyBorder="1" applyAlignment="1">
      <alignment horizontal="center" vertical="top"/>
    </xf>
    <xf numFmtId="0" fontId="7" fillId="0" borderId="0" xfId="0" applyFont="1" applyFill="1" applyBorder="1" applyAlignment="1">
      <alignment horizontal="center" vertical="top" shrinkToFit="1"/>
    </xf>
    <xf numFmtId="0" fontId="7" fillId="0" borderId="0" xfId="0" applyFont="1" applyFill="1" applyBorder="1" applyAlignment="1">
      <alignment horizontal="left" vertical="top" wrapText="1"/>
    </xf>
    <xf numFmtId="2" fontId="7" fillId="0" borderId="0" xfId="0" applyNumberFormat="1" applyFont="1" applyFill="1" applyBorder="1" applyAlignment="1">
      <alignment vertical="top" shrinkToFit="1"/>
    </xf>
    <xf numFmtId="2" fontId="7" fillId="0" borderId="0" xfId="0" applyNumberFormat="1" applyFont="1" applyFill="1" applyBorder="1" applyAlignment="1">
      <alignment horizontal="center" vertical="top" shrinkToFit="1"/>
    </xf>
    <xf numFmtId="0" fontId="7" fillId="0" borderId="0" xfId="0" applyFont="1" applyFill="1" applyBorder="1" applyAlignment="1">
      <alignment horizontal="right" vertical="top" wrapText="1"/>
    </xf>
    <xf numFmtId="0" fontId="7" fillId="0" borderId="0" xfId="0" applyFont="1" applyFill="1" applyBorder="1" applyAlignment="1">
      <alignment vertical="top" wrapText="1"/>
    </xf>
    <xf numFmtId="2" fontId="7" fillId="0" borderId="0" xfId="0" applyNumberFormat="1" applyFont="1" applyFill="1" applyBorder="1" applyAlignment="1">
      <alignment horizontal="right" vertical="top" shrinkToFit="1"/>
    </xf>
    <xf numFmtId="0" fontId="7" fillId="0" borderId="0" xfId="0" applyNumberFormat="1" applyFont="1" applyFill="1" applyBorder="1" applyAlignment="1">
      <alignment vertical="top" wrapText="1"/>
    </xf>
    <xf numFmtId="0" fontId="7" fillId="0" borderId="0" xfId="0" applyFont="1" applyFill="1" applyBorder="1" applyAlignment="1">
      <alignment horizontal="left" vertical="top"/>
    </xf>
    <xf numFmtId="2" fontId="7" fillId="0" borderId="0" xfId="0" applyNumberFormat="1" applyFont="1" applyFill="1" applyBorder="1" applyAlignment="1">
      <alignment horizontal="center" vertical="top"/>
    </xf>
    <xf numFmtId="0" fontId="7" fillId="0" borderId="0" xfId="0" applyFont="1" applyBorder="1" applyAlignment="1">
      <alignment horizontal="justify" vertical="top" wrapText="1"/>
    </xf>
    <xf numFmtId="0" fontId="18" fillId="0" borderId="0" xfId="0" applyFont="1" applyBorder="1" applyAlignment="1">
      <alignment horizontal="center" vertical="top" wrapText="1"/>
    </xf>
    <xf numFmtId="2" fontId="0" fillId="0" borderId="0" xfId="0" applyNumberFormat="1" applyAlignment="1">
      <alignment horizontal="center" vertical="center"/>
    </xf>
    <xf numFmtId="2" fontId="19" fillId="0" borderId="0" xfId="0" applyNumberFormat="1" applyFont="1" applyAlignment="1">
      <alignment horizontal="center" vertical="center"/>
    </xf>
    <xf numFmtId="0" fontId="19" fillId="0" borderId="0" xfId="0" applyFont="1" applyAlignment="1">
      <alignment vertical="center"/>
    </xf>
    <xf numFmtId="1" fontId="19" fillId="0" borderId="0" xfId="0" applyNumberFormat="1" applyFont="1" applyAlignment="1">
      <alignment horizontal="center" vertical="center"/>
    </xf>
    <xf numFmtId="1" fontId="19" fillId="0" borderId="0" xfId="0" applyNumberFormat="1" applyFont="1" applyAlignment="1">
      <alignment vertical="center"/>
    </xf>
    <xf numFmtId="2" fontId="27" fillId="0" borderId="0" xfId="0" applyNumberFormat="1" applyFont="1" applyAlignment="1">
      <alignment horizontal="center" vertical="center"/>
    </xf>
    <xf numFmtId="0" fontId="27" fillId="0" borderId="0" xfId="0" applyFont="1" applyAlignment="1">
      <alignment vertical="center"/>
    </xf>
    <xf numFmtId="2" fontId="28" fillId="0" borderId="0" xfId="0" applyNumberFormat="1" applyFont="1" applyAlignment="1">
      <alignment horizontal="center" vertical="center"/>
    </xf>
    <xf numFmtId="0" fontId="28" fillId="0" borderId="0" xfId="0" applyFont="1" applyAlignment="1">
      <alignment vertical="center"/>
    </xf>
    <xf numFmtId="0" fontId="29" fillId="0" borderId="0" xfId="0" applyFont="1" applyAlignment="1">
      <alignment vertical="center"/>
    </xf>
    <xf numFmtId="0" fontId="31" fillId="0" borderId="0" xfId="0" applyFont="1" applyBorder="1" applyAlignment="1">
      <alignment horizontal="center" vertical="center" wrapText="1"/>
    </xf>
    <xf numFmtId="0" fontId="30" fillId="0" borderId="0" xfId="0" applyFont="1" applyBorder="1" applyAlignment="1">
      <alignment horizontal="center" vertical="center"/>
    </xf>
    <xf numFmtId="0" fontId="6" fillId="0" borderId="0" xfId="0" applyFont="1" applyBorder="1" applyAlignment="1">
      <alignment horizontal="center" vertical="center"/>
    </xf>
    <xf numFmtId="0" fontId="32" fillId="0" borderId="0" xfId="0" applyFont="1" applyBorder="1" applyAlignment="1">
      <alignment horizontal="center" vertical="center" wrapText="1"/>
    </xf>
    <xf numFmtId="169" fontId="32" fillId="0" borderId="0" xfId="0" applyNumberFormat="1" applyFont="1" applyBorder="1" applyAlignment="1">
      <alignment horizontal="center" vertical="center" wrapText="1"/>
    </xf>
    <xf numFmtId="169" fontId="9" fillId="0" borderId="0" xfId="0" applyNumberFormat="1" applyFont="1" applyBorder="1" applyAlignment="1">
      <alignment horizontal="center" vertical="center" wrapText="1"/>
    </xf>
    <xf numFmtId="0" fontId="9" fillId="0" borderId="0" xfId="0" applyFont="1" applyBorder="1" applyAlignment="1">
      <alignment horizontal="center" vertical="center"/>
    </xf>
    <xf numFmtId="0" fontId="9"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33" fillId="0" borderId="0" xfId="0" applyFont="1" applyBorder="1" applyAlignment="1">
      <alignment horizontal="center" vertical="center"/>
    </xf>
    <xf numFmtId="0" fontId="34" fillId="0" borderId="0" xfId="0" applyFont="1" applyBorder="1" applyAlignment="1">
      <alignment horizontal="center" vertical="center"/>
    </xf>
    <xf numFmtId="0" fontId="6" fillId="0" borderId="0" xfId="0" applyFont="1" applyBorder="1" applyAlignment="1">
      <alignment horizontal="center" vertical="center" wrapText="1"/>
    </xf>
    <xf numFmtId="0" fontId="9" fillId="0" borderId="0" xfId="0" applyFont="1" applyFill="1" applyBorder="1" applyAlignment="1">
      <alignment horizontal="right" vertical="top" shrinkToFit="1"/>
    </xf>
    <xf numFmtId="0" fontId="9" fillId="0" borderId="0" xfId="0" applyFont="1" applyBorder="1"/>
    <xf numFmtId="2" fontId="9" fillId="0" borderId="0" xfId="0" applyNumberFormat="1" applyFont="1" applyFill="1" applyBorder="1" applyAlignment="1">
      <alignment horizontal="right" vertical="top"/>
    </xf>
    <xf numFmtId="0" fontId="7" fillId="0" borderId="0" xfId="0" applyFont="1"/>
    <xf numFmtId="0" fontId="4" fillId="0" borderId="0" xfId="0" applyFont="1" applyBorder="1" applyAlignment="1">
      <alignment horizontal="center" vertical="top" wrapText="1"/>
    </xf>
    <xf numFmtId="168" fontId="4" fillId="0" borderId="0" xfId="0" applyNumberFormat="1" applyFont="1" applyBorder="1" applyAlignment="1">
      <alignment horizontal="center" vertical="top" wrapText="1"/>
    </xf>
    <xf numFmtId="168" fontId="37" fillId="0" borderId="0" xfId="0" applyNumberFormat="1" applyFont="1" applyBorder="1" applyAlignment="1">
      <alignment horizontal="center" vertical="top" wrapText="1"/>
    </xf>
    <xf numFmtId="0" fontId="0" fillId="0" borderId="0" xfId="0" applyFont="1" applyBorder="1"/>
    <xf numFmtId="0" fontId="17" fillId="0" borderId="0" xfId="0" applyFont="1" applyBorder="1" applyAlignment="1">
      <alignment horizontal="center" vertical="center"/>
    </xf>
    <xf numFmtId="168" fontId="35" fillId="0" borderId="0" xfId="0" applyNumberFormat="1" applyFont="1" applyFill="1" applyBorder="1" applyAlignment="1">
      <alignment horizontal="justify" vertical="top" wrapText="1"/>
    </xf>
    <xf numFmtId="0" fontId="0" fillId="0" borderId="0" xfId="0" applyFont="1" applyBorder="1" applyAlignment="1">
      <alignment horizontal="center" vertical="center"/>
    </xf>
    <xf numFmtId="168" fontId="35" fillId="0" borderId="0" xfId="0" applyNumberFormat="1" applyFont="1" applyBorder="1" applyAlignment="1">
      <alignment horizontal="justify" vertical="top" wrapText="1"/>
    </xf>
    <xf numFmtId="0" fontId="0" fillId="0" borderId="0" xfId="0" applyFont="1" applyFill="1" applyBorder="1" applyAlignment="1">
      <alignment horizontal="center" vertical="center"/>
    </xf>
    <xf numFmtId="0" fontId="4" fillId="0" borderId="0" xfId="0" applyFont="1" applyFill="1" applyBorder="1" applyAlignment="1">
      <alignment horizontal="center" vertical="top" wrapText="1"/>
    </xf>
    <xf numFmtId="168" fontId="4" fillId="0" borderId="0" xfId="0" applyNumberFormat="1" applyFont="1" applyFill="1" applyBorder="1" applyAlignment="1">
      <alignment horizontal="center" vertical="top" wrapText="1"/>
    </xf>
    <xf numFmtId="170" fontId="4" fillId="0" borderId="0" xfId="0" applyNumberFormat="1" applyFont="1" applyFill="1" applyBorder="1" applyAlignment="1">
      <alignment horizontal="center" vertical="top" wrapText="1"/>
    </xf>
    <xf numFmtId="170" fontId="4" fillId="0" borderId="0" xfId="0" applyNumberFormat="1" applyFont="1" applyBorder="1" applyAlignment="1">
      <alignment horizontal="center" vertical="top" wrapText="1"/>
    </xf>
    <xf numFmtId="10" fontId="4" fillId="0" borderId="0" xfId="0" applyNumberFormat="1" applyFont="1" applyFill="1" applyBorder="1" applyAlignment="1">
      <alignment horizontal="center" vertical="top" wrapText="1"/>
    </xf>
    <xf numFmtId="168" fontId="36" fillId="0" borderId="0" xfId="0" applyNumberFormat="1" applyFont="1" applyFill="1" applyBorder="1" applyAlignment="1">
      <alignment horizontal="justify" vertical="top" wrapText="1"/>
    </xf>
    <xf numFmtId="168" fontId="4" fillId="2" borderId="0" xfId="0" applyNumberFormat="1" applyFont="1" applyFill="1" applyBorder="1" applyAlignment="1">
      <alignment horizontal="center" vertical="top" wrapText="1"/>
    </xf>
    <xf numFmtId="170" fontId="4" fillId="2" borderId="0" xfId="0" applyNumberFormat="1" applyFont="1" applyFill="1" applyBorder="1" applyAlignment="1">
      <alignment horizontal="center" vertical="top" wrapText="1"/>
    </xf>
    <xf numFmtId="170" fontId="37" fillId="2" borderId="0" xfId="0" applyNumberFormat="1" applyFont="1" applyFill="1" applyBorder="1" applyAlignment="1">
      <alignment horizontal="center" vertical="top" wrapText="1"/>
    </xf>
    <xf numFmtId="168" fontId="0" fillId="0" borderId="0" xfId="0" applyNumberFormat="1" applyFont="1" applyBorder="1"/>
    <xf numFmtId="2" fontId="0" fillId="0" borderId="0" xfId="0" applyNumberFormat="1" applyFont="1" applyBorder="1"/>
    <xf numFmtId="0" fontId="0" fillId="0" borderId="0" xfId="0" applyFont="1" applyFill="1" applyBorder="1"/>
    <xf numFmtId="168" fontId="3" fillId="0" borderId="0" xfId="0" applyNumberFormat="1" applyFont="1" applyBorder="1" applyAlignment="1">
      <alignment horizontal="center" vertical="top" wrapText="1"/>
    </xf>
    <xf numFmtId="168" fontId="39" fillId="0" borderId="0" xfId="0" applyNumberFormat="1" applyFont="1" applyBorder="1" applyAlignment="1">
      <alignment horizontal="center" vertical="center" wrapText="1"/>
    </xf>
    <xf numFmtId="168" fontId="39" fillId="0" borderId="0" xfId="0" applyNumberFormat="1" applyFont="1" applyBorder="1" applyAlignment="1">
      <alignment horizontal="center" vertical="top" wrapText="1"/>
    </xf>
    <xf numFmtId="1" fontId="3" fillId="0" borderId="0" xfId="0" applyNumberFormat="1" applyFont="1"/>
    <xf numFmtId="1" fontId="4" fillId="0" borderId="0" xfId="0" applyNumberFormat="1" applyFont="1"/>
    <xf numFmtId="0" fontId="4" fillId="0" borderId="2" xfId="0" applyFont="1" applyBorder="1"/>
    <xf numFmtId="0" fontId="4" fillId="0" borderId="3" xfId="0" applyFont="1" applyBorder="1" applyAlignment="1">
      <alignment horizontal="center" vertical="center"/>
    </xf>
    <xf numFmtId="168" fontId="24" fillId="0" borderId="0" xfId="0" applyNumberFormat="1" applyFont="1" applyBorder="1" applyAlignment="1">
      <alignment horizontal="justify" vertical="top" wrapText="1"/>
    </xf>
    <xf numFmtId="168" fontId="4" fillId="0" borderId="0" xfId="0" applyNumberFormat="1" applyFont="1" applyFill="1" applyBorder="1" applyAlignment="1">
      <alignment horizontal="justify" vertical="top" wrapText="1"/>
    </xf>
    <xf numFmtId="168" fontId="41" fillId="0" borderId="0" xfId="0" applyNumberFormat="1" applyFont="1" applyBorder="1" applyAlignment="1">
      <alignment horizontal="justify" vertical="top" wrapText="1"/>
    </xf>
    <xf numFmtId="2" fontId="31" fillId="0" borderId="0" xfId="0" applyNumberFormat="1" applyFont="1" applyBorder="1" applyAlignment="1">
      <alignment horizontal="center" vertical="center" wrapText="1"/>
    </xf>
    <xf numFmtId="0" fontId="32" fillId="0" borderId="0" xfId="0" applyFont="1" applyBorder="1" applyAlignment="1">
      <alignment vertical="center"/>
    </xf>
    <xf numFmtId="0" fontId="42" fillId="0" borderId="0" xfId="6" applyFont="1" applyBorder="1" applyAlignment="1">
      <alignment horizontal="center" vertical="center"/>
    </xf>
    <xf numFmtId="0" fontId="42" fillId="0" borderId="0" xfId="6" applyFont="1" applyBorder="1" applyAlignment="1">
      <alignment vertical="center" shrinkToFit="1"/>
    </xf>
    <xf numFmtId="2" fontId="4" fillId="0" borderId="0" xfId="0" applyNumberFormat="1" applyFont="1" applyBorder="1" applyAlignment="1">
      <alignment horizontal="left" vertical="center" wrapText="1"/>
    </xf>
    <xf numFmtId="2" fontId="42" fillId="0" borderId="0" xfId="6" applyNumberFormat="1" applyFont="1" applyBorder="1" applyAlignment="1">
      <alignment horizontal="center" vertical="center" shrinkToFit="1"/>
    </xf>
    <xf numFmtId="2" fontId="37" fillId="0" borderId="0" xfId="6" applyNumberFormat="1" applyFont="1" applyBorder="1" applyAlignment="1">
      <alignment horizontal="center" vertical="center" shrinkToFit="1"/>
    </xf>
    <xf numFmtId="2" fontId="4" fillId="0" borderId="0" xfId="0" applyNumberFormat="1" applyFont="1" applyBorder="1" applyAlignment="1">
      <alignment horizontal="center" vertical="center"/>
    </xf>
    <xf numFmtId="0" fontId="42" fillId="0" borderId="0" xfId="6" applyFont="1" applyBorder="1"/>
    <xf numFmtId="2" fontId="42" fillId="0" borderId="0" xfId="6" applyNumberFormat="1" applyFont="1" applyBorder="1"/>
    <xf numFmtId="0" fontId="42" fillId="0" borderId="0" xfId="6" applyFont="1" applyBorder="1" applyAlignment="1">
      <alignment vertical="center" wrapText="1"/>
    </xf>
    <xf numFmtId="0" fontId="43" fillId="0" borderId="0" xfId="0" applyFont="1" applyBorder="1" applyAlignment="1">
      <alignment vertical="top"/>
    </xf>
    <xf numFmtId="0" fontId="4" fillId="0" borderId="0" xfId="0" applyFont="1" applyBorder="1" applyAlignment="1">
      <alignment vertical="top"/>
    </xf>
    <xf numFmtId="0" fontId="42" fillId="0" borderId="0" xfId="6" applyFont="1" applyBorder="1" applyAlignment="1">
      <alignment horizontal="center"/>
    </xf>
    <xf numFmtId="0" fontId="0" fillId="0" borderId="1" xfId="0" applyBorder="1" applyAlignment="1">
      <alignment horizontal="center"/>
    </xf>
    <xf numFmtId="0" fontId="35" fillId="0" borderId="0" xfId="0" applyFont="1" applyBorder="1" applyAlignment="1">
      <alignment horizontal="justify" vertical="center" wrapText="1"/>
    </xf>
    <xf numFmtId="0" fontId="4" fillId="0" borderId="0" xfId="0" applyNumberFormat="1" applyFont="1" applyFill="1" applyBorder="1" applyAlignment="1">
      <alignment horizontal="center" vertical="top"/>
    </xf>
    <xf numFmtId="2" fontId="0" fillId="0" borderId="0" xfId="0" applyNumberFormat="1" applyFont="1" applyFill="1" applyBorder="1"/>
    <xf numFmtId="0" fontId="32" fillId="0" borderId="0" xfId="0" applyFont="1" applyBorder="1" applyAlignment="1">
      <alignment horizontal="center" wrapText="1"/>
    </xf>
    <xf numFmtId="0" fontId="32" fillId="0" borderId="0" xfId="0" applyFont="1" applyBorder="1" applyAlignment="1">
      <alignment wrapText="1"/>
    </xf>
    <xf numFmtId="168" fontId="24" fillId="0" borderId="0" xfId="0" applyNumberFormat="1" applyFont="1" applyBorder="1" applyAlignment="1">
      <alignment horizontal="center" vertical="center" wrapText="1"/>
    </xf>
    <xf numFmtId="0" fontId="4" fillId="0" borderId="0" xfId="0" applyFont="1" applyAlignment="1">
      <alignment horizontal="justify" vertical="justify" wrapText="1"/>
    </xf>
    <xf numFmtId="2" fontId="7" fillId="0" borderId="0" xfId="0" applyNumberFormat="1" applyFont="1" applyFill="1" applyBorder="1" applyAlignment="1">
      <alignment horizontal="center" vertical="center" shrinkToFit="1"/>
    </xf>
    <xf numFmtId="2" fontId="3" fillId="0" borderId="0" xfId="0" applyNumberFormat="1" applyFont="1" applyFill="1" applyBorder="1" applyAlignment="1">
      <alignment horizontal="center" vertical="center" shrinkToFit="1"/>
    </xf>
    <xf numFmtId="2" fontId="3" fillId="0" borderId="0" xfId="0" applyNumberFormat="1" applyFont="1" applyFill="1" applyBorder="1" applyAlignment="1">
      <alignment horizontal="right" vertical="center" shrinkToFit="1"/>
    </xf>
    <xf numFmtId="2" fontId="7" fillId="0" borderId="0" xfId="0" applyNumberFormat="1" applyFont="1" applyFill="1" applyBorder="1" applyAlignment="1">
      <alignment vertical="center" shrinkToFit="1"/>
    </xf>
    <xf numFmtId="2" fontId="7" fillId="0" borderId="0" xfId="0" applyNumberFormat="1" applyFont="1" applyFill="1" applyBorder="1" applyAlignment="1">
      <alignment horizontal="right" vertical="center" shrinkToFit="1"/>
    </xf>
    <xf numFmtId="169" fontId="3" fillId="0" borderId="0"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shrinkToFit="1"/>
    </xf>
    <xf numFmtId="2" fontId="7" fillId="0" borderId="0" xfId="0" applyNumberFormat="1" applyFont="1" applyFill="1" applyBorder="1" applyAlignment="1">
      <alignment horizontal="center" vertical="center" wrapText="1"/>
    </xf>
    <xf numFmtId="2" fontId="3" fillId="0" borderId="0" xfId="0" applyNumberFormat="1" applyFont="1" applyFill="1" applyBorder="1" applyAlignment="1">
      <alignment vertical="center" shrinkToFit="1"/>
    </xf>
    <xf numFmtId="166" fontId="7" fillId="0" borderId="0" xfId="0" applyNumberFormat="1" applyFont="1" applyFill="1" applyBorder="1" applyAlignment="1">
      <alignment horizontal="center" vertical="center" wrapText="1"/>
    </xf>
    <xf numFmtId="0" fontId="45" fillId="0" borderId="0" xfId="0" applyFont="1" applyFill="1" applyBorder="1" applyAlignment="1">
      <alignment horizontal="center" vertical="center"/>
    </xf>
    <xf numFmtId="9" fontId="47" fillId="0" borderId="0" xfId="0" applyNumberFormat="1" applyFont="1" applyFill="1" applyBorder="1" applyAlignment="1">
      <alignment horizontal="center" vertical="top" wrapText="1"/>
    </xf>
    <xf numFmtId="0" fontId="48" fillId="0" borderId="0" xfId="0" applyFont="1" applyFill="1" applyBorder="1"/>
    <xf numFmtId="0" fontId="15" fillId="0" borderId="0" xfId="0" applyFont="1" applyFill="1" applyBorder="1" applyAlignment="1">
      <alignment horizontal="center" vertical="center" wrapText="1"/>
    </xf>
    <xf numFmtId="169" fontId="15" fillId="0" borderId="0" xfId="0" applyNumberFormat="1" applyFont="1" applyFill="1" applyBorder="1" applyAlignment="1">
      <alignment horizontal="center" vertical="center" wrapText="1"/>
    </xf>
    <xf numFmtId="169" fontId="45" fillId="0" borderId="0" xfId="0" applyNumberFormat="1" applyFont="1" applyFill="1" applyBorder="1" applyAlignment="1">
      <alignment horizontal="center" vertical="center" wrapText="1"/>
    </xf>
    <xf numFmtId="0" fontId="48" fillId="0" borderId="0" xfId="0" applyFont="1" applyFill="1" applyBorder="1" applyAlignment="1">
      <alignment horizontal="justify" vertical="top" wrapText="1"/>
    </xf>
    <xf numFmtId="0" fontId="49" fillId="0" borderId="0" xfId="0" applyFont="1" applyFill="1" applyBorder="1" applyAlignment="1">
      <alignment horizontal="center" vertical="top" wrapText="1"/>
    </xf>
    <xf numFmtId="168" fontId="48" fillId="0" borderId="0" xfId="0" applyNumberFormat="1" applyFont="1" applyFill="1" applyBorder="1" applyAlignment="1">
      <alignment horizontal="center" vertical="top" wrapText="1"/>
    </xf>
    <xf numFmtId="168" fontId="48" fillId="0" borderId="0" xfId="0" applyNumberFormat="1" applyFont="1" applyFill="1" applyBorder="1" applyAlignment="1">
      <alignment horizontal="right" vertical="top" wrapText="1"/>
    </xf>
    <xf numFmtId="0" fontId="48" fillId="0" borderId="0" xfId="6" applyFont="1" applyFill="1" applyBorder="1" applyAlignment="1">
      <alignment vertical="center"/>
    </xf>
    <xf numFmtId="0" fontId="50" fillId="0" borderId="0" xfId="6" applyFont="1" applyFill="1" applyBorder="1" applyAlignment="1">
      <alignment horizontal="center" vertical="center"/>
    </xf>
    <xf numFmtId="0" fontId="48" fillId="0" borderId="0" xfId="6" applyFont="1" applyFill="1" applyBorder="1" applyAlignment="1">
      <alignment horizontal="center" vertical="center"/>
    </xf>
    <xf numFmtId="2" fontId="6" fillId="0" borderId="0" xfId="0" applyNumberFormat="1" applyFont="1" applyFill="1" applyBorder="1" applyAlignment="1">
      <alignment horizontal="center" vertical="center" shrinkToFit="1"/>
    </xf>
    <xf numFmtId="0" fontId="51" fillId="0" borderId="0" xfId="6" applyFont="1" applyFill="1" applyBorder="1" applyAlignment="1">
      <alignment horizontal="centerContinuous" vertical="center"/>
    </xf>
    <xf numFmtId="0" fontId="51" fillId="0" borderId="0" xfId="6" applyFont="1" applyFill="1" applyBorder="1" applyAlignment="1">
      <alignment horizontal="center" vertical="center"/>
    </xf>
    <xf numFmtId="0" fontId="45" fillId="0" borderId="0" xfId="6" applyFont="1" applyFill="1" applyBorder="1" applyAlignment="1">
      <alignment horizontal="centerContinuous" vertical="center"/>
    </xf>
    <xf numFmtId="0" fontId="45" fillId="0" borderId="0" xfId="6" applyFont="1" applyFill="1" applyBorder="1"/>
    <xf numFmtId="0" fontId="32" fillId="0" borderId="0" xfId="6" applyFont="1" applyFill="1" applyBorder="1" applyAlignment="1">
      <alignment horizontal="center" vertical="center" wrapText="1"/>
    </xf>
    <xf numFmtId="0" fontId="32" fillId="0" borderId="0" xfId="6" applyFont="1" applyFill="1" applyBorder="1" applyAlignment="1">
      <alignment vertical="center"/>
    </xf>
    <xf numFmtId="0" fontId="4" fillId="0" borderId="0" xfId="0" applyFont="1" applyFill="1" applyBorder="1" applyAlignment="1">
      <alignment horizontal="center" vertical="center"/>
    </xf>
    <xf numFmtId="168" fontId="4" fillId="0" borderId="0" xfId="0" applyNumberFormat="1" applyFont="1" applyFill="1" applyBorder="1" applyAlignment="1">
      <alignment vertical="center" wrapText="1"/>
    </xf>
    <xf numFmtId="0" fontId="45" fillId="0" borderId="0" xfId="6" applyFont="1" applyFill="1" applyBorder="1" applyAlignment="1">
      <alignment vertical="top"/>
    </xf>
    <xf numFmtId="0" fontId="45" fillId="0" borderId="0" xfId="6" applyFont="1" applyFill="1" applyBorder="1" applyAlignment="1">
      <alignment horizontal="center" vertical="top"/>
    </xf>
    <xf numFmtId="0" fontId="45" fillId="0" borderId="0" xfId="6" applyFont="1" applyFill="1" applyBorder="1" applyAlignment="1">
      <alignment horizontal="center"/>
    </xf>
    <xf numFmtId="0" fontId="52" fillId="0" borderId="0" xfId="6" applyFont="1" applyFill="1" applyBorder="1" applyAlignment="1">
      <alignment horizontal="center" vertical="center"/>
    </xf>
    <xf numFmtId="0" fontId="52" fillId="0" borderId="0" xfId="6" applyFont="1" applyFill="1" applyBorder="1" applyAlignment="1">
      <alignment vertical="center" wrapText="1"/>
    </xf>
    <xf numFmtId="0" fontId="52" fillId="0" borderId="0" xfId="6" applyFont="1" applyFill="1" applyBorder="1" applyAlignment="1">
      <alignment vertical="center"/>
    </xf>
    <xf numFmtId="2" fontId="4" fillId="0" borderId="0" xfId="0" applyNumberFormat="1" applyFont="1" applyFill="1" applyBorder="1" applyAlignment="1">
      <alignment horizontal="center" vertical="center" wrapText="1"/>
    </xf>
    <xf numFmtId="0" fontId="4" fillId="0" borderId="0" xfId="0" applyFont="1" applyAlignment="1">
      <alignment horizontal="left"/>
    </xf>
    <xf numFmtId="0" fontId="4" fillId="0" borderId="0" xfId="0" applyFont="1" applyAlignment="1">
      <alignment horizontal="center"/>
    </xf>
    <xf numFmtId="0" fontId="4" fillId="0" borderId="0" xfId="0" applyFont="1" applyAlignment="1"/>
    <xf numFmtId="0" fontId="4" fillId="0" borderId="0" xfId="0" applyFont="1" applyAlignment="1">
      <alignment horizontal="right"/>
    </xf>
    <xf numFmtId="2" fontId="4" fillId="0" borderId="0" xfId="0" applyNumberFormat="1" applyFont="1"/>
    <xf numFmtId="0" fontId="4" fillId="0" borderId="0" xfId="0" applyFont="1" applyAlignment="1">
      <alignment horizontal="right" vertical="justify" wrapText="1"/>
    </xf>
    <xf numFmtId="2" fontId="4" fillId="0" borderId="0" xfId="0" applyNumberFormat="1" applyFont="1" applyAlignment="1">
      <alignment horizontal="center"/>
    </xf>
    <xf numFmtId="0" fontId="6" fillId="0" borderId="0" xfId="0" applyFont="1" applyAlignment="1">
      <alignment horizontal="center"/>
    </xf>
    <xf numFmtId="0" fontId="6" fillId="0" borderId="0" xfId="0" applyFont="1" applyAlignment="1"/>
    <xf numFmtId="0" fontId="4" fillId="0" borderId="0" xfId="0" applyFont="1" applyBorder="1" applyAlignment="1">
      <alignment vertical="justify" wrapText="1"/>
    </xf>
    <xf numFmtId="0" fontId="35" fillId="0" borderId="0" xfId="0" applyFont="1"/>
    <xf numFmtId="0" fontId="6" fillId="0" borderId="0" xfId="0" applyFont="1" applyFill="1" applyBorder="1" applyAlignment="1">
      <alignment vertical="center" wrapText="1"/>
    </xf>
    <xf numFmtId="168" fontId="6" fillId="0" borderId="0" xfId="0" applyNumberFormat="1" applyFont="1" applyFill="1" applyBorder="1" applyAlignment="1">
      <alignment horizontal="center" vertical="center" wrapText="1"/>
    </xf>
    <xf numFmtId="168" fontId="6" fillId="0" borderId="0" xfId="0" applyNumberFormat="1" applyFont="1" applyFill="1" applyBorder="1" applyAlignment="1">
      <alignment horizontal="right" vertical="center" wrapText="1"/>
    </xf>
    <xf numFmtId="169" fontId="53" fillId="0" borderId="0" xfId="0" applyNumberFormat="1" applyFont="1" applyFill="1" applyBorder="1" applyAlignment="1">
      <alignment horizontal="center" vertical="center" wrapText="1"/>
    </xf>
    <xf numFmtId="2" fontId="4" fillId="0" borderId="0" xfId="0" applyNumberFormat="1" applyFont="1" applyFill="1" applyBorder="1" applyAlignment="1">
      <alignment horizontal="center" vertical="center" shrinkToFit="1"/>
    </xf>
    <xf numFmtId="169" fontId="53" fillId="0" borderId="0" xfId="0" applyNumberFormat="1" applyFont="1" applyFill="1" applyBorder="1" applyAlignment="1">
      <alignment horizontal="right" vertical="center" wrapText="1"/>
    </xf>
    <xf numFmtId="0" fontId="6" fillId="0" borderId="0" xfId="0" applyNumberFormat="1" applyFont="1" applyFill="1" applyBorder="1" applyAlignment="1">
      <alignment horizontal="justify" vertical="center" wrapText="1"/>
    </xf>
    <xf numFmtId="0" fontId="4" fillId="0" borderId="0" xfId="0" applyNumberFormat="1" applyFont="1" applyFill="1" applyBorder="1" applyAlignment="1">
      <alignment horizontal="center" vertical="center" wrapText="1"/>
    </xf>
    <xf numFmtId="2" fontId="6" fillId="0" borderId="0" xfId="0" applyNumberFormat="1" applyFont="1" applyFill="1" applyBorder="1" applyAlignment="1">
      <alignment horizontal="center" vertical="center" wrapText="1"/>
    </xf>
    <xf numFmtId="169" fontId="4" fillId="0" borderId="0" xfId="0" applyNumberFormat="1" applyFont="1" applyFill="1" applyBorder="1" applyAlignment="1">
      <alignment horizontal="center" vertical="center" wrapText="1"/>
    </xf>
    <xf numFmtId="169" fontId="6" fillId="0" borderId="0" xfId="0" applyNumberFormat="1" applyFont="1" applyFill="1" applyBorder="1" applyAlignment="1">
      <alignment horizontal="center" vertical="center" wrapText="1"/>
    </xf>
    <xf numFmtId="0" fontId="4" fillId="0" borderId="0" xfId="0" applyFont="1" applyFill="1" applyBorder="1" applyAlignment="1">
      <alignment horizontal="center" vertical="center" shrinkToFit="1"/>
    </xf>
    <xf numFmtId="168" fontId="4" fillId="0" borderId="0" xfId="0" applyNumberFormat="1" applyFont="1" applyFill="1" applyBorder="1" applyAlignment="1">
      <alignment horizontal="justify" vertical="center" shrinkToFit="1"/>
    </xf>
    <xf numFmtId="0" fontId="6" fillId="0" borderId="0" xfId="0" applyFont="1" applyFill="1" applyBorder="1" applyAlignment="1">
      <alignment horizontal="right" vertical="center" shrinkToFit="1"/>
    </xf>
    <xf numFmtId="2" fontId="4" fillId="0" borderId="0" xfId="0" applyNumberFormat="1" applyFont="1" applyFill="1" applyBorder="1" applyAlignment="1">
      <alignment horizontal="right" vertical="center" shrinkToFit="1"/>
    </xf>
    <xf numFmtId="2" fontId="6" fillId="0" borderId="0" xfId="0" applyNumberFormat="1" applyFont="1" applyFill="1" applyBorder="1" applyAlignment="1">
      <alignment horizontal="right" vertical="center" shrinkToFit="1"/>
    </xf>
    <xf numFmtId="0" fontId="4"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xf>
    <xf numFmtId="2" fontId="4" fillId="0" borderId="0" xfId="0" applyNumberFormat="1" applyFont="1" applyFill="1" applyBorder="1" applyAlignment="1">
      <alignment vertical="center" wrapText="1"/>
    </xf>
    <xf numFmtId="0" fontId="4" fillId="0" borderId="0" xfId="0" applyFont="1" applyFill="1" applyBorder="1" applyAlignment="1">
      <alignment horizontal="right" vertical="center" wrapText="1"/>
    </xf>
    <xf numFmtId="0" fontId="4" fillId="0" borderId="0" xfId="0" applyFont="1" applyFill="1" applyBorder="1" applyAlignment="1">
      <alignment vertical="center"/>
    </xf>
    <xf numFmtId="168" fontId="4" fillId="0" borderId="0" xfId="0" applyNumberFormat="1" applyFont="1" applyFill="1" applyBorder="1" applyAlignment="1">
      <alignment horizontal="justify" vertical="center" wrapText="1"/>
    </xf>
    <xf numFmtId="9" fontId="4" fillId="0" borderId="0" xfId="9" applyFont="1" applyFill="1" applyBorder="1" applyAlignment="1">
      <alignment horizontal="center" vertical="center" shrinkToFit="1"/>
    </xf>
    <xf numFmtId="165" fontId="4" fillId="0" borderId="0" xfId="0" applyNumberFormat="1" applyFont="1" applyFill="1" applyBorder="1" applyAlignment="1">
      <alignment horizontal="center" vertical="center" shrinkToFit="1"/>
    </xf>
    <xf numFmtId="0" fontId="6" fillId="0" borderId="0" xfId="0" applyFont="1" applyFill="1" applyBorder="1" applyAlignment="1">
      <alignment vertical="center"/>
    </xf>
    <xf numFmtId="2" fontId="4" fillId="0" borderId="0" xfId="0" applyNumberFormat="1" applyFont="1" applyFill="1" applyBorder="1" applyAlignment="1">
      <alignment vertical="center" shrinkToFit="1"/>
    </xf>
    <xf numFmtId="49" fontId="4" fillId="0" borderId="0" xfId="0" applyNumberFormat="1" applyFont="1" applyFill="1" applyBorder="1" applyAlignment="1">
      <alignment horizontal="center" vertical="center" shrinkToFit="1"/>
    </xf>
    <xf numFmtId="2" fontId="6" fillId="0" borderId="0" xfId="0" applyNumberFormat="1" applyFont="1" applyFill="1" applyBorder="1" applyAlignment="1">
      <alignment vertical="center" shrinkToFit="1"/>
    </xf>
    <xf numFmtId="166" fontId="4"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wrapText="1"/>
    </xf>
    <xf numFmtId="0" fontId="4" fillId="0" borderId="0" xfId="0" applyFont="1" applyFill="1" applyBorder="1" applyAlignment="1">
      <alignment vertical="center" shrinkToFit="1"/>
    </xf>
    <xf numFmtId="0" fontId="4" fillId="0" borderId="0" xfId="0" applyFont="1" applyFill="1" applyBorder="1" applyAlignment="1">
      <alignment horizontal="right" vertical="center" shrinkToFit="1"/>
    </xf>
    <xf numFmtId="166" fontId="4" fillId="0" borderId="0" xfId="0" applyNumberFormat="1" applyFont="1" applyFill="1" applyBorder="1" applyAlignment="1">
      <alignment horizontal="center" vertical="center" shrinkToFit="1"/>
    </xf>
    <xf numFmtId="167" fontId="4" fillId="0" borderId="0" xfId="0" applyNumberFormat="1" applyFont="1" applyFill="1" applyBorder="1" applyAlignment="1">
      <alignment horizontal="center" vertical="center" shrinkToFit="1"/>
    </xf>
    <xf numFmtId="2" fontId="4" fillId="0" borderId="0" xfId="9" applyNumberFormat="1" applyFont="1" applyFill="1" applyBorder="1" applyAlignment="1">
      <alignment horizontal="center" vertical="center" shrinkToFit="1"/>
    </xf>
    <xf numFmtId="10" fontId="4" fillId="0" borderId="0" xfId="9" applyNumberFormat="1" applyFont="1" applyFill="1" applyBorder="1" applyAlignment="1">
      <alignment horizontal="center" vertical="center" shrinkToFit="1"/>
    </xf>
    <xf numFmtId="168" fontId="4" fillId="0" borderId="0" xfId="0" applyNumberFormat="1" applyFont="1" applyFill="1" applyBorder="1" applyAlignment="1">
      <alignment horizontal="right" vertical="center" wrapText="1"/>
    </xf>
    <xf numFmtId="0" fontId="6" fillId="0" borderId="0" xfId="0" applyNumberFormat="1" applyFont="1" applyFill="1" applyBorder="1" applyAlignment="1">
      <alignment horizontal="center" vertical="center"/>
    </xf>
    <xf numFmtId="0" fontId="6" fillId="0" borderId="0" xfId="0" applyFont="1" applyFill="1" applyBorder="1" applyAlignment="1">
      <alignment horizontal="center" vertical="center" shrinkToFit="1"/>
    </xf>
    <xf numFmtId="0" fontId="4" fillId="0" borderId="0" xfId="0" applyFont="1" applyFill="1" applyBorder="1" applyAlignment="1">
      <alignment horizontal="left" vertical="center" wrapText="1"/>
    </xf>
    <xf numFmtId="0" fontId="6" fillId="0" borderId="0" xfId="0" applyFont="1" applyFill="1" applyBorder="1" applyAlignment="1">
      <alignment horizontal="right" vertical="center" wrapText="1"/>
    </xf>
    <xf numFmtId="0" fontId="4" fillId="0" borderId="0" xfId="0" applyFont="1" applyFill="1" applyBorder="1" applyAlignment="1">
      <alignment horizontal="right" vertical="top" shrinkToFit="1"/>
    </xf>
    <xf numFmtId="0" fontId="4" fillId="0" borderId="0" xfId="0" applyFont="1" applyFill="1" applyBorder="1" applyAlignment="1">
      <alignment vertical="top"/>
    </xf>
    <xf numFmtId="0" fontId="4" fillId="0" borderId="0" xfId="0" applyFont="1" applyFill="1" applyBorder="1" applyAlignment="1">
      <alignment horizontal="center" vertical="top" shrinkToFit="1"/>
    </xf>
    <xf numFmtId="2" fontId="4" fillId="0" borderId="0" xfId="0" applyNumberFormat="1" applyFont="1" applyFill="1" applyBorder="1" applyAlignment="1">
      <alignment horizontal="center" vertical="top" shrinkToFit="1"/>
    </xf>
    <xf numFmtId="0" fontId="4" fillId="0" borderId="0" xfId="0" applyFont="1" applyBorder="1" applyAlignment="1">
      <alignment horizontal="justify" vertical="center" wrapText="1"/>
    </xf>
    <xf numFmtId="2" fontId="4" fillId="0" borderId="4" xfId="0" applyNumberFormat="1" applyFont="1" applyBorder="1" applyAlignment="1">
      <alignment horizontal="center"/>
    </xf>
    <xf numFmtId="0" fontId="4" fillId="0" borderId="0" xfId="0" applyFont="1" applyAlignment="1">
      <alignment vertical="top"/>
    </xf>
    <xf numFmtId="0" fontId="4" fillId="0" borderId="0" xfId="0" applyFont="1" applyAlignment="1">
      <alignment horizontal="justify" vertical="justify"/>
    </xf>
    <xf numFmtId="0" fontId="4" fillId="0" borderId="0" xfId="0" applyFont="1" applyFill="1" applyBorder="1" applyAlignment="1">
      <alignment horizontal="right"/>
    </xf>
    <xf numFmtId="0" fontId="4" fillId="0" borderId="0" xfId="0" applyFont="1" applyFill="1" applyBorder="1" applyAlignment="1">
      <alignment horizontal="left"/>
    </xf>
    <xf numFmtId="0" fontId="4" fillId="0" borderId="0" xfId="0" applyFont="1" applyAlignment="1">
      <alignment wrapText="1"/>
    </xf>
    <xf numFmtId="2" fontId="15" fillId="0" borderId="0" xfId="0" applyNumberFormat="1" applyFont="1" applyAlignment="1">
      <alignment horizontal="center" vertical="center"/>
    </xf>
    <xf numFmtId="0" fontId="11" fillId="0" borderId="0" xfId="0" applyFont="1" applyBorder="1" applyAlignment="1">
      <alignment horizontal="left" wrapText="1"/>
    </xf>
    <xf numFmtId="2" fontId="4" fillId="0" borderId="0" xfId="0" applyNumberFormat="1" applyFont="1" applyAlignment="1">
      <alignment horizontal="right"/>
    </xf>
    <xf numFmtId="0" fontId="0" fillId="0" borderId="0" xfId="0" applyAlignment="1">
      <alignment horizontal="right"/>
    </xf>
    <xf numFmtId="2" fontId="0" fillId="0" borderId="0" xfId="0" applyNumberFormat="1" applyAlignment="1">
      <alignment horizontal="right"/>
    </xf>
    <xf numFmtId="0" fontId="11" fillId="0" borderId="0" xfId="0" applyFont="1" applyBorder="1" applyAlignment="1">
      <alignment horizontal="left"/>
    </xf>
    <xf numFmtId="0" fontId="11" fillId="0" borderId="0" xfId="0" applyFont="1"/>
    <xf numFmtId="0" fontId="10" fillId="0" borderId="0" xfId="0" applyFont="1" applyBorder="1" applyAlignment="1">
      <alignment horizontal="right"/>
    </xf>
    <xf numFmtId="2" fontId="11" fillId="0" borderId="0" xfId="0" applyNumberFormat="1" applyFont="1" applyBorder="1" applyAlignment="1">
      <alignment horizontal="right"/>
    </xf>
    <xf numFmtId="0" fontId="6" fillId="0" borderId="0" xfId="0" applyFont="1" applyAlignment="1">
      <alignment horizontal="left"/>
    </xf>
    <xf numFmtId="2" fontId="4" fillId="0" borderId="0" xfId="0" applyNumberFormat="1" applyFont="1" applyFill="1" applyBorder="1" applyAlignment="1">
      <alignment horizontal="right" vertical="center"/>
    </xf>
    <xf numFmtId="2" fontId="4" fillId="0" borderId="0" xfId="0" applyNumberFormat="1" applyFont="1" applyFill="1" applyBorder="1" applyAlignment="1">
      <alignment horizontal="center" vertical="center"/>
    </xf>
    <xf numFmtId="168" fontId="6" fillId="0" borderId="0" xfId="0" applyNumberFormat="1" applyFont="1" applyFill="1" applyBorder="1" applyAlignment="1">
      <alignment horizontal="justify" vertical="center" wrapText="1"/>
    </xf>
    <xf numFmtId="0" fontId="4" fillId="0" borderId="0" xfId="0" applyFont="1" applyFill="1" applyBorder="1" applyAlignment="1" applyProtection="1">
      <alignment horizontal="left" vertical="center"/>
    </xf>
    <xf numFmtId="0" fontId="4" fillId="0" borderId="0" xfId="2" applyFont="1" applyFill="1" applyBorder="1" applyAlignment="1">
      <alignment horizontal="right" vertical="center"/>
    </xf>
    <xf numFmtId="2" fontId="6" fillId="0" borderId="0" xfId="2" applyNumberFormat="1" applyFont="1" applyFill="1" applyBorder="1" applyAlignment="1">
      <alignment horizontal="right" vertical="center"/>
    </xf>
    <xf numFmtId="0" fontId="4" fillId="0" borderId="0" xfId="2" applyFont="1" applyFill="1" applyBorder="1" applyAlignment="1">
      <alignment vertical="center"/>
    </xf>
    <xf numFmtId="2" fontId="4" fillId="0" borderId="0" xfId="0" applyNumberFormat="1" applyFont="1" applyFill="1" applyBorder="1" applyAlignment="1">
      <alignment horizontal="center" vertical="top"/>
    </xf>
    <xf numFmtId="0" fontId="4" fillId="0" borderId="0" xfId="0" applyFont="1" applyFill="1" applyBorder="1" applyAlignment="1">
      <alignment vertical="top" wrapText="1"/>
    </xf>
    <xf numFmtId="0" fontId="4" fillId="0" borderId="0" xfId="0" applyNumberFormat="1" applyFont="1" applyFill="1" applyBorder="1" applyAlignment="1">
      <alignment horizontal="center"/>
    </xf>
    <xf numFmtId="0" fontId="4" fillId="0" borderId="0" xfId="0" applyFont="1" applyFill="1" applyBorder="1" applyAlignment="1">
      <alignment horizontal="center" shrinkToFit="1"/>
    </xf>
    <xf numFmtId="0" fontId="11" fillId="0" borderId="0" xfId="0" applyFont="1" applyBorder="1" applyAlignment="1">
      <alignment wrapText="1"/>
    </xf>
    <xf numFmtId="0" fontId="11" fillId="0" borderId="0" xfId="0" applyFont="1" applyBorder="1" applyAlignment="1"/>
    <xf numFmtId="2" fontId="3" fillId="0" borderId="0" xfId="0" applyNumberFormat="1" applyFont="1" applyAlignment="1">
      <alignment horizontal="center"/>
    </xf>
    <xf numFmtId="0" fontId="55" fillId="0" borderId="0" xfId="0" applyFont="1" applyBorder="1" applyAlignment="1"/>
    <xf numFmtId="2" fontId="57" fillId="0" borderId="0" xfId="0" applyNumberFormat="1" applyFont="1" applyFill="1" applyBorder="1" applyAlignment="1" applyProtection="1">
      <alignment horizontal="right" vertical="center" wrapText="1"/>
      <protection hidden="1"/>
    </xf>
    <xf numFmtId="2" fontId="57" fillId="0" borderId="0" xfId="0" applyNumberFormat="1" applyFont="1" applyFill="1" applyBorder="1" applyAlignment="1" applyProtection="1">
      <alignment horizontal="right" vertical="center"/>
      <protection hidden="1"/>
    </xf>
    <xf numFmtId="168" fontId="57" fillId="0" borderId="0" xfId="0" applyNumberFormat="1" applyFont="1" applyFill="1" applyBorder="1" applyAlignment="1" applyProtection="1">
      <alignment horizontal="justify" vertical="top" wrapText="1"/>
      <protection hidden="1"/>
    </xf>
    <xf numFmtId="168" fontId="57" fillId="0" borderId="0" xfId="0" applyNumberFormat="1" applyFont="1" applyFill="1" applyBorder="1" applyAlignment="1" applyProtection="1">
      <alignment horizontal="right" vertical="top" wrapText="1"/>
      <protection hidden="1"/>
    </xf>
    <xf numFmtId="168" fontId="57" fillId="0" borderId="0" xfId="0" applyNumberFormat="1" applyFont="1" applyFill="1" applyBorder="1" applyAlignment="1" applyProtection="1">
      <alignment horizontal="right" vertical="center" wrapText="1"/>
      <protection hidden="1"/>
    </xf>
    <xf numFmtId="2" fontId="57" fillId="0" borderId="0" xfId="0" applyNumberFormat="1" applyFont="1" applyFill="1" applyBorder="1" applyAlignment="1" applyProtection="1">
      <alignment horizontal="right" vertical="top" wrapText="1"/>
      <protection hidden="1"/>
    </xf>
    <xf numFmtId="2" fontId="57" fillId="0" borderId="0" xfId="0" applyNumberFormat="1" applyFont="1" applyFill="1" applyBorder="1" applyAlignment="1" applyProtection="1">
      <alignment horizontal="right" vertical="top"/>
      <protection hidden="1"/>
    </xf>
    <xf numFmtId="0" fontId="4" fillId="0" borderId="0" xfId="0" applyFont="1" applyBorder="1" applyAlignment="1">
      <alignment vertical="top" wrapText="1"/>
    </xf>
    <xf numFmtId="168" fontId="89" fillId="0" borderId="0" xfId="0" applyNumberFormat="1" applyFont="1" applyFill="1" applyBorder="1" applyAlignment="1" applyProtection="1">
      <alignment horizontal="right" vertical="top" wrapText="1"/>
      <protection hidden="1"/>
    </xf>
    <xf numFmtId="2" fontId="89" fillId="0" borderId="0" xfId="0" applyNumberFormat="1" applyFont="1" applyFill="1" applyBorder="1" applyAlignment="1" applyProtection="1">
      <alignment horizontal="right" vertical="center" wrapText="1"/>
      <protection hidden="1"/>
    </xf>
    <xf numFmtId="2" fontId="89" fillId="0" borderId="0" xfId="0" applyNumberFormat="1" applyFont="1" applyFill="1" applyBorder="1" applyAlignment="1" applyProtection="1">
      <alignment horizontal="right" vertical="center"/>
      <protection hidden="1"/>
    </xf>
    <xf numFmtId="2" fontId="89" fillId="0" borderId="0" xfId="0" applyNumberFormat="1" applyFont="1" applyFill="1" applyBorder="1" applyAlignment="1" applyProtection="1">
      <alignment horizontal="right" vertical="top" wrapText="1"/>
      <protection hidden="1"/>
    </xf>
    <xf numFmtId="0" fontId="57" fillId="0" borderId="0" xfId="0" applyFont="1" applyFill="1" applyBorder="1" applyAlignment="1" applyProtection="1">
      <alignment horizontal="right" vertical="center" wrapText="1"/>
      <protection hidden="1"/>
    </xf>
    <xf numFmtId="2" fontId="57" fillId="0" borderId="0" xfId="0" applyNumberFormat="1" applyFont="1" applyFill="1" applyBorder="1" applyAlignment="1" applyProtection="1">
      <alignment horizontal="left" vertical="center"/>
      <protection hidden="1"/>
    </xf>
    <xf numFmtId="0" fontId="57" fillId="0" borderId="0" xfId="0" applyFont="1" applyFill="1" applyBorder="1" applyAlignment="1">
      <alignment vertical="center"/>
    </xf>
    <xf numFmtId="0" fontId="57" fillId="0" borderId="0" xfId="0" applyFont="1" applyFill="1" applyBorder="1" applyAlignment="1" applyProtection="1">
      <alignment horizontal="right" vertical="top" wrapText="1"/>
      <protection hidden="1"/>
    </xf>
    <xf numFmtId="2" fontId="58" fillId="0" borderId="0" xfId="0" applyNumberFormat="1" applyFont="1" applyFill="1" applyBorder="1" applyAlignment="1" applyProtection="1">
      <alignment horizontal="right" vertical="center"/>
      <protection hidden="1"/>
    </xf>
    <xf numFmtId="0" fontId="59" fillId="0" borderId="0" xfId="0" applyFont="1" applyFill="1" applyBorder="1" applyAlignment="1" applyProtection="1">
      <alignment horizontal="right" vertical="center"/>
      <protection hidden="1"/>
    </xf>
    <xf numFmtId="0" fontId="57" fillId="0" borderId="0" xfId="0" applyFont="1" applyFill="1" applyBorder="1" applyAlignment="1" applyProtection="1">
      <alignment horizontal="center"/>
      <protection hidden="1"/>
    </xf>
    <xf numFmtId="0" fontId="57" fillId="0" borderId="0" xfId="0" applyFont="1" applyFill="1" applyBorder="1" applyAlignment="1" applyProtection="1">
      <alignment horizontal="left"/>
      <protection hidden="1"/>
    </xf>
    <xf numFmtId="0" fontId="59" fillId="0" borderId="0" xfId="0" applyFont="1" applyFill="1" applyBorder="1" applyAlignment="1" applyProtection="1">
      <alignment horizontal="right"/>
      <protection hidden="1"/>
    </xf>
    <xf numFmtId="10" fontId="45" fillId="0" borderId="0" xfId="0" applyNumberFormat="1" applyFont="1" applyFill="1" applyBorder="1" applyAlignment="1">
      <alignment horizontal="center" vertical="top" wrapText="1"/>
    </xf>
    <xf numFmtId="0" fontId="45" fillId="0" borderId="0" xfId="0" applyFont="1" applyFill="1" applyBorder="1" applyAlignment="1">
      <alignment horizontal="right" vertical="top" wrapText="1"/>
    </xf>
    <xf numFmtId="0" fontId="48" fillId="0" borderId="0" xfId="0" applyFont="1" applyFill="1" applyBorder="1" applyAlignment="1">
      <alignment horizontal="right" vertical="top" wrapText="1"/>
    </xf>
    <xf numFmtId="0" fontId="62" fillId="0" borderId="0" xfId="0" applyFont="1"/>
    <xf numFmtId="0" fontId="61" fillId="0" borderId="0" xfId="0" applyFont="1"/>
    <xf numFmtId="0" fontId="62" fillId="0" borderId="0" xfId="0" applyFont="1" applyBorder="1" applyAlignment="1">
      <alignment vertical="center" wrapText="1"/>
    </xf>
    <xf numFmtId="0" fontId="62" fillId="0" borderId="0" xfId="0" applyFont="1" applyAlignment="1">
      <alignment horizontal="center"/>
    </xf>
    <xf numFmtId="0" fontId="62" fillId="0" borderId="0" xfId="0" applyFont="1" applyAlignment="1"/>
    <xf numFmtId="2" fontId="91" fillId="0" borderId="0" xfId="0" applyNumberFormat="1" applyFont="1" applyAlignment="1">
      <alignment horizontal="left"/>
    </xf>
    <xf numFmtId="2" fontId="62" fillId="0" borderId="0" xfId="0" applyNumberFormat="1" applyFont="1" applyAlignment="1">
      <alignment horizontal="left"/>
    </xf>
    <xf numFmtId="1" fontId="91" fillId="0" borderId="0" xfId="0" applyNumberFormat="1" applyFont="1" applyAlignment="1">
      <alignment horizontal="left"/>
    </xf>
    <xf numFmtId="0" fontId="62" fillId="0" borderId="28" xfId="0" applyFont="1" applyBorder="1" applyAlignment="1">
      <alignment horizontal="center" vertical="top" wrapText="1"/>
    </xf>
    <xf numFmtId="0" fontId="92" fillId="0" borderId="28" xfId="0" applyFont="1" applyBorder="1" applyAlignment="1">
      <alignment horizontal="center" vertical="top" wrapText="1"/>
    </xf>
    <xf numFmtId="0" fontId="92" fillId="0" borderId="28" xfId="0" applyFont="1" applyBorder="1" applyAlignment="1">
      <alignment vertical="top" wrapText="1"/>
    </xf>
    <xf numFmtId="2" fontId="62" fillId="0" borderId="28" xfId="0" applyNumberFormat="1" applyFont="1" applyBorder="1" applyAlignment="1">
      <alignment horizontal="center" vertical="top" wrapText="1"/>
    </xf>
    <xf numFmtId="2" fontId="61" fillId="0" borderId="28" xfId="0" applyNumberFormat="1" applyFont="1" applyBorder="1" applyAlignment="1">
      <alignment horizontal="right" vertical="top" wrapText="1"/>
    </xf>
    <xf numFmtId="0" fontId="91" fillId="0" borderId="28" xfId="0" applyFont="1" applyBorder="1" applyAlignment="1">
      <alignment vertical="top" wrapText="1"/>
    </xf>
    <xf numFmtId="0" fontId="93" fillId="0" borderId="28" xfId="0" applyFont="1" applyBorder="1" applyAlignment="1">
      <alignment vertical="top" wrapText="1"/>
    </xf>
    <xf numFmtId="0" fontId="94" fillId="0" borderId="29" xfId="0" applyFont="1" applyBorder="1" applyAlignment="1">
      <alignment wrapText="1"/>
    </xf>
    <xf numFmtId="0" fontId="94" fillId="0" borderId="30" xfId="0" applyFont="1" applyBorder="1" applyAlignment="1">
      <alignment wrapText="1"/>
    </xf>
    <xf numFmtId="0" fontId="94" fillId="0" borderId="31" xfId="0" applyFont="1" applyBorder="1" applyAlignment="1">
      <alignment wrapText="1"/>
    </xf>
    <xf numFmtId="0" fontId="92" fillId="0" borderId="28" xfId="0" applyFont="1" applyBorder="1" applyAlignment="1">
      <alignment wrapText="1"/>
    </xf>
    <xf numFmtId="2" fontId="62" fillId="0" borderId="28" xfId="0" applyNumberFormat="1" applyFont="1" applyBorder="1" applyAlignment="1">
      <alignment horizontal="center" wrapText="1"/>
    </xf>
    <xf numFmtId="2" fontId="94" fillId="0" borderId="28" xfId="0" applyNumberFormat="1" applyFont="1" applyBorder="1" applyAlignment="1">
      <alignment horizontal="right" wrapText="1"/>
    </xf>
    <xf numFmtId="0" fontId="62" fillId="0" borderId="0" xfId="0" applyFont="1" applyAlignment="1">
      <alignment horizontal="center" vertical="center"/>
    </xf>
    <xf numFmtId="0" fontId="65" fillId="0" borderId="0" xfId="0" applyFont="1" applyAlignment="1">
      <alignment horizontal="center" vertical="center"/>
    </xf>
    <xf numFmtId="0" fontId="62" fillId="0" borderId="0" xfId="0" applyFont="1" applyBorder="1" applyAlignment="1">
      <alignment horizontal="left" vertical="center"/>
    </xf>
    <xf numFmtId="0" fontId="91" fillId="0" borderId="0" xfId="0" applyFont="1" applyBorder="1" applyAlignment="1">
      <alignment vertical="center" wrapText="1"/>
    </xf>
    <xf numFmtId="0" fontId="62" fillId="0" borderId="28" xfId="0" applyFont="1" applyBorder="1" applyAlignment="1">
      <alignment vertical="top" wrapText="1"/>
    </xf>
    <xf numFmtId="0" fontId="62" fillId="0" borderId="28" xfId="0" applyFont="1" applyBorder="1" applyAlignment="1">
      <alignment horizontal="justify" vertical="top" wrapText="1"/>
    </xf>
    <xf numFmtId="2" fontId="62" fillId="0" borderId="28" xfId="0" applyNumberFormat="1" applyFont="1" applyBorder="1" applyAlignment="1">
      <alignment vertical="top" wrapText="1"/>
    </xf>
    <xf numFmtId="2" fontId="4" fillId="0" borderId="0" xfId="0" applyNumberFormat="1" applyFont="1" applyBorder="1" applyAlignment="1">
      <alignment vertical="top" wrapText="1"/>
    </xf>
    <xf numFmtId="0" fontId="4" fillId="0" borderId="0" xfId="0" applyFont="1" applyAlignment="1">
      <alignment horizontal="center" vertical="center"/>
    </xf>
    <xf numFmtId="0" fontId="3" fillId="3" borderId="5" xfId="0" applyFont="1" applyFill="1" applyBorder="1" applyAlignment="1">
      <alignment vertical="center"/>
    </xf>
    <xf numFmtId="0" fontId="3" fillId="4" borderId="6" xfId="0" applyFont="1" applyFill="1" applyBorder="1" applyAlignment="1">
      <alignment horizontal="left" vertical="center"/>
    </xf>
    <xf numFmtId="0" fontId="3" fillId="4" borderId="7" xfId="0" applyFont="1" applyFill="1" applyBorder="1" applyAlignment="1">
      <alignment horizontal="right" vertical="center"/>
    </xf>
    <xf numFmtId="0" fontId="3" fillId="5" borderId="6" xfId="0" applyFont="1" applyFill="1" applyBorder="1" applyAlignment="1">
      <alignment horizontal="left" vertical="center"/>
    </xf>
    <xf numFmtId="0" fontId="3" fillId="5" borderId="7" xfId="0" applyFont="1" applyFill="1" applyBorder="1" applyAlignment="1">
      <alignment horizontal="right" vertical="center"/>
    </xf>
    <xf numFmtId="0" fontId="3" fillId="6" borderId="6" xfId="0" applyFont="1" applyFill="1" applyBorder="1" applyAlignment="1">
      <alignment horizontal="left" vertical="center"/>
    </xf>
    <xf numFmtId="0" fontId="3" fillId="6" borderId="7" xfId="0" applyFont="1" applyFill="1" applyBorder="1" applyAlignment="1">
      <alignment horizontal="right" vertical="center"/>
    </xf>
    <xf numFmtId="0" fontId="3" fillId="7" borderId="6" xfId="0" applyFont="1" applyFill="1" applyBorder="1" applyAlignment="1">
      <alignment horizontal="left" vertical="center"/>
    </xf>
    <xf numFmtId="0" fontId="3" fillId="7" borderId="7" xfId="0" applyFont="1" applyFill="1" applyBorder="1" applyAlignment="1">
      <alignment horizontal="right" vertical="center"/>
    </xf>
    <xf numFmtId="0" fontId="3" fillId="8" borderId="6" xfId="0" applyFont="1" applyFill="1" applyBorder="1" applyAlignment="1">
      <alignment horizontal="left" vertical="center"/>
    </xf>
    <xf numFmtId="0" fontId="3" fillId="8" borderId="7" xfId="0" applyFont="1" applyFill="1" applyBorder="1" applyAlignment="1">
      <alignment horizontal="right" vertical="center"/>
    </xf>
    <xf numFmtId="0" fontId="3" fillId="9" borderId="6" xfId="0" applyFont="1" applyFill="1" applyBorder="1" applyAlignment="1">
      <alignment horizontal="left" vertical="center"/>
    </xf>
    <xf numFmtId="0" fontId="3" fillId="9" borderId="7" xfId="0" applyFont="1" applyFill="1" applyBorder="1" applyAlignment="1">
      <alignment horizontal="right" vertical="center"/>
    </xf>
    <xf numFmtId="9" fontId="7" fillId="10" borderId="0" xfId="0" applyNumberFormat="1" applyFont="1" applyFill="1" applyAlignment="1">
      <alignment horizontal="right" wrapText="1"/>
    </xf>
    <xf numFmtId="0" fontId="0" fillId="0" borderId="0" xfId="0" applyAlignment="1">
      <alignment horizontal="left"/>
    </xf>
    <xf numFmtId="0" fontId="66" fillId="11" borderId="1" xfId="0" applyFont="1" applyFill="1" applyBorder="1" applyAlignment="1">
      <alignment vertical="center"/>
    </xf>
    <xf numFmtId="0" fontId="66" fillId="11" borderId="1" xfId="0" applyFont="1" applyFill="1" applyBorder="1" applyAlignment="1">
      <alignment vertical="center" wrapText="1"/>
    </xf>
    <xf numFmtId="0" fontId="0" fillId="11" borderId="0" xfId="0" applyFill="1" applyBorder="1"/>
    <xf numFmtId="2" fontId="66" fillId="11" borderId="1" xfId="0" applyNumberFormat="1" applyFont="1" applyFill="1" applyBorder="1" applyAlignment="1">
      <alignment horizontal="right" vertical="center"/>
    </xf>
    <xf numFmtId="0" fontId="66" fillId="11" borderId="1" xfId="0" applyFont="1" applyFill="1" applyBorder="1" applyAlignment="1">
      <alignment horizontal="left" vertical="center"/>
    </xf>
    <xf numFmtId="2" fontId="0" fillId="11" borderId="0" xfId="0" applyNumberFormat="1" applyFill="1" applyBorder="1"/>
    <xf numFmtId="0" fontId="66" fillId="11" borderId="1" xfId="0" applyFont="1" applyFill="1" applyBorder="1" applyAlignment="1">
      <alignment horizontal="right" vertical="center"/>
    </xf>
    <xf numFmtId="9" fontId="66" fillId="11" borderId="1" xfId="0" applyNumberFormat="1" applyFont="1" applyFill="1" applyBorder="1" applyAlignment="1">
      <alignment horizontal="right" vertical="center"/>
    </xf>
    <xf numFmtId="9" fontId="0" fillId="11" borderId="1" xfId="0" applyNumberFormat="1" applyFill="1" applyBorder="1" applyAlignment="1">
      <alignment horizontal="right"/>
    </xf>
    <xf numFmtId="2" fontId="4" fillId="0" borderId="0" xfId="0" applyNumberFormat="1" applyFont="1" applyAlignment="1">
      <alignment horizontal="justify" vertical="justify" wrapText="1"/>
    </xf>
    <xf numFmtId="10" fontId="4" fillId="0" borderId="0" xfId="0" applyNumberFormat="1" applyFont="1" applyFill="1" applyBorder="1" applyAlignment="1">
      <alignment horizontal="center" vertical="center" shrinkToFit="1"/>
    </xf>
    <xf numFmtId="0" fontId="62" fillId="0" borderId="28" xfId="0" applyFont="1" applyBorder="1" applyAlignment="1">
      <alignment horizontal="center" vertical="top" wrapText="1"/>
    </xf>
    <xf numFmtId="0" fontId="57" fillId="0" borderId="0" xfId="0" applyFont="1" applyFill="1" applyBorder="1" applyAlignment="1" applyProtection="1">
      <alignment horizontal="right"/>
      <protection hidden="1"/>
    </xf>
    <xf numFmtId="2" fontId="67" fillId="0" borderId="0" xfId="0" applyNumberFormat="1" applyFont="1" applyFill="1" applyBorder="1" applyAlignment="1" applyProtection="1">
      <alignment horizontal="right" vertical="center"/>
      <protection hidden="1"/>
    </xf>
    <xf numFmtId="0" fontId="4" fillId="0" borderId="0" xfId="0" applyFont="1" applyFill="1" applyBorder="1" applyAlignment="1" applyProtection="1">
      <alignment vertical="center"/>
      <protection hidden="1"/>
    </xf>
    <xf numFmtId="0" fontId="0" fillId="0" borderId="1" xfId="0" applyBorder="1"/>
    <xf numFmtId="0" fontId="6" fillId="0" borderId="0" xfId="0" applyFont="1" applyAlignment="1">
      <alignment horizontal="right"/>
    </xf>
    <xf numFmtId="2" fontId="62" fillId="0" borderId="0" xfId="0" applyNumberFormat="1" applyFont="1"/>
    <xf numFmtId="0" fontId="35" fillId="0" borderId="0" xfId="0" applyFont="1" applyAlignment="1">
      <alignment vertical="justify" wrapText="1"/>
    </xf>
    <xf numFmtId="0" fontId="4" fillId="0" borderId="0" xfId="0" applyFont="1" applyBorder="1" applyAlignment="1">
      <alignment horizontal="right" wrapText="1"/>
    </xf>
    <xf numFmtId="2" fontId="6" fillId="0" borderId="0" xfId="0" applyNumberFormat="1" applyFont="1"/>
    <xf numFmtId="168" fontId="4" fillId="0" borderId="0" xfId="0" applyNumberFormat="1" applyFont="1" applyFill="1" applyBorder="1" applyAlignment="1">
      <alignment horizontal="center" vertical="center" wrapText="1"/>
    </xf>
    <xf numFmtId="168" fontId="4" fillId="0" borderId="0" xfId="0" applyNumberFormat="1" applyFont="1" applyFill="1" applyBorder="1" applyAlignment="1">
      <alignment horizontal="center" vertical="center" shrinkToFit="1"/>
    </xf>
    <xf numFmtId="168" fontId="4" fillId="0" borderId="0" xfId="0" applyNumberFormat="1" applyFont="1" applyFill="1" applyBorder="1" applyAlignment="1">
      <alignment horizontal="right" vertical="center" shrinkToFit="1"/>
    </xf>
    <xf numFmtId="0" fontId="4" fillId="0" borderId="0" xfId="0" applyNumberFormat="1" applyFont="1" applyFill="1" applyBorder="1" applyAlignment="1">
      <alignment horizontal="justify" vertical="center" wrapText="1"/>
    </xf>
    <xf numFmtId="0" fontId="4" fillId="0" borderId="0" xfId="0" applyFont="1" applyFill="1" applyBorder="1" applyAlignment="1">
      <alignment horizontal="right" vertical="center"/>
    </xf>
    <xf numFmtId="0" fontId="32" fillId="0" borderId="0" xfId="0" applyFont="1" applyFill="1" applyBorder="1" applyAlignment="1">
      <alignment horizontal="left" vertical="center" wrapText="1"/>
    </xf>
    <xf numFmtId="2" fontId="6" fillId="0" borderId="0" xfId="0" applyNumberFormat="1" applyFont="1" applyFill="1" applyBorder="1" applyAlignment="1">
      <alignment horizontal="right" vertical="center"/>
    </xf>
    <xf numFmtId="165" fontId="4" fillId="0" borderId="0" xfId="0" applyNumberFormat="1" applyFont="1" applyFill="1" applyBorder="1" applyAlignment="1">
      <alignment horizontal="center" vertical="center"/>
    </xf>
    <xf numFmtId="0" fontId="6" fillId="0" borderId="0" xfId="0" applyFont="1" applyFill="1" applyBorder="1" applyAlignment="1">
      <alignment horizontal="left" vertical="center"/>
    </xf>
    <xf numFmtId="2" fontId="4" fillId="0" borderId="0" xfId="0" applyNumberFormat="1" applyFont="1" applyFill="1" applyBorder="1" applyAlignment="1">
      <alignment vertical="center"/>
    </xf>
    <xf numFmtId="2" fontId="6" fillId="0" borderId="0" xfId="0" applyNumberFormat="1" applyFont="1" applyFill="1" applyBorder="1" applyAlignment="1">
      <alignment vertical="center"/>
    </xf>
    <xf numFmtId="49" fontId="4" fillId="0" borderId="0" xfId="0" applyNumberFormat="1" applyFont="1" applyFill="1" applyBorder="1" applyAlignment="1">
      <alignment horizontal="right" vertical="center" shrinkToFit="1"/>
    </xf>
    <xf numFmtId="0" fontId="10" fillId="0" borderId="0" xfId="0" applyFont="1" applyBorder="1" applyAlignment="1">
      <alignment vertical="top"/>
    </xf>
    <xf numFmtId="0" fontId="70" fillId="0" borderId="0" xfId="0" applyFont="1" applyBorder="1"/>
    <xf numFmtId="2" fontId="70" fillId="0" borderId="0" xfId="0" applyNumberFormat="1" applyFont="1" applyBorder="1"/>
    <xf numFmtId="0" fontId="26" fillId="0" borderId="0" xfId="0" applyFont="1" applyBorder="1"/>
    <xf numFmtId="1" fontId="62" fillId="0" borderId="0" xfId="0" applyNumberFormat="1" applyFont="1"/>
    <xf numFmtId="0" fontId="62" fillId="0" borderId="28" xfId="0" applyFont="1" applyBorder="1" applyAlignment="1">
      <alignment horizontal="center" vertical="center" wrapText="1"/>
    </xf>
    <xf numFmtId="0" fontId="62" fillId="0" borderId="28" xfId="0" applyFont="1" applyBorder="1" applyAlignment="1">
      <alignment vertical="center" wrapText="1"/>
    </xf>
    <xf numFmtId="2" fontId="62" fillId="0" borderId="28" xfId="0" applyNumberFormat="1" applyFont="1" applyBorder="1" applyAlignment="1">
      <alignment horizontal="center" vertical="center" wrapText="1"/>
    </xf>
    <xf numFmtId="2" fontId="61" fillId="0" borderId="28" xfId="0" applyNumberFormat="1" applyFont="1" applyBorder="1" applyAlignment="1">
      <alignment horizontal="right" vertical="center" wrapText="1"/>
    </xf>
    <xf numFmtId="0" fontId="62" fillId="0" borderId="0" xfId="0" applyFont="1" applyAlignment="1">
      <alignment vertical="center"/>
    </xf>
    <xf numFmtId="0" fontId="92" fillId="0" borderId="28" xfId="0" applyFont="1" applyBorder="1" applyAlignment="1">
      <alignment horizontal="center" vertical="center" wrapText="1"/>
    </xf>
    <xf numFmtId="0" fontId="92" fillId="0" borderId="28" xfId="0" applyFont="1" applyBorder="1" applyAlignment="1">
      <alignment vertical="center" wrapText="1"/>
    </xf>
    <xf numFmtId="0" fontId="62" fillId="0" borderId="28" xfId="0" applyFont="1" applyBorder="1" applyAlignment="1">
      <alignment horizontal="justify" vertical="center" wrapText="1"/>
    </xf>
    <xf numFmtId="0" fontId="15" fillId="0" borderId="0" xfId="0" applyFont="1" applyFill="1" applyBorder="1" applyAlignment="1">
      <alignment horizontal="center" vertical="top" wrapText="1"/>
    </xf>
    <xf numFmtId="0" fontId="15" fillId="0" borderId="0" xfId="0" applyFont="1" applyFill="1" applyBorder="1" applyAlignment="1">
      <alignment vertical="top" wrapText="1"/>
    </xf>
    <xf numFmtId="168" fontId="15" fillId="0" borderId="0" xfId="0" applyNumberFormat="1" applyFont="1" applyFill="1" applyBorder="1" applyAlignment="1">
      <alignment horizontal="center" vertical="top" wrapText="1"/>
    </xf>
    <xf numFmtId="168" fontId="15" fillId="0" borderId="0" xfId="0" applyNumberFormat="1" applyFont="1" applyFill="1" applyBorder="1" applyAlignment="1">
      <alignment horizontal="right" vertical="top" wrapText="1"/>
    </xf>
    <xf numFmtId="0" fontId="0" fillId="0" borderId="0" xfId="0" applyAlignment="1">
      <alignment vertical="top"/>
    </xf>
    <xf numFmtId="0" fontId="0" fillId="0" borderId="1" xfId="0" applyBorder="1" applyAlignment="1">
      <alignment horizontal="right" vertical="center"/>
    </xf>
    <xf numFmtId="0" fontId="4" fillId="0" borderId="0" xfId="0" applyFont="1" applyAlignment="1">
      <alignment horizontal="right" vertical="center"/>
    </xf>
    <xf numFmtId="0" fontId="7" fillId="0" borderId="0" xfId="0" applyFont="1" applyAlignment="1">
      <alignment horizontal="right"/>
    </xf>
    <xf numFmtId="0" fontId="3" fillId="0" borderId="0" xfId="0" applyFont="1" applyAlignment="1">
      <alignment horizontal="right"/>
    </xf>
    <xf numFmtId="0" fontId="4" fillId="0" borderId="0" xfId="6" applyFont="1" applyFill="1" applyBorder="1" applyAlignment="1">
      <alignment horizontal="center" vertical="top"/>
    </xf>
    <xf numFmtId="16" fontId="0" fillId="0" borderId="1" xfId="0" quotePrefix="1" applyNumberFormat="1" applyBorder="1" applyAlignment="1">
      <alignment horizontal="right"/>
    </xf>
    <xf numFmtId="0" fontId="0" fillId="0" borderId="1" xfId="0" quotePrefix="1" applyBorder="1" applyAlignment="1">
      <alignment horizontal="right"/>
    </xf>
    <xf numFmtId="0" fontId="4" fillId="0" borderId="0" xfId="0" applyFont="1" applyBorder="1" applyAlignment="1">
      <alignment horizontal="justify" vertical="top" wrapText="1"/>
    </xf>
    <xf numFmtId="0" fontId="4" fillId="0" borderId="0" xfId="0" applyFont="1" applyAlignment="1">
      <alignment horizontal="center" vertical="top"/>
    </xf>
    <xf numFmtId="2" fontId="4" fillId="0" borderId="0" xfId="0" applyNumberFormat="1" applyFont="1" applyAlignment="1">
      <alignment horizontal="right" vertical="top"/>
    </xf>
    <xf numFmtId="2" fontId="4" fillId="0" borderId="0" xfId="0" applyNumberFormat="1" applyFont="1" applyBorder="1" applyAlignment="1">
      <alignment horizontal="right" vertical="top" wrapText="1"/>
    </xf>
    <xf numFmtId="0" fontId="4" fillId="0" borderId="0" xfId="0" applyFont="1" applyAlignment="1">
      <alignment horizontal="right" vertical="top"/>
    </xf>
    <xf numFmtId="2" fontId="4" fillId="0" borderId="0" xfId="0" applyNumberFormat="1" applyFont="1" applyAlignment="1">
      <alignment horizontal="right" vertical="center"/>
    </xf>
    <xf numFmtId="0" fontId="4" fillId="0" borderId="0" xfId="0" applyFont="1" applyAlignment="1">
      <alignment horizontal="justify" vertical="top" wrapText="1"/>
    </xf>
    <xf numFmtId="0" fontId="4" fillId="0" borderId="0" xfId="0" applyFont="1" applyAlignment="1">
      <alignment horizontal="justify" vertical="top"/>
    </xf>
    <xf numFmtId="1" fontId="4" fillId="0" borderId="0" xfId="0" applyNumberFormat="1" applyFont="1" applyAlignment="1">
      <alignment horizontal="right" vertical="top" wrapText="1"/>
    </xf>
    <xf numFmtId="2" fontId="4" fillId="0" borderId="0" xfId="0" applyNumberFormat="1" applyFont="1" applyAlignment="1">
      <alignment horizontal="right" vertical="top" wrapText="1"/>
    </xf>
    <xf numFmtId="0" fontId="4" fillId="0" borderId="0" xfId="0" applyFont="1" applyAlignment="1">
      <alignment horizontal="left" vertical="top" wrapText="1"/>
    </xf>
    <xf numFmtId="0" fontId="6" fillId="0" borderId="0" xfId="0" applyFont="1" applyAlignment="1">
      <alignment horizontal="justify" vertical="top" wrapText="1"/>
    </xf>
    <xf numFmtId="0" fontId="4" fillId="0" borderId="0" xfId="0" applyFont="1" applyAlignment="1">
      <alignment horizontal="right" vertical="top" wrapText="1"/>
    </xf>
    <xf numFmtId="165" fontId="4" fillId="0" borderId="0" xfId="0" applyNumberFormat="1" applyFont="1" applyAlignment="1">
      <alignment horizontal="right" vertical="top" wrapText="1"/>
    </xf>
    <xf numFmtId="2" fontId="4" fillId="0" borderId="0" xfId="0" applyNumberFormat="1" applyFont="1" applyAlignment="1"/>
    <xf numFmtId="0" fontId="6" fillId="0" borderId="0" xfId="0" applyFont="1" applyAlignment="1">
      <alignment horizontal="justify" vertical="justify" wrapText="1"/>
    </xf>
    <xf numFmtId="2" fontId="4" fillId="0" borderId="0" xfId="0" applyNumberFormat="1" applyFont="1" applyAlignment="1">
      <alignment horizontal="right" vertical="justify" wrapText="1"/>
    </xf>
    <xf numFmtId="2" fontId="6" fillId="0" borderId="0" xfId="0" applyNumberFormat="1" applyFont="1" applyAlignment="1">
      <alignment horizontal="right"/>
    </xf>
    <xf numFmtId="0" fontId="4" fillId="0" borderId="0" xfId="6" applyFont="1" applyFill="1" applyBorder="1" applyAlignment="1">
      <alignment horizontal="center" vertical="top" wrapText="1"/>
    </xf>
    <xf numFmtId="0" fontId="4" fillId="0" borderId="1" xfId="6" applyFont="1" applyFill="1" applyBorder="1" applyAlignment="1">
      <alignment vertical="top"/>
    </xf>
    <xf numFmtId="2" fontId="4" fillId="0" borderId="1" xfId="6" applyNumberFormat="1" applyFont="1" applyFill="1" applyBorder="1" applyAlignment="1">
      <alignment vertical="top"/>
    </xf>
    <xf numFmtId="0" fontId="45" fillId="0" borderId="1" xfId="6" applyFont="1" applyFill="1" applyBorder="1" applyAlignment="1">
      <alignment vertical="top"/>
    </xf>
    <xf numFmtId="0" fontId="45" fillId="0" borderId="1" xfId="6" applyFont="1" applyFill="1" applyBorder="1" applyAlignment="1">
      <alignment horizontal="center" vertical="top"/>
    </xf>
    <xf numFmtId="0" fontId="45" fillId="0" borderId="1" xfId="6" applyFont="1" applyFill="1" applyBorder="1"/>
    <xf numFmtId="0" fontId="45" fillId="0" borderId="1" xfId="6" applyFont="1" applyFill="1" applyBorder="1" applyAlignment="1">
      <alignment horizontal="center"/>
    </xf>
    <xf numFmtId="2" fontId="45" fillId="0" borderId="1" xfId="6" applyNumberFormat="1" applyFont="1" applyFill="1" applyBorder="1"/>
    <xf numFmtId="0" fontId="32" fillId="0" borderId="1" xfId="6" applyFont="1" applyFill="1" applyBorder="1" applyAlignment="1">
      <alignment horizontal="center" vertical="center"/>
    </xf>
    <xf numFmtId="0" fontId="4" fillId="0" borderId="1" xfId="6" applyFont="1" applyFill="1" applyBorder="1" applyAlignment="1">
      <alignment horizontal="center" vertical="top"/>
    </xf>
    <xf numFmtId="0" fontId="4" fillId="0" borderId="1" xfId="6" applyFont="1" applyFill="1" applyBorder="1" applyAlignment="1">
      <alignment horizontal="left" vertical="top" shrinkToFit="1"/>
    </xf>
    <xf numFmtId="0" fontId="4" fillId="0" borderId="1" xfId="6" applyFont="1" applyFill="1" applyBorder="1" applyAlignment="1">
      <alignment horizontal="center" vertical="top" shrinkToFit="1"/>
    </xf>
    <xf numFmtId="0" fontId="42" fillId="0" borderId="1" xfId="6" applyFont="1" applyFill="1" applyBorder="1" applyAlignment="1">
      <alignment horizontal="center" vertical="top" shrinkToFit="1"/>
    </xf>
    <xf numFmtId="2" fontId="4" fillId="0" borderId="1" xfId="6" applyNumberFormat="1" applyFont="1" applyFill="1" applyBorder="1" applyAlignment="1">
      <alignment horizontal="center" vertical="top" shrinkToFit="1"/>
    </xf>
    <xf numFmtId="2" fontId="6" fillId="0" borderId="1" xfId="6" applyNumberFormat="1" applyFont="1" applyFill="1" applyBorder="1" applyAlignment="1">
      <alignment horizontal="center" vertical="top" shrinkToFit="1"/>
    </xf>
    <xf numFmtId="0" fontId="4" fillId="0" borderId="1" xfId="6" applyFont="1" applyFill="1" applyBorder="1" applyAlignment="1">
      <alignment horizontal="left" vertical="top" wrapText="1"/>
    </xf>
    <xf numFmtId="0" fontId="42" fillId="0" borderId="1" xfId="6" applyFont="1" applyFill="1" applyBorder="1" applyAlignment="1">
      <alignment horizontal="center" vertical="top" wrapText="1"/>
    </xf>
    <xf numFmtId="2" fontId="42" fillId="0" borderId="1" xfId="6" applyNumberFormat="1" applyFont="1" applyFill="1" applyBorder="1" applyAlignment="1">
      <alignment horizontal="center" vertical="top" wrapText="1"/>
    </xf>
    <xf numFmtId="0" fontId="42" fillId="0" borderId="1" xfId="6" applyFont="1" applyFill="1" applyBorder="1" applyAlignment="1">
      <alignment horizontal="left" vertical="top" wrapText="1"/>
    </xf>
    <xf numFmtId="0" fontId="42" fillId="0" borderId="1" xfId="6" applyFont="1" applyFill="1" applyBorder="1" applyAlignment="1">
      <alignment horizontal="left" vertical="top" wrapText="1" shrinkToFit="1"/>
    </xf>
    <xf numFmtId="2" fontId="4" fillId="0" borderId="1" xfId="6" applyNumberFormat="1" applyFont="1" applyFill="1" applyBorder="1" applyAlignment="1">
      <alignment horizontal="center" vertical="top"/>
    </xf>
    <xf numFmtId="9" fontId="4" fillId="0" borderId="1" xfId="6" applyNumberFormat="1" applyFont="1" applyFill="1" applyBorder="1" applyAlignment="1">
      <alignment horizontal="center" vertical="top"/>
    </xf>
    <xf numFmtId="168" fontId="4" fillId="0" borderId="1" xfId="0" applyNumberFormat="1" applyFont="1" applyFill="1" applyBorder="1" applyAlignment="1">
      <alignment horizontal="left" vertical="top" wrapText="1"/>
    </xf>
    <xf numFmtId="0" fontId="4" fillId="0" borderId="1" xfId="6" applyFont="1" applyFill="1" applyBorder="1" applyAlignment="1">
      <alignment horizontal="left" vertical="top"/>
    </xf>
    <xf numFmtId="168" fontId="4" fillId="0" borderId="1" xfId="0" applyNumberFormat="1" applyFont="1" applyFill="1" applyBorder="1" applyAlignment="1">
      <alignment horizontal="center" vertical="top"/>
    </xf>
    <xf numFmtId="0" fontId="4" fillId="0" borderId="0" xfId="0" applyFont="1" applyBorder="1" applyAlignment="1">
      <alignment horizontal="center"/>
    </xf>
    <xf numFmtId="165" fontId="4" fillId="0" borderId="0" xfId="0" applyNumberFormat="1" applyFont="1"/>
    <xf numFmtId="0" fontId="4" fillId="0" borderId="0" xfId="0" applyFont="1" applyAlignment="1">
      <alignment vertical="center"/>
    </xf>
    <xf numFmtId="2" fontId="4" fillId="0" borderId="0" xfId="0" applyNumberFormat="1" applyFont="1" applyAlignment="1">
      <alignment vertical="center"/>
    </xf>
    <xf numFmtId="0" fontId="6" fillId="0" borderId="0" xfId="0" applyFont="1"/>
    <xf numFmtId="0" fontId="4" fillId="0" borderId="0" xfId="0" applyFont="1" applyAlignment="1">
      <alignment horizontal="left" vertical="center"/>
    </xf>
    <xf numFmtId="1" fontId="4" fillId="0" borderId="0" xfId="0" applyNumberFormat="1" applyFont="1" applyAlignment="1">
      <alignment vertical="center"/>
    </xf>
    <xf numFmtId="165" fontId="6" fillId="0" borderId="0" xfId="0" applyNumberFormat="1" applyFont="1" applyFill="1" applyBorder="1" applyAlignment="1">
      <alignment horizontal="center" vertical="center" shrinkToFit="1"/>
    </xf>
    <xf numFmtId="2" fontId="4" fillId="14" borderId="4" xfId="0" applyNumberFormat="1" applyFont="1" applyFill="1" applyBorder="1" applyAlignment="1">
      <alignment horizontal="center"/>
    </xf>
    <xf numFmtId="2" fontId="4" fillId="14" borderId="0" xfId="0" applyNumberFormat="1" applyFont="1" applyFill="1" applyAlignment="1">
      <alignment horizontal="center"/>
    </xf>
    <xf numFmtId="2" fontId="4" fillId="14" borderId="0" xfId="0" applyNumberFormat="1" applyFont="1" applyFill="1" applyBorder="1" applyAlignment="1">
      <alignment horizontal="center"/>
    </xf>
    <xf numFmtId="2" fontId="7" fillId="0" borderId="0" xfId="0" applyNumberFormat="1" applyFont="1" applyFill="1" applyBorder="1" applyAlignment="1">
      <alignment horizontal="right" shrinkToFit="1"/>
    </xf>
    <xf numFmtId="0" fontId="0" fillId="0" borderId="0" xfId="0" applyAlignment="1">
      <alignment horizontal="center"/>
    </xf>
    <xf numFmtId="0" fontId="0" fillId="0" borderId="5" xfId="0" applyBorder="1" applyAlignment="1">
      <alignment horizontal="center"/>
    </xf>
    <xf numFmtId="2" fontId="4" fillId="0" borderId="0" xfId="0" applyNumberFormat="1" applyFont="1" applyAlignment="1">
      <alignment vertical="top"/>
    </xf>
    <xf numFmtId="10" fontId="4" fillId="0" borderId="0" xfId="0" applyNumberFormat="1" applyFont="1" applyFill="1" applyBorder="1" applyAlignment="1">
      <alignment horizontal="center" vertical="center" wrapText="1"/>
    </xf>
    <xf numFmtId="168" fontId="71" fillId="0" borderId="0" xfId="0" applyNumberFormat="1" applyFont="1" applyFill="1" applyBorder="1" applyAlignment="1">
      <alignment horizontal="justify" vertical="center" wrapText="1"/>
    </xf>
    <xf numFmtId="2" fontId="4" fillId="0" borderId="0" xfId="0" applyNumberFormat="1" applyFont="1" applyBorder="1" applyAlignment="1">
      <alignment horizontal="center"/>
    </xf>
    <xf numFmtId="2" fontId="4" fillId="0" borderId="0" xfId="0" applyNumberFormat="1" applyFont="1" applyFill="1" applyBorder="1" applyAlignment="1">
      <alignment horizontal="center" shrinkToFit="1"/>
    </xf>
    <xf numFmtId="1" fontId="4" fillId="0" borderId="0" xfId="0" applyNumberFormat="1" applyFont="1" applyAlignment="1"/>
    <xf numFmtId="0" fontId="4" fillId="0" borderId="0" xfId="0" applyFont="1" applyAlignment="1">
      <alignment vertical="top" wrapText="1"/>
    </xf>
    <xf numFmtId="0" fontId="6" fillId="0" borderId="0" xfId="0" applyFont="1" applyFill="1" applyBorder="1" applyAlignment="1">
      <alignment horizontal="left"/>
    </xf>
    <xf numFmtId="0" fontId="4" fillId="0" borderId="0" xfId="0" applyFont="1" applyFill="1" applyBorder="1" applyAlignment="1">
      <alignment horizontal="left" vertical="justify" wrapText="1"/>
    </xf>
    <xf numFmtId="0" fontId="35" fillId="0" borderId="1" xfId="0" applyFont="1" applyBorder="1" applyAlignment="1">
      <alignment horizontal="center" vertical="top"/>
    </xf>
    <xf numFmtId="0" fontId="35" fillId="0" borderId="1" xfId="0" applyFont="1" applyBorder="1" applyAlignment="1">
      <alignment horizontal="center" vertical="top" wrapText="1"/>
    </xf>
    <xf numFmtId="0" fontId="35" fillId="0" borderId="1" xfId="0" applyFont="1" applyFill="1" applyBorder="1" applyAlignment="1">
      <alignment horizontal="center" vertical="top"/>
    </xf>
    <xf numFmtId="0" fontId="35" fillId="0" borderId="0" xfId="0" applyFont="1" applyAlignment="1">
      <alignment vertical="top"/>
    </xf>
    <xf numFmtId="0" fontId="35" fillId="0" borderId="0" xfId="0" applyFont="1" applyBorder="1" applyAlignment="1">
      <alignment horizontal="center" vertical="justify"/>
    </xf>
    <xf numFmtId="0" fontId="7" fillId="0" borderId="8" xfId="0" applyFont="1" applyBorder="1" applyAlignment="1">
      <alignment horizontal="center"/>
    </xf>
    <xf numFmtId="2" fontId="4" fillId="0" borderId="0" xfId="0" applyNumberFormat="1" applyFont="1" applyAlignment="1">
      <alignment horizontal="center" vertical="top"/>
    </xf>
    <xf numFmtId="2" fontId="4" fillId="0" borderId="0" xfId="0" applyNumberFormat="1" applyFont="1" applyAlignment="1">
      <alignment vertical="top" wrapText="1"/>
    </xf>
    <xf numFmtId="2" fontId="6" fillId="0" borderId="0" xfId="0" applyNumberFormat="1" applyFont="1" applyAlignment="1">
      <alignment horizontal="center"/>
    </xf>
    <xf numFmtId="0" fontId="4" fillId="0" borderId="0" xfId="0" applyFont="1" applyAlignment="1">
      <alignment horizontal="justify" vertical="center" wrapText="1"/>
    </xf>
    <xf numFmtId="0" fontId="4" fillId="0" borderId="0" xfId="0" applyFont="1" applyAlignment="1">
      <alignment horizontal="right" vertical="center" wrapText="1"/>
    </xf>
    <xf numFmtId="2" fontId="4" fillId="0" borderId="0" xfId="0" applyNumberFormat="1" applyFont="1" applyAlignment="1">
      <alignment horizontal="right" vertical="center" wrapText="1"/>
    </xf>
    <xf numFmtId="2" fontId="4" fillId="0" borderId="0" xfId="0" applyNumberFormat="1" applyFont="1" applyAlignment="1">
      <alignment horizontal="center" vertical="center"/>
    </xf>
    <xf numFmtId="2" fontId="0" fillId="0" borderId="0" xfId="0" applyNumberFormat="1" applyAlignment="1">
      <alignment vertical="center"/>
    </xf>
    <xf numFmtId="0" fontId="0" fillId="0" borderId="0" xfId="0" applyAlignment="1">
      <alignment horizontal="center" vertical="center"/>
    </xf>
    <xf numFmtId="0" fontId="0" fillId="0" borderId="1" xfId="0" applyBorder="1" applyAlignment="1">
      <alignment vertical="center"/>
    </xf>
    <xf numFmtId="0" fontId="3" fillId="0" borderId="0" xfId="0" applyFont="1" applyAlignment="1">
      <alignment horizontal="center" vertical="center" shrinkToFit="1"/>
    </xf>
    <xf numFmtId="0" fontId="7" fillId="0" borderId="0" xfId="7"/>
    <xf numFmtId="0" fontId="7" fillId="10" borderId="0" xfId="7" applyFill="1" applyBorder="1"/>
    <xf numFmtId="0" fontId="7" fillId="0" borderId="0" xfId="7" applyFill="1" applyBorder="1"/>
    <xf numFmtId="0" fontId="72" fillId="0" borderId="0" xfId="7" applyFont="1" applyFill="1" applyBorder="1" applyAlignment="1">
      <alignment horizontal="right"/>
    </xf>
    <xf numFmtId="0" fontId="7" fillId="10" borderId="0" xfId="7" applyFill="1"/>
    <xf numFmtId="0" fontId="74" fillId="0" borderId="0" xfId="7" applyFont="1" applyFill="1" applyBorder="1"/>
    <xf numFmtId="0" fontId="75" fillId="0" borderId="0" xfId="7" applyFont="1" applyFill="1" applyBorder="1" applyAlignment="1">
      <alignment horizontal="right"/>
    </xf>
    <xf numFmtId="2" fontId="75" fillId="0" borderId="0" xfId="7" applyNumberFormat="1" applyFont="1" applyFill="1" applyBorder="1" applyAlignment="1">
      <alignment horizontal="right"/>
    </xf>
    <xf numFmtId="0" fontId="75" fillId="0" borderId="0" xfId="7" applyFont="1" applyFill="1" applyBorder="1" applyAlignment="1"/>
    <xf numFmtId="0" fontId="0" fillId="0" borderId="0" xfId="7" applyFont="1" applyFill="1" applyBorder="1"/>
    <xf numFmtId="0" fontId="0" fillId="0" borderId="0" xfId="7" quotePrefix="1" applyFont="1" applyFill="1" applyBorder="1"/>
    <xf numFmtId="0" fontId="7" fillId="0" borderId="0" xfId="7" applyFont="1"/>
    <xf numFmtId="0" fontId="73" fillId="0" borderId="0" xfId="7" applyFont="1" applyFill="1" applyBorder="1" applyAlignment="1"/>
    <xf numFmtId="0" fontId="73" fillId="0" borderId="0" xfId="7" applyFont="1" applyFill="1" applyBorder="1" applyAlignment="1">
      <alignment horizontal="right"/>
    </xf>
    <xf numFmtId="0" fontId="96" fillId="0" borderId="0" xfId="7" applyFont="1" applyFill="1" applyBorder="1" applyAlignment="1"/>
    <xf numFmtId="0" fontId="77" fillId="0" borderId="9" xfId="7" applyFont="1" applyFill="1" applyBorder="1" applyAlignment="1" applyProtection="1">
      <alignment vertical="center" wrapText="1"/>
    </xf>
    <xf numFmtId="0" fontId="77" fillId="0" borderId="0" xfId="7" applyFont="1" applyFill="1" applyBorder="1" applyAlignment="1" applyProtection="1">
      <alignment horizontal="center" vertical="center" wrapText="1"/>
    </xf>
    <xf numFmtId="0" fontId="77" fillId="0" borderId="0" xfId="7" applyFont="1" applyFill="1" applyBorder="1" applyAlignment="1" applyProtection="1">
      <alignment horizontal="right" vertical="center" wrapText="1"/>
    </xf>
    <xf numFmtId="0" fontId="7" fillId="0" borderId="0" xfId="7" applyAlignment="1">
      <alignment horizontal="center" vertical="center"/>
    </xf>
    <xf numFmtId="0" fontId="7" fillId="10" borderId="0" xfId="7" applyFill="1" applyBorder="1" applyAlignment="1">
      <alignment horizontal="center" vertical="center"/>
    </xf>
    <xf numFmtId="0" fontId="7" fillId="0" borderId="0" xfId="7" applyFill="1" applyBorder="1" applyAlignment="1">
      <alignment horizontal="center" vertical="center"/>
    </xf>
    <xf numFmtId="0" fontId="7" fillId="10" borderId="0" xfId="7" applyFill="1" applyAlignment="1">
      <alignment horizontal="center" vertical="center"/>
    </xf>
    <xf numFmtId="0" fontId="77" fillId="0" borderId="0" xfId="0" applyFont="1"/>
    <xf numFmtId="0" fontId="78" fillId="0" borderId="0" xfId="0" applyFont="1"/>
    <xf numFmtId="0" fontId="79" fillId="0" borderId="0" xfId="0" applyFont="1"/>
    <xf numFmtId="0" fontId="11" fillId="0" borderId="0" xfId="0" applyFont="1" applyAlignment="1">
      <alignment vertical="top"/>
    </xf>
    <xf numFmtId="0" fontId="56" fillId="0" borderId="0" xfId="0" applyFont="1" applyAlignment="1">
      <alignment vertical="top"/>
    </xf>
    <xf numFmtId="0" fontId="44" fillId="0" borderId="0" xfId="0" applyFont="1" applyBorder="1" applyAlignment="1">
      <alignment horizontal="right" vertical="top"/>
    </xf>
    <xf numFmtId="0" fontId="44" fillId="0" borderId="0" xfId="0" applyFont="1" applyBorder="1" applyAlignment="1">
      <alignment horizontal="center" vertical="top"/>
    </xf>
    <xf numFmtId="0" fontId="11" fillId="0" borderId="0" xfId="0" applyFont="1" applyBorder="1" applyAlignment="1">
      <alignment horizontal="left" vertical="top"/>
    </xf>
    <xf numFmtId="0" fontId="6" fillId="0" borderId="0" xfId="0" applyFont="1" applyAlignment="1">
      <alignment vertical="center"/>
    </xf>
    <xf numFmtId="1" fontId="4" fillId="0" borderId="0" xfId="0" applyNumberFormat="1" applyFont="1" applyAlignment="1">
      <alignment horizontal="right" vertical="justify" wrapText="1"/>
    </xf>
    <xf numFmtId="0" fontId="0" fillId="0" borderId="0" xfId="0" applyBorder="1" applyAlignment="1">
      <alignment horizontal="center"/>
    </xf>
    <xf numFmtId="0" fontId="0" fillId="0" borderId="10" xfId="0" applyBorder="1" applyAlignment="1">
      <alignment horizontal="center"/>
    </xf>
    <xf numFmtId="0" fontId="0" fillId="0" borderId="4" xfId="0" applyBorder="1" applyAlignment="1">
      <alignment horizontal="center"/>
    </xf>
    <xf numFmtId="0" fontId="0" fillId="0" borderId="11" xfId="0" applyBorder="1"/>
    <xf numFmtId="0" fontId="0" fillId="0" borderId="1" xfId="0" applyBorder="1" applyAlignment="1">
      <alignment horizontal="right"/>
    </xf>
    <xf numFmtId="2" fontId="0" fillId="0" borderId="1" xfId="0" applyNumberFormat="1" applyBorder="1"/>
    <xf numFmtId="0" fontId="98" fillId="0" borderId="1" xfId="0" applyFont="1" applyBorder="1" applyAlignment="1">
      <alignment vertical="top" wrapText="1"/>
    </xf>
    <xf numFmtId="0" fontId="0" fillId="0" borderId="1" xfId="0" applyBorder="1" applyAlignment="1">
      <alignment vertical="top"/>
    </xf>
    <xf numFmtId="0" fontId="0" fillId="0" borderId="11" xfId="0" applyBorder="1" applyAlignment="1">
      <alignment vertical="top"/>
    </xf>
    <xf numFmtId="0" fontId="0" fillId="0" borderId="1" xfId="0" applyFill="1" applyBorder="1"/>
    <xf numFmtId="0" fontId="0" fillId="0" borderId="8" xfId="0" applyFill="1" applyBorder="1" applyAlignment="1">
      <alignment horizontal="right" vertical="center"/>
    </xf>
    <xf numFmtId="0" fontId="0" fillId="0" borderId="8" xfId="0" applyBorder="1" applyAlignment="1">
      <alignment vertical="center"/>
    </xf>
    <xf numFmtId="0" fontId="0" fillId="0" borderId="12" xfId="0" applyBorder="1" applyAlignment="1">
      <alignment vertical="center"/>
    </xf>
    <xf numFmtId="2" fontId="99" fillId="0" borderId="4" xfId="0" applyNumberFormat="1" applyFont="1" applyBorder="1" applyAlignment="1"/>
    <xf numFmtId="0" fontId="0" fillId="0" borderId="4" xfId="0" applyBorder="1" applyAlignment="1"/>
    <xf numFmtId="0" fontId="0" fillId="0" borderId="0" xfId="0" applyFill="1" applyBorder="1" applyAlignment="1"/>
    <xf numFmtId="2" fontId="99" fillId="0" borderId="0" xfId="0" applyNumberFormat="1" applyFont="1" applyFill="1" applyBorder="1" applyAlignment="1"/>
    <xf numFmtId="2" fontId="98" fillId="0" borderId="4" xfId="0" applyNumberFormat="1" applyFont="1" applyFill="1" applyBorder="1" applyAlignment="1"/>
    <xf numFmtId="0" fontId="0" fillId="0" borderId="6" xfId="0" applyBorder="1"/>
    <xf numFmtId="0" fontId="0" fillId="0" borderId="13" xfId="0" applyBorder="1"/>
    <xf numFmtId="0" fontId="0" fillId="0" borderId="14" xfId="0" applyBorder="1"/>
    <xf numFmtId="0" fontId="0" fillId="0" borderId="7" xfId="0" applyBorder="1"/>
    <xf numFmtId="0" fontId="0" fillId="0" borderId="15" xfId="0" applyBorder="1"/>
    <xf numFmtId="0" fontId="0" fillId="0" borderId="16" xfId="0" applyBorder="1"/>
    <xf numFmtId="0" fontId="0" fillId="0" borderId="0" xfId="0" applyAlignment="1">
      <alignment horizontal="right" vertical="center"/>
    </xf>
    <xf numFmtId="165" fontId="0" fillId="0" borderId="0" xfId="0" applyNumberFormat="1" applyAlignment="1">
      <alignment horizontal="right" vertical="center"/>
    </xf>
    <xf numFmtId="0" fontId="88" fillId="12" borderId="0" xfId="0" applyFont="1" applyFill="1" applyAlignment="1">
      <alignment horizontal="right" vertical="center"/>
    </xf>
    <xf numFmtId="0" fontId="88" fillId="0" borderId="0" xfId="0" applyFont="1"/>
    <xf numFmtId="0" fontId="88" fillId="15" borderId="0" xfId="0" applyFont="1" applyFill="1" applyAlignment="1">
      <alignment horizontal="right" vertical="center"/>
    </xf>
    <xf numFmtId="0" fontId="100" fillId="0" borderId="0" xfId="0" applyFont="1"/>
    <xf numFmtId="0" fontId="101" fillId="0" borderId="0" xfId="0" applyFont="1" applyAlignment="1">
      <alignment vertical="center"/>
    </xf>
    <xf numFmtId="0" fontId="100" fillId="0" borderId="0" xfId="0" applyFont="1" applyAlignment="1">
      <alignment vertical="center"/>
    </xf>
    <xf numFmtId="0" fontId="0" fillId="0" borderId="16" xfId="0" applyBorder="1" applyAlignment="1">
      <alignment vertical="center"/>
    </xf>
    <xf numFmtId="0" fontId="0" fillId="0" borderId="12" xfId="0" applyBorder="1"/>
    <xf numFmtId="0" fontId="0" fillId="0" borderId="4" xfId="0" applyBorder="1"/>
    <xf numFmtId="0" fontId="0" fillId="0" borderId="17" xfId="0" applyBorder="1"/>
    <xf numFmtId="0" fontId="0" fillId="0" borderId="0" xfId="0" applyBorder="1"/>
    <xf numFmtId="0" fontId="88" fillId="0" borderId="0" xfId="0" applyFont="1" applyAlignment="1">
      <alignment horizontal="center" vertical="center"/>
    </xf>
    <xf numFmtId="0" fontId="88" fillId="0" borderId="0" xfId="0" applyFont="1" applyAlignment="1">
      <alignment vertical="center"/>
    </xf>
    <xf numFmtId="0" fontId="100" fillId="0" borderId="0" xfId="0" applyFont="1" applyAlignment="1">
      <alignment horizontal="center" vertical="center"/>
    </xf>
    <xf numFmtId="0" fontId="98" fillId="0" borderId="0" xfId="0" applyFont="1" applyAlignment="1">
      <alignment vertical="center" wrapText="1"/>
    </xf>
    <xf numFmtId="2" fontId="0" fillId="0" borderId="0" xfId="0" applyNumberFormat="1" applyAlignment="1">
      <alignment horizontal="right" vertical="center"/>
    </xf>
    <xf numFmtId="0" fontId="0" fillId="0" borderId="16" xfId="0" applyFill="1" applyBorder="1" applyAlignment="1">
      <alignment vertical="center"/>
    </xf>
    <xf numFmtId="0" fontId="0" fillId="0" borderId="15" xfId="0" applyFill="1" applyBorder="1"/>
    <xf numFmtId="0" fontId="0" fillId="0" borderId="12" xfId="0" applyFill="1" applyBorder="1"/>
    <xf numFmtId="2" fontId="99" fillId="0" borderId="0" xfId="0" applyNumberFormat="1" applyFont="1" applyBorder="1" applyAlignment="1"/>
    <xf numFmtId="0" fontId="0" fillId="0" borderId="0" xfId="0" applyBorder="1" applyAlignment="1"/>
    <xf numFmtId="2" fontId="98" fillId="0" borderId="0" xfId="0" applyNumberFormat="1" applyFont="1" applyFill="1" applyBorder="1" applyAlignment="1"/>
    <xf numFmtId="165" fontId="0" fillId="0" borderId="0" xfId="0" applyNumberFormat="1"/>
    <xf numFmtId="0" fontId="102" fillId="0" borderId="4" xfId="0" applyFont="1" applyBorder="1" applyAlignment="1"/>
    <xf numFmtId="0" fontId="0" fillId="0" borderId="1" xfId="0" applyBorder="1" applyAlignment="1">
      <alignment horizontal="center" vertical="top"/>
    </xf>
    <xf numFmtId="0" fontId="0" fillId="0" borderId="1" xfId="0" applyBorder="1" applyAlignment="1">
      <alignment vertical="top" wrapText="1"/>
    </xf>
    <xf numFmtId="0" fontId="0" fillId="0" borderId="1" xfId="0" applyBorder="1" applyAlignment="1">
      <alignment horizontal="center" vertical="top" wrapText="1"/>
    </xf>
    <xf numFmtId="0" fontId="98" fillId="0" borderId="1" xfId="0" applyFont="1" applyBorder="1" applyAlignment="1">
      <alignment horizontal="center" vertical="top" wrapText="1"/>
    </xf>
    <xf numFmtId="0" fontId="98" fillId="0" borderId="1" xfId="0" applyFont="1" applyBorder="1"/>
    <xf numFmtId="165" fontId="0" fillId="0" borderId="1" xfId="0" applyNumberFormat="1" applyBorder="1"/>
    <xf numFmtId="0" fontId="98" fillId="0" borderId="0" xfId="0" applyFont="1"/>
    <xf numFmtId="2" fontId="98" fillId="0" borderId="4" xfId="0" applyNumberFormat="1" applyFont="1" applyBorder="1" applyAlignment="1"/>
    <xf numFmtId="0" fontId="0" fillId="0" borderId="15" xfId="0" applyBorder="1" applyAlignment="1"/>
    <xf numFmtId="0" fontId="88" fillId="16" borderId="0" xfId="0" applyFont="1" applyFill="1"/>
    <xf numFmtId="0" fontId="88" fillId="16" borderId="0" xfId="0" applyFont="1" applyFill="1" applyAlignment="1">
      <alignment vertical="center"/>
    </xf>
    <xf numFmtId="0" fontId="0" fillId="0" borderId="0" xfId="0" applyFont="1"/>
    <xf numFmtId="0" fontId="0" fillId="12" borderId="0" xfId="0" applyFill="1" applyAlignment="1">
      <alignment vertical="center"/>
    </xf>
    <xf numFmtId="0" fontId="0" fillId="0" borderId="10" xfId="0" applyBorder="1"/>
    <xf numFmtId="2" fontId="98" fillId="0" borderId="0" xfId="0" applyNumberFormat="1" applyFont="1" applyBorder="1" applyAlignment="1"/>
    <xf numFmtId="0" fontId="0" fillId="0" borderId="1" xfId="0" applyBorder="1" applyAlignment="1">
      <alignment horizontal="left"/>
    </xf>
    <xf numFmtId="2" fontId="88" fillId="0" borderId="1" xfId="0" applyNumberFormat="1" applyFont="1" applyBorder="1"/>
    <xf numFmtId="2" fontId="88" fillId="0" borderId="1" xfId="0" applyNumberFormat="1" applyFont="1" applyBorder="1" applyAlignment="1">
      <alignment vertical="top"/>
    </xf>
    <xf numFmtId="0" fontId="0" fillId="0" borderId="1" xfId="0" applyBorder="1" applyAlignment="1">
      <alignment horizontal="left" vertical="top"/>
    </xf>
    <xf numFmtId="0" fontId="0" fillId="0" borderId="1" xfId="0" applyFill="1" applyBorder="1" applyAlignment="1">
      <alignment vertical="top"/>
    </xf>
    <xf numFmtId="2" fontId="0" fillId="0" borderId="1" xfId="0" applyNumberFormat="1" applyBorder="1" applyAlignment="1">
      <alignment vertical="top"/>
    </xf>
    <xf numFmtId="0" fontId="98" fillId="0" borderId="8" xfId="0" applyFont="1" applyBorder="1" applyAlignment="1">
      <alignment vertical="top" wrapText="1"/>
    </xf>
    <xf numFmtId="0" fontId="0" fillId="0" borderId="8" xfId="0" applyBorder="1" applyAlignment="1">
      <alignment vertical="top"/>
    </xf>
    <xf numFmtId="0" fontId="0" fillId="0" borderId="1" xfId="0" applyBorder="1" applyAlignment="1"/>
    <xf numFmtId="0" fontId="0" fillId="0" borderId="1" xfId="0" applyFill="1" applyBorder="1" applyAlignment="1">
      <alignment horizontal="center" vertical="top"/>
    </xf>
    <xf numFmtId="165" fontId="0" fillId="0" borderId="1" xfId="0" applyNumberFormat="1" applyBorder="1" applyAlignment="1">
      <alignment vertical="top"/>
    </xf>
    <xf numFmtId="0" fontId="0" fillId="0" borderId="5" xfId="0" applyBorder="1" applyAlignment="1">
      <alignment vertical="top"/>
    </xf>
    <xf numFmtId="0" fontId="0" fillId="0" borderId="13" xfId="0" applyBorder="1" applyAlignment="1">
      <alignment vertical="top"/>
    </xf>
    <xf numFmtId="0" fontId="0" fillId="0" borderId="18" xfId="0" applyBorder="1" applyAlignment="1">
      <alignment vertical="top"/>
    </xf>
    <xf numFmtId="0" fontId="0" fillId="0" borderId="11" xfId="0" applyBorder="1" applyAlignment="1">
      <alignment horizontal="left" vertical="top"/>
    </xf>
    <xf numFmtId="0" fontId="0" fillId="0" borderId="13" xfId="0" applyBorder="1" applyAlignment="1">
      <alignment horizontal="left" vertical="top"/>
    </xf>
    <xf numFmtId="0" fontId="0" fillId="0" borderId="18" xfId="0" applyBorder="1" applyAlignment="1">
      <alignment horizontal="left" vertical="top"/>
    </xf>
    <xf numFmtId="0" fontId="0" fillId="0" borderId="0" xfId="0" applyAlignment="1">
      <alignment horizontal="center" vertical="top"/>
    </xf>
    <xf numFmtId="0" fontId="88" fillId="0" borderId="1" xfId="0" applyFont="1" applyBorder="1"/>
    <xf numFmtId="0" fontId="98" fillId="0" borderId="1" xfId="0" applyFont="1" applyBorder="1" applyAlignment="1">
      <alignment horizontal="center" vertical="center" wrapText="1"/>
    </xf>
    <xf numFmtId="0" fontId="99" fillId="0" borderId="1" xfId="0" applyFont="1" applyBorder="1"/>
    <xf numFmtId="0" fontId="99" fillId="0" borderId="1" xfId="0" applyFont="1" applyBorder="1" applyAlignment="1">
      <alignment vertical="top"/>
    </xf>
    <xf numFmtId="0" fontId="99" fillId="0" borderId="1" xfId="0" applyFont="1" applyFill="1" applyBorder="1" applyAlignment="1">
      <alignment vertical="top"/>
    </xf>
    <xf numFmtId="2" fontId="0" fillId="0" borderId="1" xfId="0" applyNumberFormat="1" applyFill="1" applyBorder="1" applyAlignment="1">
      <alignment vertical="top"/>
    </xf>
    <xf numFmtId="0" fontId="88" fillId="0" borderId="0" xfId="0" applyFont="1" applyAlignment="1">
      <alignment horizontal="center" vertical="center"/>
    </xf>
    <xf numFmtId="0" fontId="0" fillId="0" borderId="16" xfId="0" applyBorder="1" applyAlignment="1">
      <alignment horizontal="center"/>
    </xf>
    <xf numFmtId="0" fontId="0" fillId="0" borderId="14" xfId="0" applyBorder="1" applyAlignment="1">
      <alignment horizontal="center"/>
    </xf>
    <xf numFmtId="0" fontId="0" fillId="0" borderId="7" xfId="0" applyBorder="1" applyAlignment="1">
      <alignment horizontal="center"/>
    </xf>
    <xf numFmtId="0" fontId="98" fillId="0" borderId="17" xfId="0" applyFont="1" applyBorder="1"/>
    <xf numFmtId="2" fontId="103" fillId="11" borderId="1" xfId="0" applyNumberFormat="1" applyFont="1" applyFill="1" applyBorder="1" applyAlignment="1">
      <alignment horizontal="center" vertical="top"/>
    </xf>
    <xf numFmtId="0" fontId="103" fillId="11" borderId="1" xfId="0" applyFont="1" applyFill="1" applyBorder="1" applyAlignment="1">
      <alignment horizontal="center" vertical="top" wrapText="1"/>
    </xf>
    <xf numFmtId="0" fontId="103" fillId="11" borderId="1" xfId="0" applyNumberFormat="1" applyFont="1" applyFill="1" applyBorder="1" applyAlignment="1">
      <alignment horizontal="justify" vertical="top" wrapText="1"/>
    </xf>
    <xf numFmtId="0" fontId="103" fillId="11" borderId="1" xfId="0" applyNumberFormat="1" applyFont="1" applyFill="1" applyBorder="1" applyAlignment="1">
      <alignment vertical="top" wrapText="1"/>
    </xf>
    <xf numFmtId="0" fontId="103" fillId="11" borderId="1" xfId="0" applyFont="1" applyFill="1" applyBorder="1" applyAlignment="1">
      <alignment horizontal="center" vertical="top"/>
    </xf>
    <xf numFmtId="0" fontId="104" fillId="11" borderId="1" xfId="0" applyFont="1" applyFill="1" applyBorder="1" applyAlignment="1">
      <alignment horizontal="justify" vertical="top" wrapText="1"/>
    </xf>
    <xf numFmtId="2" fontId="103" fillId="11" borderId="1" xfId="0" applyNumberFormat="1" applyFont="1" applyFill="1" applyBorder="1" applyAlignment="1">
      <alignment horizontal="center" vertical="top" wrapText="1"/>
    </xf>
    <xf numFmtId="2" fontId="103" fillId="11" borderId="1" xfId="0" applyNumberFormat="1" applyFont="1" applyFill="1" applyBorder="1" applyAlignment="1">
      <alignment horizontal="right" vertical="top"/>
    </xf>
    <xf numFmtId="2" fontId="103" fillId="11" borderId="1" xfId="0" applyNumberFormat="1" applyFont="1" applyFill="1" applyBorder="1" applyAlignment="1">
      <alignment horizontal="left" vertical="top"/>
    </xf>
    <xf numFmtId="2" fontId="103" fillId="11" borderId="1" xfId="0" applyNumberFormat="1" applyFont="1" applyFill="1" applyBorder="1" applyAlignment="1">
      <alignment horizontal="right" vertical="top" wrapText="1"/>
    </xf>
    <xf numFmtId="0" fontId="103" fillId="11" borderId="1" xfId="0" applyFont="1" applyFill="1" applyBorder="1" applyAlignment="1">
      <alignment horizontal="left" vertical="top" wrapText="1"/>
    </xf>
    <xf numFmtId="0" fontId="104" fillId="11" borderId="1" xfId="0" applyFont="1" applyFill="1" applyBorder="1" applyAlignment="1">
      <alignment horizontal="center" vertical="top" wrapText="1"/>
    </xf>
    <xf numFmtId="0" fontId="103" fillId="11" borderId="1" xfId="0" applyFont="1" applyFill="1" applyBorder="1" applyAlignment="1">
      <alignment vertical="top" wrapText="1"/>
    </xf>
    <xf numFmtId="10" fontId="103" fillId="11" borderId="1" xfId="0" applyNumberFormat="1" applyFont="1" applyFill="1" applyBorder="1" applyAlignment="1">
      <alignment horizontal="center" vertical="top"/>
    </xf>
    <xf numFmtId="2" fontId="104" fillId="11" borderId="1" xfId="0" applyNumberFormat="1" applyFont="1" applyFill="1" applyBorder="1" applyAlignment="1">
      <alignment horizontal="right" vertical="top"/>
    </xf>
    <xf numFmtId="0" fontId="103" fillId="11" borderId="1" xfId="0" applyFont="1" applyFill="1" applyBorder="1" applyAlignment="1">
      <alignment vertical="top"/>
    </xf>
    <xf numFmtId="0" fontId="104" fillId="11" borderId="1" xfId="0" applyNumberFormat="1" applyFont="1" applyFill="1" applyBorder="1" applyAlignment="1">
      <alignment horizontal="justify" vertical="top" wrapText="1"/>
    </xf>
    <xf numFmtId="0" fontId="103" fillId="11" borderId="1" xfId="0" applyFont="1" applyFill="1" applyBorder="1" applyAlignment="1">
      <alignment horizontal="justify" vertical="top" wrapText="1"/>
    </xf>
    <xf numFmtId="2" fontId="103" fillId="11" borderId="1" xfId="0" applyNumberFormat="1" applyFont="1" applyFill="1" applyBorder="1" applyAlignment="1">
      <alignment vertical="top"/>
    </xf>
    <xf numFmtId="2" fontId="104" fillId="11" borderId="1" xfId="0" applyNumberFormat="1" applyFont="1" applyFill="1" applyBorder="1" applyAlignment="1">
      <alignment vertical="top"/>
    </xf>
    <xf numFmtId="0" fontId="0" fillId="11" borderId="1" xfId="0" applyFont="1" applyFill="1" applyBorder="1"/>
    <xf numFmtId="0" fontId="104" fillId="11" borderId="1" xfId="0" applyFont="1" applyFill="1" applyBorder="1" applyAlignment="1">
      <alignment horizontal="justify"/>
    </xf>
    <xf numFmtId="2" fontId="0" fillId="11" borderId="1" xfId="0" applyNumberFormat="1" applyFont="1" applyFill="1" applyBorder="1"/>
    <xf numFmtId="2" fontId="103" fillId="11" borderId="1" xfId="0" applyNumberFormat="1" applyFont="1" applyFill="1" applyBorder="1" applyAlignment="1">
      <alignment horizontal="justify" vertical="top" wrapText="1"/>
    </xf>
    <xf numFmtId="2" fontId="103" fillId="11" borderId="1" xfId="0" applyNumberFormat="1" applyFont="1" applyFill="1" applyBorder="1" applyAlignment="1">
      <alignment horizontal="justify" vertical="top"/>
    </xf>
    <xf numFmtId="2" fontId="104" fillId="11" borderId="1" xfId="0" applyNumberFormat="1" applyFont="1" applyFill="1" applyBorder="1" applyAlignment="1">
      <alignment horizontal="center" vertical="top"/>
    </xf>
    <xf numFmtId="0" fontId="103" fillId="11" borderId="1" xfId="0" applyNumberFormat="1" applyFont="1" applyFill="1" applyBorder="1" applyAlignment="1">
      <alignment horizontal="center" vertical="top" wrapText="1"/>
    </xf>
    <xf numFmtId="0" fontId="103" fillId="11" borderId="1" xfId="0" applyFont="1" applyFill="1" applyBorder="1" applyAlignment="1">
      <alignment horizontal="left" vertical="top"/>
    </xf>
    <xf numFmtId="2" fontId="103" fillId="11" borderId="1" xfId="0" applyNumberFormat="1" applyFont="1" applyFill="1" applyBorder="1" applyAlignment="1">
      <alignment vertical="top" wrapText="1"/>
    </xf>
    <xf numFmtId="0" fontId="0" fillId="11" borderId="1" xfId="0" applyFont="1" applyFill="1" applyBorder="1" applyAlignment="1">
      <alignment wrapText="1"/>
    </xf>
    <xf numFmtId="0" fontId="105" fillId="11" borderId="1" xfId="0" applyNumberFormat="1" applyFont="1" applyFill="1" applyBorder="1" applyAlignment="1">
      <alignment horizontal="justify" vertical="top" wrapText="1"/>
    </xf>
    <xf numFmtId="0" fontId="105" fillId="11" borderId="1" xfId="3" applyFont="1" applyFill="1" applyBorder="1" applyAlignment="1">
      <alignment horizontal="justify" vertical="top" wrapText="1"/>
    </xf>
    <xf numFmtId="0" fontId="106" fillId="11" borderId="1" xfId="0" applyFont="1" applyFill="1" applyBorder="1" applyAlignment="1">
      <alignment horizontal="center" vertical="top" wrapText="1"/>
    </xf>
    <xf numFmtId="0" fontId="105" fillId="11" borderId="1" xfId="0" applyFont="1" applyFill="1" applyBorder="1" applyAlignment="1">
      <alignment horizontal="justify" vertical="top" wrapText="1"/>
    </xf>
    <xf numFmtId="0" fontId="105" fillId="11" borderId="1" xfId="0" applyFont="1" applyFill="1" applyBorder="1" applyAlignment="1">
      <alignment horizontal="center" vertical="top" wrapText="1"/>
    </xf>
    <xf numFmtId="0" fontId="0" fillId="11" borderId="0" xfId="0" applyFont="1" applyFill="1"/>
    <xf numFmtId="0" fontId="3" fillId="11" borderId="1" xfId="0" applyFont="1" applyFill="1" applyBorder="1" applyAlignment="1">
      <alignment horizontal="center" vertical="top"/>
    </xf>
    <xf numFmtId="2" fontId="3" fillId="11" borderId="1" xfId="0" applyNumberFormat="1" applyFont="1" applyFill="1" applyBorder="1" applyAlignment="1">
      <alignment horizontal="center" vertical="top"/>
    </xf>
    <xf numFmtId="0" fontId="42" fillId="11" borderId="1" xfId="0" applyFont="1" applyFill="1" applyBorder="1" applyAlignment="1">
      <alignment horizontal="justify" vertical="top" wrapText="1"/>
    </xf>
    <xf numFmtId="0" fontId="0" fillId="11" borderId="0" xfId="0" applyFill="1"/>
    <xf numFmtId="0" fontId="4" fillId="11" borderId="1" xfId="0" applyFont="1" applyFill="1" applyBorder="1" applyAlignment="1">
      <alignment horizontal="justify" vertical="top" wrapText="1"/>
    </xf>
    <xf numFmtId="0" fontId="0" fillId="11" borderId="1" xfId="0" applyFill="1" applyBorder="1" applyAlignment="1">
      <alignment horizontal="center" vertical="top"/>
    </xf>
    <xf numFmtId="1" fontId="0" fillId="11" borderId="1" xfId="0" applyNumberFormat="1" applyFill="1" applyBorder="1" applyAlignment="1">
      <alignment horizontal="center" vertical="top"/>
    </xf>
    <xf numFmtId="2" fontId="0" fillId="11" borderId="1" xfId="0" applyNumberFormat="1" applyFill="1" applyBorder="1" applyAlignment="1">
      <alignment horizontal="center" vertical="top"/>
    </xf>
    <xf numFmtId="0" fontId="0" fillId="11" borderId="1" xfId="0" applyFill="1" applyBorder="1" applyAlignment="1">
      <alignment vertical="top"/>
    </xf>
    <xf numFmtId="2" fontId="108" fillId="11" borderId="1" xfId="0" applyNumberFormat="1" applyFont="1" applyFill="1" applyBorder="1" applyAlignment="1">
      <alignment horizontal="center" vertical="top"/>
    </xf>
    <xf numFmtId="2" fontId="0" fillId="11" borderId="1" xfId="0" applyNumberFormat="1" applyFill="1" applyBorder="1" applyAlignment="1">
      <alignment vertical="top"/>
    </xf>
    <xf numFmtId="2" fontId="0" fillId="0" borderId="0" xfId="0" applyNumberFormat="1" applyAlignment="1">
      <alignment vertical="top"/>
    </xf>
    <xf numFmtId="0" fontId="39" fillId="11" borderId="1" xfId="0" applyFont="1" applyFill="1" applyBorder="1" applyAlignment="1">
      <alignment horizontal="right" vertical="top" wrapText="1"/>
    </xf>
    <xf numFmtId="0" fontId="0" fillId="11" borderId="0" xfId="0" applyFill="1" applyAlignment="1">
      <alignment horizontal="center"/>
    </xf>
    <xf numFmtId="0" fontId="24" fillId="11" borderId="4" xfId="0" applyFont="1" applyFill="1" applyBorder="1" applyAlignment="1">
      <alignment horizontal="center" vertical="top" wrapText="1"/>
    </xf>
    <xf numFmtId="0" fontId="24" fillId="11" borderId="0" xfId="0" applyFont="1" applyFill="1" applyBorder="1" applyAlignment="1">
      <alignment horizontal="center" vertical="top" wrapText="1"/>
    </xf>
    <xf numFmtId="0" fontId="103" fillId="11" borderId="11" xfId="0" applyNumberFormat="1" applyFont="1" applyFill="1" applyBorder="1" applyAlignment="1">
      <alignment vertical="top" wrapText="1"/>
    </xf>
    <xf numFmtId="0" fontId="103" fillId="11" borderId="11" xfId="0" applyNumberFormat="1" applyFont="1" applyFill="1" applyBorder="1" applyAlignment="1">
      <alignment horizontal="justify" vertical="top" wrapText="1"/>
    </xf>
    <xf numFmtId="1" fontId="104" fillId="11" borderId="11" xfId="0" applyNumberFormat="1" applyFont="1" applyFill="1" applyBorder="1" applyAlignment="1">
      <alignment horizontal="center" vertical="top" wrapText="1"/>
    </xf>
    <xf numFmtId="1" fontId="103" fillId="11" borderId="11" xfId="0" applyNumberFormat="1" applyFont="1" applyFill="1" applyBorder="1" applyAlignment="1">
      <alignment vertical="top" wrapText="1"/>
    </xf>
    <xf numFmtId="1" fontId="104" fillId="11" borderId="11" xfId="0" applyNumberFormat="1" applyFont="1" applyFill="1" applyBorder="1" applyAlignment="1">
      <alignment vertical="top" wrapText="1"/>
    </xf>
    <xf numFmtId="0" fontId="0" fillId="11" borderId="11" xfId="0" applyFont="1" applyFill="1" applyBorder="1"/>
    <xf numFmtId="2" fontId="104" fillId="11" borderId="11" xfId="0" applyNumberFormat="1" applyFont="1" applyFill="1" applyBorder="1" applyAlignment="1">
      <alignment vertical="top" wrapText="1"/>
    </xf>
    <xf numFmtId="0" fontId="103" fillId="11" borderId="11" xfId="0" applyFont="1" applyFill="1" applyBorder="1" applyAlignment="1">
      <alignment horizontal="justify" vertical="top" wrapText="1"/>
    </xf>
    <xf numFmtId="0" fontId="103" fillId="11" borderId="11" xfId="0" applyFont="1" applyFill="1" applyBorder="1" applyAlignment="1">
      <alignment vertical="top" wrapText="1"/>
    </xf>
    <xf numFmtId="0" fontId="103" fillId="11" borderId="11" xfId="0" applyNumberFormat="1" applyFont="1" applyFill="1" applyBorder="1" applyAlignment="1">
      <alignment horizontal="right" vertical="top" wrapText="1"/>
    </xf>
    <xf numFmtId="0" fontId="103" fillId="11" borderId="11" xfId="0" applyFont="1" applyFill="1" applyBorder="1" applyAlignment="1">
      <alignment horizontal="left" vertical="top" wrapText="1"/>
    </xf>
    <xf numFmtId="0" fontId="105" fillId="11" borderId="11" xfId="0" applyFont="1" applyFill="1" applyBorder="1" applyAlignment="1">
      <alignment vertical="top"/>
    </xf>
    <xf numFmtId="2" fontId="103" fillId="11" borderId="11" xfId="0" applyNumberFormat="1" applyFont="1" applyFill="1" applyBorder="1" applyAlignment="1">
      <alignment horizontal="center" vertical="top" wrapText="1"/>
    </xf>
    <xf numFmtId="2" fontId="103" fillId="11" borderId="11" xfId="0" applyNumberFormat="1" applyFont="1" applyFill="1" applyBorder="1" applyAlignment="1">
      <alignment horizontal="right" vertical="top" wrapText="1"/>
    </xf>
    <xf numFmtId="0" fontId="103" fillId="11" borderId="11" xfId="0" applyFont="1" applyFill="1" applyBorder="1" applyAlignment="1">
      <alignment vertical="top"/>
    </xf>
    <xf numFmtId="1" fontId="103" fillId="11" borderId="11" xfId="0" applyNumberFormat="1" applyFont="1" applyFill="1" applyBorder="1" applyAlignment="1">
      <alignment horizontal="right" vertical="top" wrapText="1"/>
    </xf>
    <xf numFmtId="165" fontId="103" fillId="11" borderId="11" xfId="0" applyNumberFormat="1" applyFont="1" applyFill="1" applyBorder="1" applyAlignment="1">
      <alignment horizontal="right" vertical="top" wrapText="1"/>
    </xf>
    <xf numFmtId="2" fontId="103" fillId="11" borderId="11" xfId="0" applyNumberFormat="1" applyFont="1" applyFill="1" applyBorder="1" applyAlignment="1">
      <alignment horizontal="justify" vertical="top" wrapText="1"/>
    </xf>
    <xf numFmtId="2" fontId="104" fillId="11" borderId="11" xfId="0" applyNumberFormat="1" applyFont="1" applyFill="1" applyBorder="1" applyAlignment="1">
      <alignment horizontal="right" vertical="top" wrapText="1"/>
    </xf>
    <xf numFmtId="2" fontId="103" fillId="11" borderId="11" xfId="0" applyNumberFormat="1" applyFont="1" applyFill="1" applyBorder="1" applyAlignment="1">
      <alignment horizontal="left" vertical="top"/>
    </xf>
    <xf numFmtId="9" fontId="103" fillId="11" borderId="11" xfId="0" applyNumberFormat="1" applyFont="1" applyFill="1" applyBorder="1" applyAlignment="1">
      <alignment vertical="top"/>
    </xf>
    <xf numFmtId="2" fontId="105" fillId="11" borderId="11" xfId="3" applyNumberFormat="1" applyFont="1" applyFill="1" applyBorder="1" applyAlignment="1">
      <alignment horizontal="center" vertical="top"/>
    </xf>
    <xf numFmtId="0" fontId="105" fillId="11" borderId="11" xfId="0" applyFont="1" applyFill="1" applyBorder="1" applyAlignment="1">
      <alignment horizontal="center" vertical="top" wrapText="1"/>
    </xf>
    <xf numFmtId="0" fontId="103" fillId="11" borderId="18" xfId="0" applyNumberFormat="1" applyFont="1" applyFill="1" applyBorder="1" applyAlignment="1">
      <alignment vertical="top" wrapText="1"/>
    </xf>
    <xf numFmtId="0" fontId="103" fillId="11" borderId="18" xfId="0" applyNumberFormat="1" applyFont="1" applyFill="1" applyBorder="1" applyAlignment="1">
      <alignment horizontal="justify" vertical="top" wrapText="1"/>
    </xf>
    <xf numFmtId="1" fontId="104" fillId="11" borderId="18" xfId="0" applyNumberFormat="1" applyFont="1" applyFill="1" applyBorder="1" applyAlignment="1">
      <alignment horizontal="center" vertical="top" wrapText="1"/>
    </xf>
    <xf numFmtId="4" fontId="103" fillId="11" borderId="18" xfId="0" applyNumberFormat="1" applyFont="1" applyFill="1" applyBorder="1" applyAlignment="1">
      <alignment horizontal="left" vertical="top" wrapText="1"/>
    </xf>
    <xf numFmtId="0" fontId="103" fillId="11" borderId="18" xfId="0" applyFont="1" applyFill="1" applyBorder="1" applyAlignment="1">
      <alignment horizontal="left" vertical="top" wrapText="1"/>
    </xf>
    <xf numFmtId="0" fontId="0" fillId="11" borderId="18" xfId="0" applyFont="1" applyFill="1" applyBorder="1"/>
    <xf numFmtId="0" fontId="104" fillId="11" borderId="18" xfId="0" applyFont="1" applyFill="1" applyBorder="1" applyAlignment="1">
      <alignment horizontal="left" vertical="top" wrapText="1"/>
    </xf>
    <xf numFmtId="0" fontId="103" fillId="11" borderId="18" xfId="0" applyFont="1" applyFill="1" applyBorder="1" applyAlignment="1">
      <alignment horizontal="justify" vertical="top" wrapText="1"/>
    </xf>
    <xf numFmtId="0" fontId="103" fillId="11" borderId="18" xfId="0" applyFont="1" applyFill="1" applyBorder="1" applyAlignment="1">
      <alignment vertical="top"/>
    </xf>
    <xf numFmtId="0" fontId="103" fillId="11" borderId="18" xfId="0" applyFont="1" applyFill="1" applyBorder="1" applyAlignment="1">
      <alignment vertical="top" wrapText="1"/>
    </xf>
    <xf numFmtId="4" fontId="103" fillId="11" borderId="18" xfId="0" applyNumberFormat="1" applyFont="1" applyFill="1" applyBorder="1" applyAlignment="1">
      <alignment horizontal="left" vertical="top"/>
    </xf>
    <xf numFmtId="0" fontId="0" fillId="11" borderId="0" xfId="0" applyFont="1" applyFill="1" applyBorder="1"/>
    <xf numFmtId="2" fontId="103" fillId="11" borderId="18" xfId="0" applyNumberFormat="1" applyFont="1" applyFill="1" applyBorder="1" applyAlignment="1">
      <alignment horizontal="center" vertical="top" wrapText="1"/>
    </xf>
    <xf numFmtId="0" fontId="104" fillId="11" borderId="18" xfId="0" applyFont="1" applyFill="1" applyBorder="1" applyAlignment="1">
      <alignment horizontal="justify" vertical="top" wrapText="1"/>
    </xf>
    <xf numFmtId="1" fontId="103" fillId="11" borderId="18" xfId="0" applyNumberFormat="1" applyFont="1" applyFill="1" applyBorder="1" applyAlignment="1">
      <alignment vertical="top" wrapText="1"/>
    </xf>
    <xf numFmtId="0" fontId="105" fillId="11" borderId="18" xfId="0" applyFont="1" applyFill="1" applyBorder="1" applyAlignment="1">
      <alignment horizontal="center" vertical="top"/>
    </xf>
    <xf numFmtId="0" fontId="15" fillId="0" borderId="1" xfId="0" applyFont="1" applyFill="1" applyBorder="1" applyAlignment="1">
      <alignment horizontal="center" vertical="top" wrapText="1"/>
    </xf>
    <xf numFmtId="168" fontId="15" fillId="0" borderId="1" xfId="0" applyNumberFormat="1" applyFont="1" applyFill="1" applyBorder="1" applyAlignment="1">
      <alignment horizontal="center" vertical="top" wrapText="1"/>
    </xf>
    <xf numFmtId="169" fontId="15" fillId="0" borderId="1" xfId="0" applyNumberFormat="1" applyFont="1" applyFill="1" applyBorder="1" applyAlignment="1">
      <alignment horizontal="center" vertical="top" wrapText="1"/>
    </xf>
    <xf numFmtId="0" fontId="0" fillId="11" borderId="0" xfId="0" applyFont="1" applyFill="1" applyBorder="1" applyAlignment="1">
      <alignment horizontal="center"/>
    </xf>
    <xf numFmtId="0" fontId="0" fillId="11" borderId="0" xfId="0" applyFont="1" applyFill="1" applyAlignment="1">
      <alignment horizontal="center"/>
    </xf>
    <xf numFmtId="0" fontId="0" fillId="11" borderId="1" xfId="0" applyFont="1" applyFill="1" applyBorder="1" applyAlignment="1">
      <alignment horizontal="center" vertical="top"/>
    </xf>
    <xf numFmtId="0" fontId="0" fillId="11" borderId="0" xfId="0" applyFont="1" applyFill="1" applyAlignment="1">
      <alignment horizontal="center" vertical="top"/>
    </xf>
    <xf numFmtId="0" fontId="0" fillId="0" borderId="0" xfId="0"/>
    <xf numFmtId="0" fontId="6" fillId="0" borderId="0" xfId="0" applyFont="1" applyAlignment="1">
      <alignment horizontal="center"/>
    </xf>
    <xf numFmtId="0" fontId="0" fillId="0" borderId="0" xfId="0" applyAlignment="1">
      <alignment horizontal="center"/>
    </xf>
    <xf numFmtId="0" fontId="53" fillId="0" borderId="0" xfId="6" applyFont="1" applyFill="1" applyBorder="1" applyAlignment="1">
      <alignment horizontal="left" vertical="center"/>
    </xf>
    <xf numFmtId="0" fontId="53" fillId="0" borderId="0" xfId="6" applyFont="1" applyFill="1" applyBorder="1" applyAlignment="1">
      <alignment horizontal="right" vertical="center"/>
    </xf>
    <xf numFmtId="0" fontId="3" fillId="0" borderId="0" xfId="0" applyFont="1" applyAlignment="1">
      <alignment horizontal="left"/>
    </xf>
    <xf numFmtId="0" fontId="46" fillId="0" borderId="0" xfId="0" applyFont="1" applyFill="1" applyBorder="1" applyAlignment="1">
      <alignment horizontal="right" vertical="center" wrapText="1"/>
    </xf>
    <xf numFmtId="0" fontId="0" fillId="0" borderId="32" xfId="0" applyBorder="1" applyAlignment="1">
      <alignment horizontal="center"/>
    </xf>
    <xf numFmtId="0" fontId="0" fillId="0" borderId="32" xfId="0" applyBorder="1" applyAlignment="1">
      <alignment horizontal="center" vertical="center"/>
    </xf>
    <xf numFmtId="2" fontId="0" fillId="0" borderId="32" xfId="0" applyNumberFormat="1" applyBorder="1" applyAlignment="1">
      <alignment horizontal="right" vertical="center"/>
    </xf>
    <xf numFmtId="2" fontId="3" fillId="0" borderId="32" xfId="0" applyNumberFormat="1" applyFont="1" applyBorder="1" applyAlignment="1">
      <alignment horizontal="right" vertical="center"/>
    </xf>
    <xf numFmtId="0" fontId="3" fillId="0" borderId="32" xfId="0" applyFont="1" applyBorder="1" applyAlignment="1">
      <alignment horizontal="center" vertical="center"/>
    </xf>
    <xf numFmtId="0" fontId="3" fillId="0" borderId="34" xfId="0" applyFont="1" applyBorder="1" applyAlignment="1">
      <alignment horizontal="center" vertical="center"/>
    </xf>
    <xf numFmtId="0" fontId="0" fillId="0" borderId="34" xfId="0" applyBorder="1" applyAlignment="1">
      <alignment horizontal="center"/>
    </xf>
    <xf numFmtId="0" fontId="0" fillId="0" borderId="34" xfId="0" applyBorder="1" applyAlignment="1">
      <alignment vertical="center"/>
    </xf>
    <xf numFmtId="0" fontId="7" fillId="0" borderId="34" xfId="0" applyFont="1" applyBorder="1" applyAlignment="1">
      <alignment vertical="center"/>
    </xf>
    <xf numFmtId="0" fontId="7" fillId="0" borderId="34" xfId="0" applyFont="1" applyBorder="1" applyAlignment="1">
      <alignment horizontal="right" vertical="center"/>
    </xf>
    <xf numFmtId="0" fontId="7" fillId="0" borderId="34" xfId="0" applyFont="1" applyBorder="1" applyAlignment="1">
      <alignment horizontal="left" vertical="center" wrapText="1"/>
    </xf>
    <xf numFmtId="0" fontId="3" fillId="0" borderId="33" xfId="0" applyFont="1" applyBorder="1" applyAlignment="1">
      <alignment horizontal="center" vertical="center"/>
    </xf>
    <xf numFmtId="0" fontId="0" fillId="0" borderId="33" xfId="0" applyBorder="1" applyAlignment="1">
      <alignment horizontal="center"/>
    </xf>
    <xf numFmtId="0" fontId="0" fillId="0" borderId="33" xfId="0" applyBorder="1" applyAlignment="1">
      <alignment vertical="center"/>
    </xf>
    <xf numFmtId="0" fontId="7" fillId="0" borderId="33" xfId="0" applyFont="1" applyBorder="1" applyAlignment="1">
      <alignment vertical="center"/>
    </xf>
    <xf numFmtId="0" fontId="7" fillId="0" borderId="33" xfId="0" applyFont="1" applyBorder="1" applyAlignment="1">
      <alignment horizontal="right" vertical="center"/>
    </xf>
    <xf numFmtId="0" fontId="7" fillId="0" borderId="33" xfId="0" applyFont="1" applyBorder="1" applyAlignment="1">
      <alignment horizontal="left" vertical="center" wrapText="1"/>
    </xf>
    <xf numFmtId="0" fontId="0" fillId="0" borderId="0" xfId="0"/>
    <xf numFmtId="0" fontId="2" fillId="0" borderId="0" xfId="10" applyFont="1" applyFill="1" applyBorder="1" applyAlignment="1">
      <alignment vertical="center"/>
    </xf>
    <xf numFmtId="0" fontId="2" fillId="0" borderId="0" xfId="10" applyFont="1" applyFill="1" applyBorder="1"/>
    <xf numFmtId="0" fontId="2" fillId="0" borderId="0" xfId="10" applyFont="1" applyFill="1" applyBorder="1" applyAlignment="1">
      <alignment horizontal="center"/>
    </xf>
    <xf numFmtId="0" fontId="113" fillId="0" borderId="0" xfId="10" applyFont="1" applyFill="1" applyBorder="1" applyAlignment="1">
      <alignment horizontal="center" vertical="center"/>
    </xf>
    <xf numFmtId="0" fontId="116" fillId="0" borderId="0" xfId="10" applyFont="1" applyFill="1" applyBorder="1"/>
    <xf numFmtId="0" fontId="117" fillId="0" borderId="0" xfId="10" applyFont="1" applyFill="1" applyBorder="1" applyAlignment="1">
      <alignment horizontal="center"/>
    </xf>
    <xf numFmtId="0" fontId="117" fillId="0" borderId="0" xfId="10" applyFont="1" applyFill="1" applyBorder="1" applyAlignment="1">
      <alignment horizontal="center" vertical="top"/>
    </xf>
    <xf numFmtId="0" fontId="118" fillId="0" borderId="0" xfId="10" applyFont="1" applyFill="1" applyBorder="1" applyAlignment="1">
      <alignment horizontal="left" vertical="top"/>
    </xf>
    <xf numFmtId="0" fontId="117" fillId="0" borderId="0" xfId="10" applyFont="1" applyFill="1" applyBorder="1" applyAlignment="1">
      <alignment horizontal="left" vertical="center" wrapText="1"/>
    </xf>
    <xf numFmtId="0" fontId="117" fillId="0" borderId="0" xfId="10" applyFont="1" applyFill="1" applyBorder="1" applyAlignment="1">
      <alignment horizontal="center" vertical="center"/>
    </xf>
    <xf numFmtId="0" fontId="119" fillId="0" borderId="0" xfId="10" applyFont="1" applyFill="1" applyBorder="1" applyAlignment="1">
      <alignment horizontal="left" vertical="center"/>
    </xf>
    <xf numFmtId="0" fontId="120" fillId="0" borderId="0" xfId="10" applyFont="1" applyFill="1" applyBorder="1" applyAlignment="1">
      <alignment horizontal="left" vertical="center" wrapText="1"/>
    </xf>
    <xf numFmtId="0" fontId="119" fillId="0" borderId="0" xfId="10" applyFont="1" applyFill="1" applyBorder="1" applyAlignment="1">
      <alignment horizontal="left" vertical="center" wrapText="1"/>
    </xf>
    <xf numFmtId="0" fontId="114" fillId="0" borderId="0" xfId="10" applyFont="1" applyFill="1" applyBorder="1" applyAlignment="1">
      <alignment horizontal="center" vertical="center"/>
    </xf>
    <xf numFmtId="0" fontId="122" fillId="0" borderId="0" xfId="10" applyFont="1" applyFill="1" applyBorder="1" applyAlignment="1">
      <alignment horizontal="center" vertical="center"/>
    </xf>
    <xf numFmtId="0" fontId="169" fillId="0" borderId="0" xfId="752" applyFont="1" applyFill="1" applyBorder="1" applyAlignment="1">
      <alignment horizontal="center" vertical="top" wrapText="1"/>
    </xf>
    <xf numFmtId="0" fontId="170" fillId="0" borderId="0" xfId="752" applyFont="1" applyFill="1" applyBorder="1" applyAlignment="1">
      <alignment vertical="top" wrapText="1"/>
    </xf>
    <xf numFmtId="0" fontId="171" fillId="0" borderId="0" xfId="752" applyFont="1" applyFill="1" applyBorder="1" applyAlignment="1">
      <alignment horizontal="center" vertical="top" wrapText="1"/>
    </xf>
    <xf numFmtId="0" fontId="83" fillId="0" borderId="32" xfId="752" applyFont="1" applyFill="1" applyBorder="1" applyAlignment="1">
      <alignment horizontal="center" vertical="top" wrapText="1"/>
    </xf>
    <xf numFmtId="0" fontId="83" fillId="0" borderId="0" xfId="752" applyFont="1" applyFill="1" applyBorder="1" applyAlignment="1">
      <alignment horizontal="center" vertical="top" wrapText="1"/>
    </xf>
    <xf numFmtId="0" fontId="83" fillId="0" borderId="0" xfId="752" applyFont="1" applyFill="1" applyBorder="1" applyAlignment="1">
      <alignment vertical="top" wrapText="1"/>
    </xf>
    <xf numFmtId="0" fontId="172" fillId="0" borderId="32" xfId="752" applyFont="1" applyFill="1" applyBorder="1" applyAlignment="1">
      <alignment horizontal="center" vertical="top" wrapText="1"/>
    </xf>
    <xf numFmtId="0" fontId="172" fillId="0" borderId="0" xfId="752" applyFont="1" applyFill="1" applyBorder="1" applyAlignment="1">
      <alignment horizontal="center" vertical="top" wrapText="1"/>
    </xf>
    <xf numFmtId="0" fontId="83" fillId="0" borderId="32" xfId="752" applyFont="1" applyFill="1" applyBorder="1" applyAlignment="1">
      <alignment vertical="top" wrapText="1"/>
    </xf>
    <xf numFmtId="2" fontId="83" fillId="0" borderId="32" xfId="752" applyNumberFormat="1" applyFont="1" applyFill="1" applyBorder="1" applyAlignment="1">
      <alignment vertical="top" wrapText="1"/>
    </xf>
    <xf numFmtId="2" fontId="83" fillId="0" borderId="32" xfId="752" applyNumberFormat="1" applyFont="1" applyFill="1" applyBorder="1" applyAlignment="1">
      <alignment horizontal="right" vertical="top" wrapText="1"/>
    </xf>
    <xf numFmtId="2" fontId="83" fillId="0" borderId="0" xfId="752" applyNumberFormat="1" applyFont="1" applyFill="1" applyBorder="1" applyAlignment="1">
      <alignment horizontal="right" vertical="top" wrapText="1"/>
    </xf>
    <xf numFmtId="165" fontId="83" fillId="0" borderId="32" xfId="752" applyNumberFormat="1" applyFont="1" applyFill="1" applyBorder="1" applyAlignment="1">
      <alignment vertical="top" wrapText="1"/>
    </xf>
    <xf numFmtId="2" fontId="83" fillId="0" borderId="49" xfId="752" applyNumberFormat="1" applyFont="1" applyFill="1" applyBorder="1" applyAlignment="1">
      <alignment horizontal="right" vertical="top" wrapText="1"/>
    </xf>
    <xf numFmtId="0" fontId="83" fillId="0" borderId="49" xfId="752" applyFont="1" applyFill="1" applyBorder="1" applyAlignment="1">
      <alignment vertical="top" wrapText="1"/>
    </xf>
    <xf numFmtId="2" fontId="83" fillId="0" borderId="49" xfId="752" applyNumberFormat="1" applyFont="1" applyFill="1" applyBorder="1" applyAlignment="1">
      <alignment vertical="top" wrapText="1"/>
    </xf>
    <xf numFmtId="2" fontId="173" fillId="0" borderId="51" xfId="752" applyNumberFormat="1" applyFont="1" applyFill="1" applyBorder="1" applyAlignment="1">
      <alignment horizontal="right" vertical="top" wrapText="1"/>
    </xf>
    <xf numFmtId="0" fontId="83" fillId="0" borderId="51" xfId="752" applyFont="1" applyFill="1" applyBorder="1" applyAlignment="1">
      <alignment vertical="top" wrapText="1"/>
    </xf>
    <xf numFmtId="2" fontId="173" fillId="0" borderId="0" xfId="752" applyNumberFormat="1" applyFont="1" applyFill="1" applyBorder="1" applyAlignment="1">
      <alignment horizontal="right" vertical="top" wrapText="1"/>
    </xf>
    <xf numFmtId="2" fontId="83" fillId="0" borderId="50" xfId="752" applyNumberFormat="1" applyFont="1" applyFill="1" applyBorder="1" applyAlignment="1">
      <alignment horizontal="right" vertical="top" wrapText="1"/>
    </xf>
    <xf numFmtId="0" fontId="83" fillId="0" borderId="50" xfId="752" applyFont="1" applyFill="1" applyBorder="1" applyAlignment="1">
      <alignment vertical="top" wrapText="1"/>
    </xf>
    <xf numFmtId="2" fontId="83" fillId="0" borderId="50" xfId="752" applyNumberFormat="1" applyFont="1" applyFill="1" applyBorder="1" applyAlignment="1">
      <alignment vertical="top" wrapText="1"/>
    </xf>
    <xf numFmtId="2" fontId="174" fillId="0" borderId="50" xfId="752" applyNumberFormat="1" applyFont="1" applyFill="1" applyBorder="1" applyAlignment="1">
      <alignment vertical="top" wrapText="1"/>
    </xf>
    <xf numFmtId="0" fontId="175" fillId="0" borderId="32" xfId="752" applyFont="1" applyFill="1" applyBorder="1" applyAlignment="1">
      <alignment horizontal="center" vertical="top" wrapText="1"/>
    </xf>
    <xf numFmtId="0" fontId="175" fillId="0" borderId="32" xfId="752" applyFont="1" applyFill="1" applyBorder="1" applyAlignment="1">
      <alignment vertical="top" wrapText="1"/>
    </xf>
    <xf numFmtId="2" fontId="176" fillId="0" borderId="32" xfId="752" applyNumberFormat="1" applyFont="1" applyFill="1" applyBorder="1" applyAlignment="1">
      <alignment horizontal="right" vertical="top" wrapText="1"/>
    </xf>
    <xf numFmtId="0" fontId="176" fillId="0" borderId="32" xfId="752" applyFont="1" applyFill="1" applyBorder="1" applyAlignment="1">
      <alignment vertical="top" wrapText="1"/>
    </xf>
    <xf numFmtId="2" fontId="175" fillId="0" borderId="32" xfId="752" applyNumberFormat="1" applyFont="1" applyFill="1" applyBorder="1" applyAlignment="1">
      <alignment horizontal="right" vertical="top" wrapText="1"/>
    </xf>
    <xf numFmtId="2" fontId="175" fillId="0" borderId="0" xfId="752" applyNumberFormat="1" applyFont="1" applyFill="1" applyBorder="1" applyAlignment="1">
      <alignment horizontal="right" vertical="top" wrapText="1"/>
    </xf>
    <xf numFmtId="0" fontId="175" fillId="0" borderId="0" xfId="752" applyFont="1" applyFill="1" applyBorder="1" applyAlignment="1">
      <alignment vertical="top" wrapText="1"/>
    </xf>
    <xf numFmtId="0" fontId="175" fillId="0" borderId="49" xfId="752" applyFont="1" applyFill="1" applyBorder="1" applyAlignment="1">
      <alignment horizontal="center" vertical="top" wrapText="1"/>
    </xf>
    <xf numFmtId="0" fontId="175" fillId="0" borderId="49" xfId="752" applyFont="1" applyFill="1" applyBorder="1" applyAlignment="1">
      <alignment vertical="top" wrapText="1"/>
    </xf>
    <xf numFmtId="2" fontId="175" fillId="0" borderId="49" xfId="752" applyNumberFormat="1" applyFont="1" applyFill="1" applyBorder="1" applyAlignment="1">
      <alignment horizontal="right" vertical="top" wrapText="1"/>
    </xf>
    <xf numFmtId="2" fontId="175" fillId="0" borderId="49" xfId="752" applyNumberFormat="1" applyFont="1" applyFill="1" applyBorder="1" applyAlignment="1">
      <alignment vertical="top" wrapText="1"/>
    </xf>
    <xf numFmtId="0" fontId="83" fillId="0" borderId="52" xfId="752" applyFont="1" applyFill="1" applyBorder="1" applyAlignment="1">
      <alignment vertical="top" wrapText="1"/>
    </xf>
    <xf numFmtId="2" fontId="83" fillId="0" borderId="52" xfId="752" applyNumberFormat="1" applyFont="1" applyFill="1" applyBorder="1" applyAlignment="1">
      <alignment horizontal="right" vertical="top" wrapText="1"/>
    </xf>
    <xf numFmtId="0" fontId="83" fillId="0" borderId="52" xfId="752" applyFont="1" applyFill="1" applyBorder="1" applyAlignment="1">
      <alignment horizontal="right" vertical="top" wrapText="1"/>
    </xf>
    <xf numFmtId="0" fontId="83" fillId="0" borderId="0" xfId="752" applyFont="1" applyFill="1" applyBorder="1" applyAlignment="1">
      <alignment horizontal="right" vertical="top" wrapText="1"/>
    </xf>
    <xf numFmtId="0" fontId="177" fillId="0" borderId="0" xfId="752" applyFont="1" applyFill="1" applyBorder="1" applyAlignment="1">
      <alignment horizontal="center" vertical="top"/>
    </xf>
    <xf numFmtId="0" fontId="177" fillId="0" borderId="0" xfId="752" applyFont="1" applyFill="1" applyBorder="1" applyAlignment="1">
      <alignment horizontal="center" vertical="top" wrapText="1"/>
    </xf>
    <xf numFmtId="0" fontId="170" fillId="0" borderId="0" xfId="752" applyFont="1" applyFill="1" applyBorder="1" applyAlignment="1">
      <alignment horizontal="right" vertical="top" wrapText="1"/>
    </xf>
    <xf numFmtId="0" fontId="179" fillId="0" borderId="0" xfId="751" applyFont="1" applyFill="1"/>
    <xf numFmtId="0" fontId="180" fillId="0" borderId="0" xfId="751" applyFont="1" applyFill="1" applyAlignment="1">
      <alignment horizontal="center" vertical="top" wrapText="1"/>
    </xf>
    <xf numFmtId="0" fontId="180" fillId="0" borderId="0" xfId="751" applyFont="1" applyFill="1" applyAlignment="1">
      <alignment horizontal="left" vertical="top" wrapText="1"/>
    </xf>
    <xf numFmtId="0" fontId="179" fillId="0" borderId="0" xfId="751" applyFont="1" applyFill="1" applyAlignment="1">
      <alignment horizontal="left" vertical="top"/>
    </xf>
    <xf numFmtId="0" fontId="180" fillId="0" borderId="0" xfId="751" applyFont="1" applyFill="1" applyAlignment="1">
      <alignment horizontal="left" vertical="top"/>
    </xf>
    <xf numFmtId="0" fontId="180" fillId="0" borderId="0" xfId="751" applyFont="1" applyFill="1" applyAlignment="1">
      <alignment horizontal="center" vertical="top"/>
    </xf>
    <xf numFmtId="0" fontId="100" fillId="0" borderId="32" xfId="751" applyFont="1" applyFill="1" applyBorder="1" applyAlignment="1">
      <alignment horizontal="center" vertical="center" wrapText="1"/>
    </xf>
    <xf numFmtId="0" fontId="179" fillId="0" borderId="0" xfId="751" applyFont="1" applyFill="1" applyAlignment="1">
      <alignment horizontal="center" vertical="center" wrapText="1"/>
    </xf>
    <xf numFmtId="0" fontId="100" fillId="0" borderId="32" xfId="751" applyFont="1" applyFill="1" applyBorder="1" applyAlignment="1">
      <alignment horizontal="center" vertical="top" wrapText="1"/>
    </xf>
    <xf numFmtId="0" fontId="100" fillId="0" borderId="32" xfId="751" applyFont="1" applyFill="1" applyBorder="1" applyAlignment="1">
      <alignment horizontal="center" vertical="top"/>
    </xf>
    <xf numFmtId="0" fontId="100" fillId="0" borderId="32" xfId="751" applyFont="1" applyFill="1" applyBorder="1" applyAlignment="1">
      <alignment vertical="top" wrapText="1"/>
    </xf>
    <xf numFmtId="0" fontId="100" fillId="0" borderId="32" xfId="751" applyFont="1" applyFill="1" applyBorder="1" applyAlignment="1">
      <alignment vertical="top"/>
    </xf>
    <xf numFmtId="2" fontId="179" fillId="0" borderId="0" xfId="751" applyNumberFormat="1" applyFont="1" applyFill="1" applyAlignment="1">
      <alignment vertical="top"/>
    </xf>
    <xf numFmtId="0" fontId="179" fillId="0" borderId="0" xfId="751" applyFont="1" applyFill="1" applyAlignment="1">
      <alignment vertical="top"/>
    </xf>
    <xf numFmtId="2" fontId="100" fillId="0" borderId="32" xfId="751" applyNumberFormat="1" applyFont="1" applyFill="1" applyBorder="1" applyAlignment="1">
      <alignment vertical="top"/>
    </xf>
    <xf numFmtId="2" fontId="181" fillId="0" borderId="32" xfId="751" applyNumberFormat="1" applyFont="1" applyFill="1" applyBorder="1" applyAlignment="1">
      <alignment vertical="top"/>
    </xf>
    <xf numFmtId="2" fontId="181" fillId="0" borderId="32" xfId="751" applyNumberFormat="1" applyFont="1" applyFill="1" applyBorder="1" applyAlignment="1">
      <alignment horizontal="right" vertical="top" wrapText="1"/>
    </xf>
    <xf numFmtId="165" fontId="100" fillId="0" borderId="32" xfId="751" applyNumberFormat="1" applyFont="1" applyFill="1" applyBorder="1" applyAlignment="1">
      <alignment vertical="top"/>
    </xf>
    <xf numFmtId="2" fontId="100" fillId="0" borderId="32" xfId="751" applyNumberFormat="1" applyFont="1" applyFill="1" applyBorder="1" applyAlignment="1">
      <alignment horizontal="right" vertical="top" wrapText="1"/>
    </xf>
    <xf numFmtId="0" fontId="182" fillId="0" borderId="32" xfId="751" applyFont="1" applyFill="1" applyBorder="1" applyAlignment="1">
      <alignment vertical="top"/>
    </xf>
    <xf numFmtId="0" fontId="181" fillId="0" borderId="32" xfId="751" applyFont="1" applyFill="1" applyBorder="1" applyAlignment="1">
      <alignment vertical="top"/>
    </xf>
    <xf numFmtId="1" fontId="181" fillId="0" borderId="32" xfId="751" applyNumberFormat="1" applyFont="1" applyFill="1" applyBorder="1" applyAlignment="1">
      <alignment vertical="top"/>
    </xf>
    <xf numFmtId="2" fontId="181" fillId="0" borderId="32" xfId="751" applyNumberFormat="1" applyFont="1" applyFill="1" applyBorder="1" applyAlignment="1">
      <alignment horizontal="center" vertical="top"/>
    </xf>
    <xf numFmtId="0" fontId="100" fillId="0" borderId="32" xfId="751" applyFont="1" applyFill="1" applyBorder="1" applyAlignment="1">
      <alignment horizontal="justify" vertical="top" wrapText="1"/>
    </xf>
    <xf numFmtId="1" fontId="183" fillId="0" borderId="32" xfId="751" applyNumberFormat="1" applyFont="1" applyFill="1" applyBorder="1" applyAlignment="1">
      <alignment vertical="top"/>
    </xf>
    <xf numFmtId="0" fontId="100" fillId="0" borderId="32" xfId="751" applyFont="1" applyFill="1" applyBorder="1" applyAlignment="1">
      <alignment horizontal="center"/>
    </xf>
    <xf numFmtId="0" fontId="100" fillId="0" borderId="32" xfId="751" applyFont="1" applyFill="1" applyBorder="1"/>
    <xf numFmtId="2" fontId="100" fillId="0" borderId="32" xfId="751" applyNumberFormat="1" applyFont="1" applyFill="1" applyBorder="1"/>
    <xf numFmtId="2" fontId="181" fillId="0" borderId="32" xfId="751" applyNumberFormat="1" applyFont="1" applyFill="1" applyBorder="1"/>
    <xf numFmtId="2" fontId="179" fillId="0" borderId="0" xfId="751" applyNumberFormat="1" applyFont="1" applyFill="1"/>
    <xf numFmtId="0" fontId="179" fillId="0" borderId="0" xfId="751" applyFont="1" applyFill="1" applyAlignment="1">
      <alignment horizontal="center" vertical="top"/>
    </xf>
    <xf numFmtId="0" fontId="179" fillId="0" borderId="0" xfId="751" applyFont="1" applyFill="1" applyAlignment="1">
      <alignment horizontal="center"/>
    </xf>
    <xf numFmtId="0" fontId="184" fillId="0" borderId="0" xfId="751" applyFont="1" applyFill="1" applyBorder="1" applyAlignment="1">
      <alignment vertical="top"/>
    </xf>
    <xf numFmtId="0" fontId="179" fillId="0" borderId="0" xfId="751" applyFont="1" applyFill="1" applyBorder="1" applyAlignment="1">
      <alignment horizontal="center"/>
    </xf>
    <xf numFmtId="0" fontId="179" fillId="0" borderId="0" xfId="751" applyFont="1" applyFill="1" applyAlignment="1">
      <alignment horizontal="center" vertical="center"/>
    </xf>
    <xf numFmtId="0" fontId="172" fillId="0" borderId="34" xfId="752" applyFont="1" applyFill="1" applyBorder="1" applyAlignment="1">
      <alignment horizontal="center" vertical="top" wrapText="1"/>
    </xf>
    <xf numFmtId="2" fontId="173" fillId="0" borderId="34" xfId="752" applyNumberFormat="1" applyFont="1" applyFill="1" applyBorder="1" applyAlignment="1">
      <alignment vertical="top" wrapText="1"/>
    </xf>
    <xf numFmtId="0" fontId="83" fillId="0" borderId="34" xfId="752" applyFont="1" applyFill="1" applyBorder="1" applyAlignment="1">
      <alignment vertical="top" wrapText="1"/>
    </xf>
    <xf numFmtId="0" fontId="175" fillId="0" borderId="34" xfId="752" applyFont="1" applyFill="1" applyBorder="1" applyAlignment="1">
      <alignment vertical="top" wrapText="1"/>
    </xf>
    <xf numFmtId="0" fontId="175" fillId="0" borderId="53" xfId="752" applyFont="1" applyFill="1" applyBorder="1" applyAlignment="1">
      <alignment vertical="top" wrapText="1"/>
    </xf>
    <xf numFmtId="0" fontId="172" fillId="0" borderId="33" xfId="752" applyFont="1" applyFill="1" applyBorder="1" applyAlignment="1">
      <alignment horizontal="center" vertical="top" wrapText="1"/>
    </xf>
    <xf numFmtId="0" fontId="83" fillId="0" borderId="33" xfId="752" applyFont="1" applyFill="1" applyBorder="1" applyAlignment="1">
      <alignment vertical="top" wrapText="1"/>
    </xf>
    <xf numFmtId="0" fontId="175" fillId="0" borderId="33" xfId="752" applyFont="1" applyFill="1" applyBorder="1" applyAlignment="1">
      <alignment vertical="top" wrapText="1"/>
    </xf>
    <xf numFmtId="0" fontId="175" fillId="0" borderId="54" xfId="752" applyFont="1" applyFill="1" applyBorder="1" applyAlignment="1">
      <alignment vertical="top" wrapText="1"/>
    </xf>
    <xf numFmtId="0" fontId="35" fillId="0" borderId="0" xfId="0" applyFont="1" applyAlignment="1">
      <alignment vertical="center"/>
    </xf>
    <xf numFmtId="0" fontId="2" fillId="0" borderId="32" xfId="0" applyFont="1" applyBorder="1" applyAlignment="1">
      <alignment horizontal="center" vertical="center"/>
    </xf>
    <xf numFmtId="0" fontId="35" fillId="0" borderId="32" xfId="0" applyFont="1" applyBorder="1" applyAlignment="1">
      <alignment horizontal="center" vertical="center" wrapText="1"/>
    </xf>
    <xf numFmtId="0" fontId="4" fillId="0" borderId="32" xfId="0" applyFont="1" applyBorder="1" applyAlignment="1">
      <alignment horizontal="center" vertical="top"/>
    </xf>
    <xf numFmtId="2" fontId="4" fillId="0" borderId="32" xfId="0" applyNumberFormat="1" applyFont="1" applyBorder="1" applyAlignment="1">
      <alignment vertical="top"/>
    </xf>
    <xf numFmtId="2" fontId="4" fillId="0" borderId="32" xfId="0" applyNumberFormat="1" applyFont="1" applyBorder="1" applyAlignment="1">
      <alignment horizontal="center" vertical="top"/>
    </xf>
    <xf numFmtId="0" fontId="4" fillId="0" borderId="32" xfId="0" applyFont="1" applyBorder="1" applyAlignment="1">
      <alignment vertical="top"/>
    </xf>
    <xf numFmtId="0" fontId="6" fillId="0" borderId="32" xfId="0" applyFont="1" applyBorder="1" applyAlignment="1">
      <alignment horizontal="center" vertical="center"/>
    </xf>
    <xf numFmtId="0" fontId="6" fillId="0" borderId="32" xfId="0" applyFont="1" applyBorder="1" applyAlignment="1">
      <alignment vertical="center"/>
    </xf>
    <xf numFmtId="2" fontId="6" fillId="0" borderId="32" xfId="0" applyNumberFormat="1" applyFont="1" applyBorder="1" applyAlignment="1">
      <alignment vertical="center"/>
    </xf>
    <xf numFmtId="0" fontId="4" fillId="0" borderId="32" xfId="0" applyFont="1" applyBorder="1" applyAlignment="1">
      <alignment horizontal="center"/>
    </xf>
    <xf numFmtId="0" fontId="4" fillId="0" borderId="32" xfId="0" applyFont="1" applyBorder="1"/>
    <xf numFmtId="2" fontId="4" fillId="0" borderId="32" xfId="0" applyNumberFormat="1" applyFont="1" applyBorder="1"/>
    <xf numFmtId="0" fontId="2" fillId="0" borderId="34" xfId="0" applyFont="1" applyBorder="1" applyAlignment="1">
      <alignment vertical="center"/>
    </xf>
    <xf numFmtId="0" fontId="6" fillId="0" borderId="34" xfId="0" applyFont="1" applyBorder="1" applyAlignment="1">
      <alignment vertical="center"/>
    </xf>
    <xf numFmtId="0" fontId="6" fillId="0" borderId="34" xfId="0" applyFont="1" applyBorder="1" applyAlignment="1"/>
    <xf numFmtId="2" fontId="4" fillId="0" borderId="33" xfId="0" applyNumberFormat="1" applyFont="1" applyBorder="1" applyAlignment="1">
      <alignment horizontal="center" vertical="top"/>
    </xf>
    <xf numFmtId="0" fontId="6" fillId="0" borderId="33" xfId="0" applyFont="1" applyBorder="1" applyAlignment="1">
      <alignment vertical="center"/>
    </xf>
    <xf numFmtId="0" fontId="6" fillId="0" borderId="33" xfId="0" applyFont="1" applyBorder="1" applyAlignment="1"/>
    <xf numFmtId="0" fontId="6" fillId="0" borderId="0" xfId="0" applyFont="1" applyBorder="1" applyAlignment="1"/>
    <xf numFmtId="0" fontId="4" fillId="0" borderId="32" xfId="0" applyFont="1" applyBorder="1" applyAlignment="1">
      <alignment vertical="top" wrapText="1"/>
    </xf>
    <xf numFmtId="2" fontId="6" fillId="0" borderId="32" xfId="0" applyNumberFormat="1" applyFont="1" applyBorder="1" applyAlignment="1">
      <alignment horizontal="center" vertical="center"/>
    </xf>
    <xf numFmtId="0" fontId="6" fillId="0" borderId="32" xfId="0" applyFont="1" applyBorder="1" applyAlignment="1">
      <alignment horizontal="center"/>
    </xf>
    <xf numFmtId="2" fontId="4" fillId="0" borderId="32" xfId="0" applyNumberFormat="1" applyFont="1" applyBorder="1" applyAlignment="1">
      <alignment horizontal="center"/>
    </xf>
    <xf numFmtId="2" fontId="4" fillId="0" borderId="34" xfId="0" applyNumberFormat="1" applyFont="1" applyBorder="1" applyAlignment="1">
      <alignment horizontal="right" vertical="top"/>
    </xf>
    <xf numFmtId="0" fontId="4" fillId="0" borderId="34" xfId="0" applyFont="1" applyBorder="1" applyAlignment="1">
      <alignment horizontal="right" vertical="top"/>
    </xf>
    <xf numFmtId="166" fontId="4" fillId="0" borderId="34" xfId="0" applyNumberFormat="1" applyFont="1" applyBorder="1" applyAlignment="1">
      <alignment horizontal="right" vertical="top"/>
    </xf>
    <xf numFmtId="1" fontId="4" fillId="0" borderId="34" xfId="0" applyNumberFormat="1" applyFont="1" applyBorder="1" applyAlignment="1">
      <alignment horizontal="right" vertical="top"/>
    </xf>
    <xf numFmtId="0" fontId="11" fillId="0" borderId="0" xfId="0" applyFont="1" applyFill="1"/>
    <xf numFmtId="0" fontId="11" fillId="0" borderId="0" xfId="0" applyFont="1" applyFill="1" applyAlignment="1">
      <alignment vertical="top"/>
    </xf>
    <xf numFmtId="0" fontId="56" fillId="0" borderId="0" xfId="0" applyFont="1" applyFill="1" applyAlignment="1">
      <alignment vertical="top"/>
    </xf>
    <xf numFmtId="0" fontId="11" fillId="0" borderId="0" xfId="0" applyFont="1" applyFill="1" applyBorder="1" applyAlignment="1">
      <alignment horizontal="left" wrapText="1"/>
    </xf>
    <xf numFmtId="0" fontId="10" fillId="0" borderId="4" xfId="0" applyFont="1" applyFill="1" applyBorder="1" applyAlignment="1">
      <alignment horizontal="right"/>
    </xf>
    <xf numFmtId="2" fontId="11" fillId="0" borderId="4" xfId="0" applyNumberFormat="1" applyFont="1" applyFill="1" applyBorder="1" applyAlignment="1">
      <alignment horizontal="right"/>
    </xf>
    <xf numFmtId="0" fontId="11" fillId="0" borderId="4" xfId="0" applyFont="1" applyFill="1" applyBorder="1" applyAlignment="1">
      <alignment horizontal="left"/>
    </xf>
    <xf numFmtId="0" fontId="44" fillId="0" borderId="4" xfId="0" applyFont="1" applyFill="1" applyBorder="1" applyAlignment="1"/>
    <xf numFmtId="0" fontId="11" fillId="0" borderId="0" xfId="0" applyFont="1" applyFill="1" applyBorder="1" applyAlignment="1">
      <alignment horizontal="left"/>
    </xf>
    <xf numFmtId="0" fontId="0" fillId="0" borderId="0" xfId="0" applyFill="1" applyAlignment="1">
      <alignment vertical="top"/>
    </xf>
    <xf numFmtId="0" fontId="0" fillId="0" borderId="1" xfId="0" applyFill="1" applyBorder="1" applyAlignment="1">
      <alignment horizontal="center" vertical="center"/>
    </xf>
    <xf numFmtId="0" fontId="0" fillId="0" borderId="0" xfId="0" applyFill="1"/>
    <xf numFmtId="0" fontId="4" fillId="0" borderId="0" xfId="0" applyFont="1" applyFill="1" applyAlignment="1">
      <alignment vertical="top"/>
    </xf>
    <xf numFmtId="0" fontId="4" fillId="0" borderId="0" xfId="0" applyFont="1" applyFill="1"/>
    <xf numFmtId="0" fontId="4" fillId="0" borderId="0" xfId="0" applyFont="1" applyFill="1" applyAlignment="1">
      <alignment horizontal="center"/>
    </xf>
    <xf numFmtId="2" fontId="4" fillId="0" borderId="0" xfId="0" applyNumberFormat="1" applyFont="1" applyFill="1" applyAlignment="1">
      <alignment horizontal="right"/>
    </xf>
    <xf numFmtId="0" fontId="4" fillId="0" borderId="0" xfId="0" applyFont="1" applyFill="1" applyAlignment="1">
      <alignment wrapText="1"/>
    </xf>
    <xf numFmtId="0" fontId="4" fillId="0" borderId="0" xfId="0" applyFont="1" applyFill="1" applyAlignment="1">
      <alignment horizontal="right"/>
    </xf>
    <xf numFmtId="0" fontId="4" fillId="0" borderId="0" xfId="0" applyFont="1" applyFill="1" applyAlignment="1">
      <alignment horizontal="center" vertical="top"/>
    </xf>
    <xf numFmtId="2" fontId="4" fillId="0" borderId="0" xfId="0" applyNumberFormat="1" applyFont="1" applyFill="1" applyAlignment="1">
      <alignment horizontal="right" vertical="center"/>
    </xf>
    <xf numFmtId="2" fontId="4" fillId="0" borderId="4" xfId="0" applyNumberFormat="1" applyFont="1" applyFill="1" applyBorder="1" applyAlignment="1">
      <alignment horizontal="center"/>
    </xf>
    <xf numFmtId="1" fontId="4" fillId="0" borderId="0" xfId="0" applyNumberFormat="1" applyFont="1" applyFill="1"/>
    <xf numFmtId="2" fontId="4" fillId="0" borderId="0" xfId="0" applyNumberFormat="1" applyFont="1" applyFill="1" applyAlignment="1">
      <alignment horizontal="center"/>
    </xf>
    <xf numFmtId="0" fontId="4" fillId="0" borderId="0" xfId="0" applyFont="1" applyFill="1" applyAlignment="1">
      <alignment horizontal="justify" vertical="justify" wrapText="1"/>
    </xf>
    <xf numFmtId="0" fontId="4" fillId="0" borderId="0" xfId="0" applyFont="1" applyFill="1" applyAlignment="1">
      <alignment horizontal="right" vertical="justify" wrapText="1"/>
    </xf>
    <xf numFmtId="2" fontId="4" fillId="0" borderId="0" xfId="0" applyNumberFormat="1" applyFont="1" applyFill="1" applyAlignment="1">
      <alignment horizontal="right" vertical="justify" wrapText="1"/>
    </xf>
    <xf numFmtId="0" fontId="4" fillId="0" borderId="0" xfId="0" applyFont="1" applyFill="1" applyAlignment="1">
      <alignment vertical="center"/>
    </xf>
    <xf numFmtId="2" fontId="4" fillId="0" borderId="0" xfId="0" applyNumberFormat="1" applyFont="1" applyFill="1" applyAlignment="1">
      <alignment horizontal="center" vertical="center"/>
    </xf>
    <xf numFmtId="1" fontId="4" fillId="0" borderId="0" xfId="0" applyNumberFormat="1" applyFont="1" applyFill="1" applyAlignment="1">
      <alignment vertical="center"/>
    </xf>
    <xf numFmtId="0" fontId="4" fillId="0" borderId="0" xfId="0" applyFont="1" applyFill="1" applyAlignment="1"/>
    <xf numFmtId="0" fontId="6" fillId="0" borderId="0" xfId="0" applyFont="1" applyFill="1" applyAlignment="1">
      <alignment horizontal="justify" vertical="justify" wrapText="1"/>
    </xf>
    <xf numFmtId="2" fontId="6" fillId="0" borderId="0" xfId="0" applyNumberFormat="1" applyFont="1" applyFill="1" applyAlignment="1">
      <alignment horizontal="right"/>
    </xf>
    <xf numFmtId="0" fontId="4" fillId="0" borderId="0" xfId="0" applyFont="1" applyFill="1" applyAlignment="1">
      <alignment horizontal="left"/>
    </xf>
    <xf numFmtId="2" fontId="4" fillId="0" borderId="0" xfId="0" applyNumberFormat="1" applyFont="1" applyFill="1"/>
    <xf numFmtId="0" fontId="4" fillId="0" borderId="0" xfId="0" applyFont="1" applyFill="1" applyAlignment="1">
      <alignment horizontal="left" vertical="justify" wrapText="1"/>
    </xf>
    <xf numFmtId="0" fontId="6" fillId="0" borderId="0" xfId="0" applyFont="1" applyFill="1" applyAlignment="1">
      <alignment horizontal="left"/>
    </xf>
    <xf numFmtId="2" fontId="4" fillId="0" borderId="0" xfId="0" applyNumberFormat="1" applyFont="1" applyFill="1" applyBorder="1" applyAlignment="1">
      <alignment horizontal="center"/>
    </xf>
    <xf numFmtId="0" fontId="4" fillId="0" borderId="0" xfId="0" applyFont="1" applyFill="1" applyBorder="1" applyAlignment="1">
      <alignment horizontal="center"/>
    </xf>
    <xf numFmtId="165" fontId="4" fillId="0" borderId="0" xfId="0" applyNumberFormat="1" applyFont="1" applyFill="1"/>
    <xf numFmtId="2" fontId="4" fillId="0" borderId="0" xfId="0" applyNumberFormat="1" applyFont="1" applyFill="1" applyAlignment="1">
      <alignment vertical="center"/>
    </xf>
    <xf numFmtId="0" fontId="6" fillId="0" borderId="0" xfId="0" applyFont="1" applyFill="1"/>
    <xf numFmtId="0" fontId="4" fillId="0" borderId="0" xfId="0" applyFont="1" applyFill="1" applyAlignment="1">
      <alignment horizontal="righ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1" fontId="4" fillId="0" borderId="0" xfId="0" applyNumberFormat="1" applyFont="1" applyFill="1" applyAlignment="1"/>
    <xf numFmtId="0" fontId="4" fillId="0" borderId="0" xfId="0" applyFont="1" applyFill="1" applyBorder="1" applyAlignment="1">
      <alignment vertical="justify" wrapText="1"/>
    </xf>
    <xf numFmtId="0" fontId="7" fillId="0" borderId="0" xfId="0" applyFont="1" applyFill="1"/>
    <xf numFmtId="0" fontId="7" fillId="0" borderId="0" xfId="0" applyFont="1" applyFill="1" applyAlignment="1">
      <alignment horizontal="right"/>
    </xf>
    <xf numFmtId="1" fontId="3" fillId="0" borderId="0" xfId="0" applyNumberFormat="1" applyFont="1" applyFill="1"/>
    <xf numFmtId="0" fontId="7" fillId="0" borderId="0" xfId="0" applyFont="1" applyFill="1" applyAlignment="1">
      <alignment horizontal="center"/>
    </xf>
    <xf numFmtId="1" fontId="3" fillId="0" borderId="0" xfId="0" applyNumberFormat="1" applyFont="1" applyFill="1" applyAlignment="1">
      <alignment horizontal="center"/>
    </xf>
    <xf numFmtId="0" fontId="0" fillId="0" borderId="0" xfId="0" applyFill="1" applyAlignment="1">
      <alignment horizontal="right"/>
    </xf>
    <xf numFmtId="0" fontId="0" fillId="0" borderId="0" xfId="0" applyFill="1" applyAlignment="1">
      <alignment horizontal="center"/>
    </xf>
    <xf numFmtId="0" fontId="62" fillId="0" borderId="0" xfId="0" applyFont="1" applyFill="1" applyAlignment="1">
      <alignment horizontal="center" vertical="center"/>
    </xf>
    <xf numFmtId="0" fontId="6" fillId="0" borderId="0" xfId="0" applyFont="1" applyFill="1" applyAlignment="1"/>
    <xf numFmtId="0" fontId="3" fillId="0" borderId="0" xfId="0" applyFont="1" applyFill="1" applyAlignment="1"/>
    <xf numFmtId="0" fontId="3" fillId="0" borderId="0" xfId="0" applyFont="1" applyFill="1" applyAlignment="1">
      <alignment horizontal="right"/>
    </xf>
    <xf numFmtId="1" fontId="0" fillId="0" borderId="0" xfId="0" applyNumberFormat="1" applyFill="1"/>
    <xf numFmtId="0" fontId="56" fillId="0" borderId="0" xfId="0" applyFont="1" applyFill="1"/>
    <xf numFmtId="0" fontId="56" fillId="0" borderId="0" xfId="0" applyFont="1" applyFill="1" applyBorder="1" applyAlignment="1">
      <alignment horizontal="left"/>
    </xf>
    <xf numFmtId="0" fontId="44" fillId="0" borderId="0" xfId="0" applyFont="1" applyFill="1" applyBorder="1" applyAlignment="1">
      <alignment horizontal="left"/>
    </xf>
    <xf numFmtId="0" fontId="44" fillId="0" borderId="0" xfId="0" applyFont="1" applyFill="1" applyBorder="1" applyAlignment="1">
      <alignment horizontal="center"/>
    </xf>
    <xf numFmtId="0" fontId="10" fillId="0" borderId="0" xfId="0" applyFont="1" applyFill="1" applyBorder="1" applyAlignment="1">
      <alignment horizontal="right"/>
    </xf>
    <xf numFmtId="164" fontId="11" fillId="0" borderId="0" xfId="0" applyNumberFormat="1" applyFont="1" applyFill="1" applyBorder="1" applyAlignment="1">
      <alignment horizontal="right"/>
    </xf>
    <xf numFmtId="0" fontId="57" fillId="0" borderId="1" xfId="0" applyFont="1" applyFill="1" applyBorder="1" applyAlignment="1">
      <alignment horizontal="center" vertical="top" wrapText="1"/>
    </xf>
    <xf numFmtId="0" fontId="4" fillId="0" borderId="1" xfId="0" applyFont="1" applyFill="1" applyBorder="1" applyAlignment="1">
      <alignment horizontal="center" vertical="center"/>
    </xf>
    <xf numFmtId="0" fontId="4" fillId="0" borderId="1" xfId="0" applyFont="1" applyFill="1" applyBorder="1"/>
    <xf numFmtId="0" fontId="4" fillId="0" borderId="0" xfId="0" applyFont="1" applyFill="1" applyAlignment="1">
      <alignment horizontal="center" vertical="justify" wrapText="1"/>
    </xf>
    <xf numFmtId="0" fontId="4" fillId="0" borderId="0" xfId="0" applyFont="1" applyFill="1" applyAlignment="1">
      <alignment vertical="top" wrapText="1"/>
    </xf>
    <xf numFmtId="2" fontId="4" fillId="0" borderId="0" xfId="0" applyNumberFormat="1" applyFont="1" applyFill="1" applyAlignment="1">
      <alignment horizontal="center" vertical="justify" wrapText="1"/>
    </xf>
    <xf numFmtId="1" fontId="4" fillId="0" borderId="0" xfId="0" applyNumberFormat="1" applyFont="1" applyFill="1" applyAlignment="1">
      <alignment horizontal="center"/>
    </xf>
    <xf numFmtId="1" fontId="6" fillId="0" borderId="0" xfId="0" applyNumberFormat="1" applyFont="1" applyFill="1"/>
    <xf numFmtId="166" fontId="83" fillId="0" borderId="32" xfId="752" applyNumberFormat="1" applyFont="1" applyFill="1" applyBorder="1" applyAlignment="1">
      <alignment vertical="top" wrapText="1"/>
    </xf>
    <xf numFmtId="0" fontId="66" fillId="0" borderId="4" xfId="0" applyFont="1" applyFill="1" applyBorder="1" applyAlignment="1">
      <alignment vertical="center"/>
    </xf>
    <xf numFmtId="0" fontId="3" fillId="0" borderId="0" xfId="0" applyFont="1" applyFill="1" applyAlignment="1">
      <alignment vertical="top"/>
    </xf>
    <xf numFmtId="0" fontId="6" fillId="0" borderId="0" xfId="0" applyFont="1" applyFill="1" applyAlignment="1">
      <alignment vertical="top"/>
    </xf>
    <xf numFmtId="0" fontId="6" fillId="0" borderId="0" xfId="0" applyFont="1" applyFill="1" applyAlignment="1">
      <alignment horizontal="center" vertical="top"/>
    </xf>
    <xf numFmtId="0" fontId="42" fillId="0" borderId="0" xfId="6" applyFont="1" applyFill="1" applyBorder="1" applyAlignment="1">
      <alignment vertical="top"/>
    </xf>
    <xf numFmtId="2" fontId="42" fillId="0" borderId="1" xfId="6" applyNumberFormat="1" applyFont="1" applyFill="1" applyBorder="1" applyAlignment="1">
      <alignment vertical="top"/>
    </xf>
    <xf numFmtId="0" fontId="42" fillId="0" borderId="1" xfId="6" applyFont="1" applyFill="1" applyBorder="1" applyAlignment="1">
      <alignment vertical="top"/>
    </xf>
    <xf numFmtId="2" fontId="4" fillId="0" borderId="1" xfId="0" applyNumberFormat="1" applyFont="1" applyFill="1" applyBorder="1" applyAlignment="1">
      <alignment vertical="top"/>
    </xf>
    <xf numFmtId="0" fontId="4" fillId="0" borderId="1" xfId="0" applyFont="1" applyFill="1" applyBorder="1" applyAlignment="1">
      <alignment vertical="top"/>
    </xf>
    <xf numFmtId="2" fontId="4" fillId="0" borderId="1" xfId="0" applyNumberFormat="1" applyFont="1" applyFill="1" applyBorder="1" applyAlignment="1">
      <alignment horizontal="center" vertical="top"/>
    </xf>
    <xf numFmtId="0" fontId="4" fillId="0" borderId="1" xfId="0" applyFont="1" applyFill="1" applyBorder="1" applyAlignment="1">
      <alignment horizontal="center" vertical="top"/>
    </xf>
    <xf numFmtId="0" fontId="16" fillId="0" borderId="0" xfId="6" applyFont="1" applyFill="1" applyBorder="1" applyAlignment="1">
      <alignment horizontal="center" vertical="top"/>
    </xf>
    <xf numFmtId="0" fontId="16" fillId="0" borderId="1" xfId="6" applyFont="1" applyFill="1" applyBorder="1" applyAlignment="1">
      <alignment vertical="top"/>
    </xf>
    <xf numFmtId="0" fontId="16" fillId="0" borderId="0" xfId="6" applyFont="1" applyFill="1" applyBorder="1" applyAlignment="1">
      <alignment vertical="top"/>
    </xf>
    <xf numFmtId="0" fontId="7" fillId="0" borderId="1" xfId="6" applyFont="1" applyFill="1" applyBorder="1" applyAlignment="1">
      <alignment vertical="top"/>
    </xf>
    <xf numFmtId="0" fontId="42" fillId="0" borderId="1" xfId="6" applyFont="1" applyFill="1" applyBorder="1"/>
    <xf numFmtId="0" fontId="4" fillId="0" borderId="1" xfId="6" applyFont="1" applyFill="1" applyBorder="1"/>
    <xf numFmtId="0" fontId="7" fillId="0" borderId="1" xfId="6" applyFont="1" applyFill="1" applyBorder="1"/>
    <xf numFmtId="2" fontId="4" fillId="0" borderId="1" xfId="6" applyNumberFormat="1" applyFont="1" applyFill="1" applyBorder="1" applyAlignment="1">
      <alignment horizontal="center"/>
    </xf>
    <xf numFmtId="0" fontId="4" fillId="0" borderId="1" xfId="6" applyFont="1" applyFill="1" applyBorder="1" applyAlignment="1">
      <alignment horizontal="left"/>
    </xf>
    <xf numFmtId="0" fontId="4" fillId="0" borderId="1" xfId="6" applyFont="1" applyFill="1" applyBorder="1" applyAlignment="1">
      <alignment horizontal="center"/>
    </xf>
    <xf numFmtId="0" fontId="57" fillId="0" borderId="0" xfId="0" applyFont="1" applyFill="1" applyBorder="1" applyAlignment="1">
      <alignment horizontal="center" vertical="top" wrapText="1"/>
    </xf>
    <xf numFmtId="0" fontId="57" fillId="0" borderId="0" xfId="0" applyFont="1" applyFill="1" applyBorder="1" applyAlignment="1">
      <alignment horizontal="center" wrapText="1"/>
    </xf>
    <xf numFmtId="2" fontId="95" fillId="0" borderId="0" xfId="0" applyNumberFormat="1" applyFont="1" applyFill="1" applyBorder="1" applyAlignment="1">
      <alignment horizontal="right" vertical="center" shrinkToFit="1"/>
    </xf>
    <xf numFmtId="2" fontId="4" fillId="0" borderId="0" xfId="0" applyNumberFormat="1" applyFont="1" applyFill="1" applyBorder="1" applyAlignment="1">
      <alignment horizontal="right" vertical="center" wrapText="1"/>
    </xf>
    <xf numFmtId="2" fontId="6" fillId="0" borderId="0" xfId="0" applyNumberFormat="1" applyFont="1" applyFill="1" applyBorder="1" applyAlignment="1">
      <alignment horizontal="right" vertical="center" wrapText="1"/>
    </xf>
    <xf numFmtId="2" fontId="95" fillId="0" borderId="0" xfId="0" applyNumberFormat="1" applyFont="1" applyFill="1" applyBorder="1" applyAlignment="1">
      <alignment horizontal="right" vertical="center" wrapText="1"/>
    </xf>
    <xf numFmtId="168" fontId="57" fillId="0" borderId="0" xfId="0" applyNumberFormat="1" applyFont="1" applyFill="1" applyBorder="1" applyAlignment="1">
      <alignment vertical="top" wrapText="1"/>
    </xf>
    <xf numFmtId="2" fontId="4" fillId="0" borderId="0" xfId="0" applyNumberFormat="1" applyFont="1" applyFill="1" applyBorder="1" applyAlignment="1">
      <alignment vertical="top" wrapText="1"/>
    </xf>
    <xf numFmtId="0" fontId="90" fillId="0" borderId="0" xfId="0" applyFont="1" applyFill="1" applyBorder="1" applyAlignment="1">
      <alignment vertical="top" wrapText="1"/>
    </xf>
    <xf numFmtId="0" fontId="57" fillId="0" borderId="0" xfId="0" applyFont="1" applyFill="1" applyBorder="1" applyAlignment="1">
      <alignment vertical="top" wrapText="1"/>
    </xf>
    <xf numFmtId="2" fontId="57" fillId="0" borderId="0" xfId="0" applyNumberFormat="1" applyFont="1" applyFill="1" applyBorder="1" applyAlignment="1">
      <alignment vertical="top" wrapText="1"/>
    </xf>
    <xf numFmtId="0" fontId="4" fillId="0" borderId="0" xfId="0" applyFont="1" applyFill="1" applyBorder="1" applyAlignment="1">
      <alignment horizontal="left" vertical="top" wrapText="1"/>
    </xf>
    <xf numFmtId="2" fontId="4" fillId="0" borderId="0" xfId="0" applyNumberFormat="1" applyFont="1" applyFill="1" applyBorder="1" applyAlignment="1">
      <alignment horizontal="left" vertical="top" wrapText="1"/>
    </xf>
    <xf numFmtId="0" fontId="6" fillId="0" borderId="0" xfId="0" applyFont="1" applyFill="1" applyBorder="1" applyAlignment="1">
      <alignment horizontal="center" vertical="top" wrapText="1"/>
    </xf>
    <xf numFmtId="168" fontId="24" fillId="0" borderId="0" xfId="0" applyNumberFormat="1" applyFont="1" applyFill="1" applyBorder="1" applyAlignment="1">
      <alignment horizontal="justify" vertical="top" wrapText="1"/>
    </xf>
    <xf numFmtId="170" fontId="4" fillId="0" borderId="0" xfId="0" applyNumberFormat="1" applyFont="1" applyFill="1" applyBorder="1" applyAlignment="1">
      <alignment horizontal="center" vertical="center" wrapText="1"/>
    </xf>
    <xf numFmtId="168" fontId="37" fillId="0" borderId="0" xfId="0" applyNumberFormat="1" applyFont="1" applyFill="1" applyBorder="1" applyAlignment="1">
      <alignment horizontal="center" vertical="center" wrapText="1"/>
    </xf>
    <xf numFmtId="0" fontId="4" fillId="0" borderId="0" xfId="0" applyFont="1" applyFill="1" applyBorder="1"/>
    <xf numFmtId="2" fontId="68" fillId="0" borderId="0" xfId="0" applyNumberFormat="1" applyFont="1" applyFill="1" applyBorder="1" applyAlignment="1">
      <alignment horizontal="right" vertical="center"/>
    </xf>
    <xf numFmtId="170" fontId="4" fillId="0" borderId="0" xfId="0" applyNumberFormat="1" applyFont="1" applyFill="1" applyBorder="1" applyAlignment="1">
      <alignment horizontal="right" vertical="center" wrapText="1"/>
    </xf>
    <xf numFmtId="170" fontId="4" fillId="0" borderId="0" xfId="0" applyNumberFormat="1" applyFont="1" applyFill="1" applyBorder="1" applyAlignment="1">
      <alignment horizontal="left" vertical="center" wrapText="1"/>
    </xf>
    <xf numFmtId="166" fontId="4" fillId="0" borderId="0" xfId="0" applyNumberFormat="1" applyFont="1" applyFill="1" applyBorder="1" applyAlignment="1">
      <alignment horizontal="right" vertical="center" wrapText="1"/>
    </xf>
    <xf numFmtId="165" fontId="4" fillId="0" borderId="0" xfId="0" applyNumberFormat="1" applyFont="1" applyFill="1" applyBorder="1" applyAlignment="1">
      <alignment horizontal="right" vertical="center" wrapText="1"/>
    </xf>
    <xf numFmtId="1" fontId="4" fillId="0" borderId="0" xfId="0" applyNumberFormat="1" applyFont="1" applyFill="1" applyBorder="1" applyAlignment="1">
      <alignment horizontal="center" vertical="center" wrapText="1"/>
    </xf>
    <xf numFmtId="2" fontId="6" fillId="0" borderId="0" xfId="0" applyNumberFormat="1" applyFont="1" applyFill="1" applyBorder="1" applyAlignment="1">
      <alignment vertical="center" wrapText="1"/>
    </xf>
    <xf numFmtId="2" fontId="95" fillId="0" borderId="0" xfId="0" applyNumberFormat="1" applyFont="1" applyFill="1" applyBorder="1" applyAlignment="1">
      <alignment horizontal="center" vertical="top" shrinkToFit="1"/>
    </xf>
    <xf numFmtId="0" fontId="7" fillId="0" borderId="0" xfId="0" applyFont="1" applyFill="1" applyBorder="1" applyAlignment="1">
      <alignment horizontal="justify" vertical="justify" wrapText="1"/>
    </xf>
    <xf numFmtId="2" fontId="7" fillId="0" borderId="0" xfId="0" applyNumberFormat="1" applyFont="1" applyFill="1" applyBorder="1" applyAlignment="1">
      <alignment horizontal="right" vertical="justify" wrapText="1"/>
    </xf>
    <xf numFmtId="0" fontId="7" fillId="0" borderId="0" xfId="0" applyFont="1" applyFill="1" applyBorder="1" applyAlignment="1">
      <alignment horizontal="center" vertical="justify" wrapText="1"/>
    </xf>
    <xf numFmtId="2" fontId="7" fillId="0" borderId="0" xfId="0" applyNumberFormat="1" applyFont="1" applyFill="1" applyBorder="1" applyAlignment="1">
      <alignment horizontal="center" vertical="justify" wrapText="1"/>
    </xf>
    <xf numFmtId="0" fontId="0" fillId="11" borderId="1" xfId="0" applyFill="1" applyBorder="1" applyAlignment="1">
      <alignment wrapText="1"/>
    </xf>
    <xf numFmtId="2" fontId="32" fillId="0" borderId="0" xfId="6" applyNumberFormat="1" applyFont="1" applyFill="1" applyBorder="1" applyAlignment="1">
      <alignment vertical="center"/>
    </xf>
    <xf numFmtId="0" fontId="4" fillId="0" borderId="8" xfId="0" applyFont="1" applyFill="1" applyBorder="1" applyAlignment="1">
      <alignment horizontal="center" vertical="center"/>
    </xf>
    <xf numFmtId="0" fontId="4" fillId="0" borderId="0" xfId="0" applyFont="1" applyFill="1" applyAlignment="1">
      <alignment horizontal="justify" vertical="justify" wrapText="1"/>
    </xf>
    <xf numFmtId="0" fontId="0" fillId="0" borderId="6" xfId="0" applyFill="1" applyBorder="1" applyAlignment="1">
      <alignment horizontal="center" vertical="center"/>
    </xf>
    <xf numFmtId="0" fontId="4" fillId="0" borderId="0" xfId="0" applyFont="1" applyFill="1" applyBorder="1" applyAlignment="1">
      <alignment horizontal="justify" vertical="top" wrapText="1"/>
    </xf>
    <xf numFmtId="0" fontId="0" fillId="0" borderId="5" xfId="0" applyFill="1" applyBorder="1" applyAlignment="1">
      <alignment horizontal="center" vertical="center"/>
    </xf>
    <xf numFmtId="0" fontId="0" fillId="0" borderId="5" xfId="0" applyFill="1" applyBorder="1" applyAlignment="1">
      <alignment horizontal="right" vertical="center"/>
    </xf>
    <xf numFmtId="0" fontId="6" fillId="0" borderId="0" xfId="0" applyFont="1" applyFill="1" applyBorder="1" applyAlignment="1">
      <alignment horizontal="center" vertical="center" wrapText="1"/>
    </xf>
    <xf numFmtId="0" fontId="46" fillId="0" borderId="0" xfId="0" applyFont="1" applyFill="1" applyBorder="1" applyAlignment="1">
      <alignment horizontal="center" vertical="top" wrapText="1"/>
    </xf>
    <xf numFmtId="0" fontId="4" fillId="0" borderId="0" xfId="0" applyFont="1" applyFill="1" applyBorder="1" applyAlignment="1">
      <alignment horizontal="justify"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justify" vertical="center" wrapText="1"/>
    </xf>
    <xf numFmtId="0" fontId="4" fillId="0" borderId="6" xfId="0" applyFont="1" applyFill="1" applyBorder="1" applyAlignment="1">
      <alignment horizontal="center" vertical="center"/>
    </xf>
    <xf numFmtId="0" fontId="83" fillId="0" borderId="32" xfId="752" applyFont="1" applyFill="1" applyBorder="1" applyAlignment="1">
      <alignment horizontal="center" vertical="top" wrapText="1"/>
    </xf>
    <xf numFmtId="2" fontId="11" fillId="0" borderId="4" xfId="0" applyNumberFormat="1" applyFont="1" applyFill="1" applyBorder="1" applyAlignment="1">
      <alignment horizontal="left"/>
    </xf>
    <xf numFmtId="0" fontId="7" fillId="0" borderId="0" xfId="0" applyFont="1" applyFill="1" applyAlignment="1">
      <alignment horizontal="left"/>
    </xf>
    <xf numFmtId="0" fontId="0" fillId="0" borderId="0" xfId="0" applyFill="1" applyAlignment="1">
      <alignment horizontal="left"/>
    </xf>
    <xf numFmtId="0" fontId="3" fillId="0" borderId="0" xfId="0" applyFont="1" applyFill="1" applyAlignment="1">
      <alignment horizontal="left"/>
    </xf>
    <xf numFmtId="2" fontId="11" fillId="0" borderId="4" xfId="0" applyNumberFormat="1" applyFont="1" applyFill="1" applyBorder="1" applyAlignment="1">
      <alignment horizontal="center"/>
    </xf>
    <xf numFmtId="0" fontId="4" fillId="0" borderId="32" xfId="0" applyFont="1" applyFill="1" applyBorder="1" applyAlignment="1">
      <alignment vertical="top"/>
    </xf>
    <xf numFmtId="0" fontId="4" fillId="0" borderId="32" xfId="0" applyFont="1" applyFill="1" applyBorder="1"/>
    <xf numFmtId="0" fontId="4" fillId="0" borderId="32" xfId="0" applyFont="1" applyFill="1" applyBorder="1" applyAlignment="1">
      <alignment horizontal="center"/>
    </xf>
    <xf numFmtId="0" fontId="4" fillId="0" borderId="32" xfId="0" applyFont="1" applyFill="1" applyBorder="1" applyAlignment="1">
      <alignment horizontal="left"/>
    </xf>
    <xf numFmtId="2" fontId="4" fillId="0" borderId="32" xfId="0" applyNumberFormat="1" applyFont="1" applyFill="1" applyBorder="1" applyAlignment="1">
      <alignment horizontal="right" vertical="center"/>
    </xf>
    <xf numFmtId="2" fontId="4" fillId="0" borderId="32" xfId="0" applyNumberFormat="1" applyFont="1" applyFill="1" applyBorder="1" applyAlignment="1">
      <alignment horizontal="center"/>
    </xf>
    <xf numFmtId="1" fontId="4" fillId="0" borderId="32" xfId="0" applyNumberFormat="1" applyFont="1" applyFill="1" applyBorder="1"/>
    <xf numFmtId="0" fontId="4" fillId="0" borderId="32" xfId="0" applyFont="1" applyFill="1" applyBorder="1" applyAlignment="1">
      <alignment vertical="center"/>
    </xf>
    <xf numFmtId="0" fontId="4" fillId="0" borderId="32" xfId="0" applyFont="1" applyFill="1" applyBorder="1" applyAlignment="1">
      <alignment horizontal="justify" vertical="center" wrapText="1"/>
    </xf>
    <xf numFmtId="2" fontId="4" fillId="0" borderId="32" xfId="0" applyNumberFormat="1" applyFont="1" applyFill="1" applyBorder="1" applyAlignment="1">
      <alignment horizontal="right" vertical="center" wrapText="1"/>
    </xf>
    <xf numFmtId="2" fontId="4" fillId="0" borderId="32" xfId="0" applyNumberFormat="1" applyFont="1" applyFill="1" applyBorder="1" applyAlignment="1">
      <alignment horizontal="center" vertical="center"/>
    </xf>
    <xf numFmtId="1" fontId="4" fillId="0" borderId="32" xfId="0" applyNumberFormat="1" applyFont="1" applyFill="1" applyBorder="1" applyAlignment="1">
      <alignment vertical="center"/>
    </xf>
    <xf numFmtId="0" fontId="4" fillId="0" borderId="32" xfId="0" applyFont="1" applyFill="1" applyBorder="1" applyAlignment="1">
      <alignment horizontal="justify" vertical="top" wrapText="1"/>
    </xf>
    <xf numFmtId="2" fontId="4" fillId="0" borderId="32" xfId="0" applyNumberFormat="1" applyFont="1" applyFill="1" applyBorder="1" applyAlignment="1">
      <alignment horizontal="right" vertical="justify" wrapText="1"/>
    </xf>
    <xf numFmtId="2" fontId="4" fillId="0" borderId="32" xfId="0" applyNumberFormat="1" applyFont="1" applyFill="1" applyBorder="1" applyAlignment="1">
      <alignment horizontal="right"/>
    </xf>
    <xf numFmtId="0" fontId="4" fillId="0" borderId="32" xfId="0" applyFont="1" applyFill="1" applyBorder="1" applyAlignment="1">
      <alignment horizontal="right"/>
    </xf>
    <xf numFmtId="2" fontId="4" fillId="0" borderId="32" xfId="0" applyNumberFormat="1" applyFont="1" applyFill="1" applyBorder="1" applyAlignment="1"/>
    <xf numFmtId="0" fontId="6" fillId="0" borderId="32" xfId="0" applyFont="1" applyFill="1" applyBorder="1" applyAlignment="1">
      <alignment horizontal="justify" vertical="top" wrapText="1"/>
    </xf>
    <xf numFmtId="0" fontId="4" fillId="0" borderId="32" xfId="0" applyFont="1" applyFill="1" applyBorder="1" applyAlignment="1">
      <alignment horizontal="justify" vertical="top"/>
    </xf>
    <xf numFmtId="0" fontId="4" fillId="0" borderId="32" xfId="0" applyFont="1" applyFill="1" applyBorder="1" applyAlignment="1">
      <alignment horizontal="center" vertical="top"/>
    </xf>
    <xf numFmtId="0" fontId="4" fillId="0" borderId="32" xfId="0" applyFont="1" applyFill="1" applyBorder="1" applyAlignment="1"/>
    <xf numFmtId="0" fontId="4" fillId="0" borderId="32" xfId="0" applyFont="1" applyFill="1" applyBorder="1" applyAlignment="1">
      <alignment horizontal="justify" vertical="justify" wrapText="1"/>
    </xf>
    <xf numFmtId="0" fontId="6" fillId="0" borderId="32" xfId="0" applyFont="1" applyFill="1" applyBorder="1" applyAlignment="1">
      <alignment horizontal="justify" vertical="justify" wrapText="1"/>
    </xf>
    <xf numFmtId="2" fontId="4" fillId="0" borderId="32" xfId="0" applyNumberFormat="1" applyFont="1" applyFill="1" applyBorder="1" applyAlignment="1">
      <alignment horizontal="justify" vertical="justify" wrapText="1"/>
    </xf>
    <xf numFmtId="2" fontId="6" fillId="0" borderId="32" xfId="0" applyNumberFormat="1" applyFont="1" applyFill="1" applyBorder="1" applyAlignment="1">
      <alignment horizontal="right"/>
    </xf>
    <xf numFmtId="0" fontId="6" fillId="0" borderId="32" xfId="0" applyFont="1" applyFill="1" applyBorder="1" applyAlignment="1">
      <alignment horizontal="left"/>
    </xf>
    <xf numFmtId="2" fontId="4" fillId="0" borderId="32" xfId="0" applyNumberFormat="1" applyFont="1" applyFill="1" applyBorder="1"/>
    <xf numFmtId="0" fontId="6" fillId="0" borderId="32" xfId="0" applyFont="1" applyFill="1" applyBorder="1"/>
    <xf numFmtId="0" fontId="4" fillId="0" borderId="32" xfId="0" applyFont="1" applyFill="1" applyBorder="1" applyAlignment="1">
      <alignment wrapText="1"/>
    </xf>
    <xf numFmtId="0" fontId="4" fillId="0" borderId="32" xfId="0" applyFont="1" applyFill="1" applyBorder="1" applyAlignment="1">
      <alignment horizontal="center" vertical="center"/>
    </xf>
    <xf numFmtId="2" fontId="4" fillId="0" borderId="32" xfId="0" applyNumberFormat="1" applyFont="1" applyFill="1" applyBorder="1" applyAlignment="1">
      <alignment vertical="center"/>
    </xf>
    <xf numFmtId="0" fontId="4" fillId="0" borderId="32" xfId="0" applyFont="1" applyFill="1" applyBorder="1" applyAlignment="1">
      <alignment horizontal="right" vertical="center"/>
    </xf>
    <xf numFmtId="0" fontId="4" fillId="0" borderId="32" xfId="0" applyFont="1" applyFill="1" applyBorder="1" applyAlignment="1">
      <alignment horizontal="justify" vertical="justify"/>
    </xf>
    <xf numFmtId="1" fontId="4" fillId="0" borderId="32" xfId="0" applyNumberFormat="1" applyFont="1" applyFill="1" applyBorder="1" applyAlignment="1"/>
    <xf numFmtId="2" fontId="97" fillId="0" borderId="32" xfId="0" applyNumberFormat="1" applyFont="1" applyFill="1" applyBorder="1" applyAlignment="1">
      <alignment horizontal="center"/>
    </xf>
    <xf numFmtId="0" fontId="4" fillId="0" borderId="32" xfId="0" applyFont="1" applyFill="1" applyBorder="1" applyAlignment="1">
      <alignment vertical="justify" wrapText="1"/>
    </xf>
    <xf numFmtId="0" fontId="7" fillId="0" borderId="32" xfId="0" applyFont="1" applyFill="1" applyBorder="1"/>
    <xf numFmtId="0" fontId="7" fillId="0" borderId="32" xfId="0" applyFont="1" applyFill="1" applyBorder="1" applyAlignment="1">
      <alignment horizontal="right"/>
    </xf>
    <xf numFmtId="1" fontId="3" fillId="0" borderId="32" xfId="0" applyNumberFormat="1" applyFont="1" applyFill="1" applyBorder="1"/>
    <xf numFmtId="0" fontId="4" fillId="0" borderId="34" xfId="0" applyFont="1" applyFill="1" applyBorder="1"/>
    <xf numFmtId="0" fontId="4" fillId="0" borderId="34" xfId="0" applyFont="1" applyFill="1" applyBorder="1" applyAlignment="1">
      <alignment horizontal="right" vertical="center" wrapText="1"/>
    </xf>
    <xf numFmtId="0" fontId="4" fillId="0" borderId="34" xfId="0" applyFont="1" applyFill="1" applyBorder="1" applyAlignment="1">
      <alignment horizontal="right" vertical="justify" wrapText="1"/>
    </xf>
    <xf numFmtId="0" fontId="4" fillId="0" borderId="34" xfId="0" applyFont="1" applyFill="1" applyBorder="1" applyAlignment="1">
      <alignment horizontal="justify" vertical="top"/>
    </xf>
    <xf numFmtId="0" fontId="4" fillId="0" borderId="34" xfId="0" applyFont="1" applyFill="1" applyBorder="1" applyAlignment="1">
      <alignment horizontal="justify" vertical="center" wrapText="1"/>
    </xf>
    <xf numFmtId="0" fontId="4" fillId="0" borderId="34" xfId="0" applyFont="1" applyFill="1" applyBorder="1" applyAlignment="1">
      <alignment horizontal="justify" vertical="justify" wrapText="1"/>
    </xf>
    <xf numFmtId="0" fontId="4" fillId="0" borderId="34" xfId="0" applyFont="1" applyFill="1" applyBorder="1" applyAlignment="1">
      <alignment vertical="center"/>
    </xf>
    <xf numFmtId="0" fontId="4" fillId="0" borderId="34" xfId="0" applyFont="1" applyFill="1" applyBorder="1" applyAlignment="1">
      <alignment horizontal="justify" vertical="justify"/>
    </xf>
    <xf numFmtId="0" fontId="4" fillId="0" borderId="34" xfId="0" applyFont="1" applyFill="1" applyBorder="1" applyAlignment="1">
      <alignment horizontal="center"/>
    </xf>
    <xf numFmtId="0" fontId="4" fillId="0" borderId="34" xfId="0" applyFont="1" applyFill="1" applyBorder="1" applyAlignment="1"/>
    <xf numFmtId="0" fontId="7" fillId="0" borderId="34" xfId="0" applyFont="1" applyFill="1" applyBorder="1"/>
    <xf numFmtId="0" fontId="0" fillId="0" borderId="14" xfId="0" applyFill="1" applyBorder="1" applyAlignment="1">
      <alignment horizontal="left" vertical="center"/>
    </xf>
    <xf numFmtId="0" fontId="0" fillId="0" borderId="17" xfId="0" applyFill="1" applyBorder="1" applyAlignment="1">
      <alignment horizontal="left" vertical="center"/>
    </xf>
    <xf numFmtId="0" fontId="0" fillId="0" borderId="7" xfId="0" applyFill="1" applyBorder="1" applyAlignment="1">
      <alignment horizontal="left" vertical="center"/>
    </xf>
    <xf numFmtId="0" fontId="4" fillId="0" borderId="33" xfId="0" applyFont="1" applyFill="1" applyBorder="1" applyAlignment="1">
      <alignment horizontal="left"/>
    </xf>
    <xf numFmtId="0" fontId="4" fillId="0" borderId="33" xfId="0" applyFont="1" applyFill="1" applyBorder="1" applyAlignment="1">
      <alignment horizontal="left" vertical="center" wrapText="1"/>
    </xf>
    <xf numFmtId="0" fontId="4" fillId="0" borderId="33" xfId="0" applyFont="1" applyFill="1" applyBorder="1" applyAlignment="1">
      <alignment horizontal="left" vertical="justify" wrapText="1"/>
    </xf>
    <xf numFmtId="0" fontId="4" fillId="0" borderId="33" xfId="0" applyFont="1" applyFill="1" applyBorder="1" applyAlignment="1">
      <alignment horizontal="left" vertical="top"/>
    </xf>
    <xf numFmtId="0" fontId="4" fillId="0" borderId="33" xfId="0" applyFont="1" applyFill="1" applyBorder="1" applyAlignment="1">
      <alignment horizontal="left" vertical="center"/>
    </xf>
    <xf numFmtId="0" fontId="4" fillId="0" borderId="33" xfId="0" applyFont="1" applyFill="1" applyBorder="1" applyAlignment="1">
      <alignment horizontal="left" vertical="justify"/>
    </xf>
    <xf numFmtId="0" fontId="7" fillId="0" borderId="33" xfId="0" applyFont="1" applyFill="1" applyBorder="1" applyAlignment="1">
      <alignment horizontal="left"/>
    </xf>
    <xf numFmtId="0" fontId="0" fillId="0" borderId="14" xfId="0" applyFill="1" applyBorder="1" applyAlignment="1">
      <alignment horizontal="center" vertical="center"/>
    </xf>
    <xf numFmtId="0" fontId="0" fillId="0" borderId="4" xfId="0" applyFill="1" applyBorder="1" applyAlignment="1">
      <alignment horizontal="center" vertical="center"/>
    </xf>
    <xf numFmtId="0" fontId="4" fillId="0" borderId="56" xfId="0" applyFont="1" applyFill="1" applyBorder="1" applyAlignment="1">
      <alignment horizontal="center"/>
    </xf>
    <xf numFmtId="0" fontId="4" fillId="0" borderId="56" xfId="0" applyFont="1" applyFill="1" applyBorder="1" applyAlignment="1">
      <alignment horizontal="center" vertical="center" wrapText="1"/>
    </xf>
    <xf numFmtId="0" fontId="4" fillId="0" borderId="56" xfId="0" applyFont="1" applyFill="1" applyBorder="1" applyAlignment="1">
      <alignment horizontal="center" vertical="justify" wrapText="1"/>
    </xf>
    <xf numFmtId="0" fontId="4" fillId="0" borderId="56" xfId="0" applyFont="1" applyFill="1" applyBorder="1" applyAlignment="1">
      <alignment horizontal="center" vertical="top"/>
    </xf>
    <xf numFmtId="0" fontId="4" fillId="0" borderId="56" xfId="0" applyFont="1" applyFill="1" applyBorder="1" applyAlignment="1">
      <alignment horizontal="center" vertical="center"/>
    </xf>
    <xf numFmtId="0" fontId="4" fillId="0" borderId="56" xfId="0" applyFont="1" applyFill="1" applyBorder="1" applyAlignment="1">
      <alignment horizontal="center" vertical="justify"/>
    </xf>
    <xf numFmtId="0" fontId="7" fillId="0" borderId="56" xfId="0" applyFont="1" applyFill="1" applyBorder="1" applyAlignment="1">
      <alignment horizontal="center"/>
    </xf>
    <xf numFmtId="0" fontId="7" fillId="0" borderId="0" xfId="0" applyFont="1" applyFill="1" applyBorder="1" applyAlignment="1">
      <alignment horizontal="center"/>
    </xf>
    <xf numFmtId="0" fontId="0" fillId="0" borderId="0" xfId="0" applyFill="1" applyBorder="1" applyAlignment="1">
      <alignment horizontal="center"/>
    </xf>
    <xf numFmtId="0" fontId="3" fillId="0" borderId="0" xfId="0" applyFont="1" applyFill="1" applyBorder="1" applyAlignment="1">
      <alignment horizontal="center"/>
    </xf>
    <xf numFmtId="1" fontId="190" fillId="0" borderId="32" xfId="0" applyNumberFormat="1" applyFont="1" applyFill="1" applyBorder="1"/>
    <xf numFmtId="0" fontId="179" fillId="0" borderId="0" xfId="751" applyFont="1" applyFill="1" applyBorder="1"/>
    <xf numFmtId="0" fontId="2" fillId="0" borderId="0" xfId="751" applyFont="1" applyFill="1" applyBorder="1"/>
    <xf numFmtId="0" fontId="2" fillId="0" borderId="0" xfId="751" applyFont="1" applyFill="1"/>
    <xf numFmtId="168" fontId="2" fillId="0" borderId="0" xfId="751" applyNumberFormat="1" applyFont="1" applyFill="1" applyBorder="1"/>
    <xf numFmtId="0" fontId="3" fillId="0" borderId="0" xfId="751" applyFont="1" applyFill="1" applyBorder="1" applyAlignment="1">
      <alignment vertical="top" wrapText="1"/>
    </xf>
    <xf numFmtId="165" fontId="2" fillId="0" borderId="0" xfId="751" applyNumberFormat="1" applyFont="1" applyFill="1"/>
    <xf numFmtId="165" fontId="98" fillId="0" borderId="0" xfId="751" applyNumberFormat="1" applyFont="1" applyFill="1"/>
    <xf numFmtId="0" fontId="98" fillId="0" borderId="0" xfId="751" applyFont="1" applyFill="1" applyAlignment="1">
      <alignment horizontal="center"/>
    </xf>
    <xf numFmtId="165" fontId="98" fillId="0" borderId="0" xfId="751" applyNumberFormat="1" applyFont="1" applyFill="1" applyAlignment="1">
      <alignment horizontal="center"/>
    </xf>
    <xf numFmtId="0" fontId="98" fillId="0" borderId="0" xfId="751" applyFont="1" applyFill="1"/>
    <xf numFmtId="0" fontId="179" fillId="0" borderId="32" xfId="0" applyFont="1" applyFill="1" applyBorder="1" applyAlignment="1">
      <alignment vertical="top"/>
    </xf>
    <xf numFmtId="0" fontId="179" fillId="0" borderId="34" xfId="0" applyFont="1" applyFill="1" applyBorder="1" applyAlignment="1">
      <alignment vertical="top"/>
    </xf>
    <xf numFmtId="0" fontId="179" fillId="0" borderId="56" xfId="0" applyFont="1" applyFill="1" applyBorder="1" applyAlignment="1">
      <alignment horizontal="center" vertical="top"/>
    </xf>
    <xf numFmtId="0" fontId="179" fillId="0" borderId="33" xfId="0" applyFont="1" applyFill="1" applyBorder="1" applyAlignment="1">
      <alignment horizontal="left" vertical="top"/>
    </xf>
    <xf numFmtId="2" fontId="179" fillId="0" borderId="32" xfId="0" applyNumberFormat="1" applyFont="1" applyFill="1" applyBorder="1" applyAlignment="1">
      <alignment horizontal="center" vertical="top"/>
    </xf>
    <xf numFmtId="2" fontId="170" fillId="0" borderId="32" xfId="0" applyNumberFormat="1" applyFont="1" applyFill="1" applyBorder="1" applyAlignment="1">
      <alignment horizontal="right" vertical="top"/>
    </xf>
    <xf numFmtId="0" fontId="186" fillId="0" borderId="32" xfId="0" applyFont="1" applyFill="1" applyBorder="1" applyAlignment="1">
      <alignment vertical="top"/>
    </xf>
    <xf numFmtId="0" fontId="187" fillId="0" borderId="32" xfId="0" applyFont="1" applyFill="1" applyBorder="1" applyAlignment="1">
      <alignment vertical="top"/>
    </xf>
    <xf numFmtId="0" fontId="179" fillId="0" borderId="34" xfId="751" applyFont="1" applyFill="1" applyBorder="1" applyAlignment="1">
      <alignment horizontal="justify" vertical="top" wrapText="1"/>
    </xf>
    <xf numFmtId="0" fontId="179" fillId="0" borderId="56" xfId="751" applyFont="1" applyFill="1" applyBorder="1" applyAlignment="1">
      <alignment horizontal="center" vertical="top" wrapText="1"/>
    </xf>
    <xf numFmtId="0" fontId="179" fillId="0" borderId="33" xfId="751" applyFont="1" applyFill="1" applyBorder="1" applyAlignment="1">
      <alignment horizontal="left" vertical="top" wrapText="1"/>
    </xf>
    <xf numFmtId="0" fontId="179" fillId="0" borderId="32" xfId="751" applyFont="1" applyFill="1" applyBorder="1" applyAlignment="1">
      <alignment horizontal="justify" vertical="top" wrapText="1"/>
    </xf>
    <xf numFmtId="0" fontId="179" fillId="0" borderId="32" xfId="751" applyFont="1" applyFill="1" applyBorder="1" applyAlignment="1">
      <alignment horizontal="right" vertical="top" wrapText="1"/>
    </xf>
    <xf numFmtId="0" fontId="179" fillId="0" borderId="32" xfId="1280" applyFont="1" applyFill="1" applyBorder="1" applyAlignment="1" applyProtection="1">
      <alignment horizontal="justify" vertical="top" wrapText="1"/>
    </xf>
    <xf numFmtId="0" fontId="179" fillId="0" borderId="34" xfId="1280" applyFont="1" applyFill="1" applyBorder="1" applyAlignment="1" applyProtection="1">
      <alignment horizontal="right" vertical="top" wrapText="1"/>
    </xf>
    <xf numFmtId="0" fontId="179" fillId="0" borderId="56" xfId="1280" applyFont="1" applyFill="1" applyBorder="1" applyAlignment="1" applyProtection="1">
      <alignment horizontal="center" vertical="top" wrapText="1"/>
    </xf>
    <xf numFmtId="0" fontId="179" fillId="0" borderId="33" xfId="1280" applyFont="1" applyFill="1" applyBorder="1" applyAlignment="1" applyProtection="1">
      <alignment horizontal="left" vertical="top" wrapText="1"/>
    </xf>
    <xf numFmtId="2" fontId="179" fillId="0" borderId="32" xfId="1280" applyNumberFormat="1" applyFont="1" applyFill="1" applyBorder="1" applyAlignment="1" applyProtection="1">
      <alignment horizontal="center" vertical="top" wrapText="1"/>
    </xf>
    <xf numFmtId="2" fontId="188" fillId="0" borderId="32" xfId="751" applyNumberFormat="1" applyFont="1" applyFill="1" applyBorder="1" applyAlignment="1">
      <alignment horizontal="right" vertical="top"/>
    </xf>
    <xf numFmtId="0" fontId="170" fillId="0" borderId="32" xfId="0" applyFont="1" applyFill="1" applyBorder="1" applyAlignment="1">
      <alignment vertical="top"/>
    </xf>
    <xf numFmtId="0" fontId="170" fillId="0" borderId="34" xfId="0" applyFont="1" applyFill="1" applyBorder="1" applyAlignment="1">
      <alignment vertical="top"/>
    </xf>
    <xf numFmtId="0" fontId="170" fillId="0" borderId="56" xfId="0" applyFont="1" applyFill="1" applyBorder="1" applyAlignment="1">
      <alignment horizontal="center" vertical="top"/>
    </xf>
    <xf numFmtId="0" fontId="170" fillId="0" borderId="33" xfId="0" applyFont="1" applyFill="1" applyBorder="1" applyAlignment="1">
      <alignment horizontal="left" vertical="top"/>
    </xf>
    <xf numFmtId="2" fontId="170" fillId="0" borderId="32" xfId="0" applyNumberFormat="1" applyFont="1" applyFill="1" applyBorder="1" applyAlignment="1">
      <alignment horizontal="center" vertical="top"/>
    </xf>
    <xf numFmtId="2" fontId="170" fillId="0" borderId="32" xfId="0" applyNumberFormat="1" applyFont="1" applyFill="1" applyBorder="1" applyAlignment="1">
      <alignment horizontal="center" vertical="top" wrapText="1"/>
    </xf>
    <xf numFmtId="165" fontId="179" fillId="0" borderId="32" xfId="0" applyNumberFormat="1" applyFont="1" applyFill="1" applyBorder="1" applyAlignment="1">
      <alignment horizontal="center" vertical="top"/>
    </xf>
    <xf numFmtId="165" fontId="170" fillId="0" borderId="32" xfId="0" applyNumberFormat="1" applyFont="1" applyFill="1" applyBorder="1" applyAlignment="1">
      <alignment horizontal="center" vertical="top"/>
    </xf>
    <xf numFmtId="0" fontId="170" fillId="0" borderId="32" xfId="0" applyFont="1" applyFill="1" applyBorder="1" applyAlignment="1">
      <alignment vertical="top" wrapText="1"/>
    </xf>
    <xf numFmtId="165" fontId="179" fillId="0" borderId="32" xfId="1280" applyNumberFormat="1" applyFont="1" applyFill="1" applyBorder="1" applyAlignment="1" applyProtection="1">
      <alignment horizontal="center" vertical="top" wrapText="1"/>
    </xf>
    <xf numFmtId="0" fontId="179" fillId="0" borderId="32" xfId="751" applyFont="1" applyFill="1" applyBorder="1" applyAlignment="1">
      <alignment vertical="top" wrapText="1"/>
    </xf>
    <xf numFmtId="0" fontId="179" fillId="0" borderId="34" xfId="751" applyFont="1" applyFill="1" applyBorder="1" applyAlignment="1">
      <alignment horizontal="right" vertical="top"/>
    </xf>
    <xf numFmtId="0" fontId="179" fillId="0" borderId="56" xfId="751" applyFont="1" applyFill="1" applyBorder="1" applyAlignment="1">
      <alignment horizontal="center" vertical="top"/>
    </xf>
    <xf numFmtId="0" fontId="179" fillId="0" borderId="33" xfId="751" applyFont="1" applyFill="1" applyBorder="1" applyAlignment="1">
      <alignment horizontal="left" vertical="top"/>
    </xf>
    <xf numFmtId="2" fontId="179" fillId="0" borderId="32" xfId="751" applyNumberFormat="1" applyFont="1" applyFill="1" applyBorder="1" applyAlignment="1">
      <alignment horizontal="center" vertical="top"/>
    </xf>
    <xf numFmtId="2" fontId="179" fillId="0" borderId="32" xfId="751" applyNumberFormat="1" applyFont="1" applyFill="1" applyBorder="1" applyAlignment="1">
      <alignment horizontal="right" vertical="top"/>
    </xf>
    <xf numFmtId="2" fontId="4" fillId="0" borderId="34" xfId="0" applyNumberFormat="1" applyFont="1" applyFill="1" applyBorder="1"/>
    <xf numFmtId="2" fontId="4" fillId="0" borderId="56" xfId="0" applyNumberFormat="1" applyFont="1" applyFill="1" applyBorder="1" applyAlignment="1">
      <alignment horizontal="center"/>
    </xf>
    <xf numFmtId="2" fontId="4" fillId="0" borderId="33" xfId="0" applyNumberFormat="1" applyFont="1" applyFill="1" applyBorder="1" applyAlignment="1">
      <alignment horizontal="left"/>
    </xf>
    <xf numFmtId="0" fontId="184" fillId="0" borderId="33" xfId="751" applyFont="1" applyFill="1" applyBorder="1" applyAlignment="1">
      <alignment vertical="top"/>
    </xf>
    <xf numFmtId="2" fontId="189" fillId="0" borderId="33" xfId="751" applyNumberFormat="1" applyFont="1" applyFill="1" applyBorder="1" applyAlignment="1">
      <alignment vertical="top"/>
    </xf>
    <xf numFmtId="0" fontId="184" fillId="0" borderId="0" xfId="751" applyFont="1" applyFill="1" applyBorder="1" applyAlignment="1">
      <alignment vertical="center" wrapText="1"/>
    </xf>
    <xf numFmtId="0" fontId="184" fillId="0" borderId="0" xfId="751" applyFont="1" applyFill="1" applyBorder="1" applyAlignment="1">
      <alignment horizontal="center" vertical="center" wrapText="1"/>
    </xf>
    <xf numFmtId="0" fontId="184" fillId="0" borderId="0" xfId="751" applyFont="1" applyFill="1" applyBorder="1" applyAlignment="1">
      <alignment horizontal="center" vertical="top" wrapText="1"/>
    </xf>
    <xf numFmtId="0" fontId="184" fillId="0" borderId="0" xfId="751" applyFont="1" applyFill="1" applyBorder="1" applyAlignment="1">
      <alignment horizontal="justify" vertical="top" wrapText="1"/>
    </xf>
    <xf numFmtId="168" fontId="184" fillId="0" borderId="0" xfId="751" applyNumberFormat="1" applyFont="1" applyFill="1" applyBorder="1" applyAlignment="1">
      <alignment horizontal="center" vertical="top" wrapText="1"/>
    </xf>
    <xf numFmtId="168" fontId="184" fillId="0" borderId="0" xfId="751" applyNumberFormat="1" applyFont="1" applyFill="1" applyBorder="1" applyAlignment="1">
      <alignment horizontal="right" vertical="top" wrapText="1"/>
    </xf>
    <xf numFmtId="168" fontId="184" fillId="0" borderId="0" xfId="751" applyNumberFormat="1" applyFont="1" applyFill="1" applyBorder="1" applyAlignment="1">
      <alignment horizontal="justify" vertical="top" wrapText="1"/>
    </xf>
    <xf numFmtId="168" fontId="189" fillId="0" borderId="0" xfId="751" applyNumberFormat="1" applyFont="1" applyFill="1" applyBorder="1" applyAlignment="1">
      <alignment horizontal="right" vertical="top" wrapText="1"/>
    </xf>
    <xf numFmtId="0" fontId="184" fillId="0" borderId="0" xfId="751" applyFont="1" applyFill="1" applyBorder="1" applyAlignment="1">
      <alignment vertical="top" wrapText="1"/>
    </xf>
    <xf numFmtId="0" fontId="184" fillId="0" borderId="0" xfId="751" applyFont="1" applyFill="1" applyBorder="1" applyAlignment="1">
      <alignment vertical="center"/>
    </xf>
    <xf numFmtId="0" fontId="189" fillId="0" borderId="0" xfId="751" applyFont="1" applyFill="1" applyBorder="1" applyAlignment="1">
      <alignment vertical="top" wrapText="1"/>
    </xf>
    <xf numFmtId="0" fontId="184" fillId="0" borderId="0" xfId="751" applyFont="1" applyFill="1" applyBorder="1" applyAlignment="1">
      <alignment horizontal="right" vertical="top" wrapText="1"/>
    </xf>
    <xf numFmtId="170" fontId="184" fillId="0" borderId="0" xfId="751" applyNumberFormat="1" applyFont="1" applyFill="1" applyBorder="1" applyAlignment="1">
      <alignment horizontal="center" vertical="center" wrapText="1"/>
    </xf>
    <xf numFmtId="179" fontId="184" fillId="0" borderId="0" xfId="751" applyNumberFormat="1" applyFont="1" applyFill="1" applyBorder="1" applyAlignment="1">
      <alignment horizontal="center" vertical="center" wrapText="1"/>
    </xf>
    <xf numFmtId="170" fontId="189" fillId="0" borderId="0" xfId="751" applyNumberFormat="1" applyFont="1" applyFill="1" applyBorder="1" applyAlignment="1">
      <alignment horizontal="right" vertical="top" wrapText="1"/>
    </xf>
    <xf numFmtId="179" fontId="189" fillId="0" borderId="0" xfId="751" applyNumberFormat="1" applyFont="1" applyFill="1" applyBorder="1" applyAlignment="1">
      <alignment horizontal="center" vertical="center"/>
    </xf>
    <xf numFmtId="168" fontId="189" fillId="0" borderId="0" xfId="751" applyNumberFormat="1" applyFont="1" applyFill="1" applyBorder="1" applyAlignment="1">
      <alignment horizontal="right" vertical="top"/>
    </xf>
    <xf numFmtId="169" fontId="184" fillId="0" borderId="0" xfId="751" applyNumberFormat="1" applyFont="1" applyFill="1" applyBorder="1" applyAlignment="1">
      <alignment horizontal="center" vertical="top" wrapText="1"/>
    </xf>
    <xf numFmtId="179" fontId="189" fillId="0" borderId="0" xfId="751" applyNumberFormat="1" applyFont="1" applyFill="1" applyBorder="1" applyAlignment="1">
      <alignment horizontal="center" vertical="top" wrapText="1"/>
    </xf>
    <xf numFmtId="0" fontId="189" fillId="0" borderId="0" xfId="751" applyFont="1" applyFill="1" applyBorder="1" applyAlignment="1">
      <alignment horizontal="justify" vertical="top" wrapText="1"/>
    </xf>
    <xf numFmtId="170" fontId="184" fillId="0" borderId="0" xfId="751" applyNumberFormat="1" applyFont="1" applyFill="1" applyBorder="1" applyAlignment="1">
      <alignment horizontal="center" vertical="top" wrapText="1"/>
    </xf>
    <xf numFmtId="2" fontId="184" fillId="0" borderId="0" xfId="751" applyNumberFormat="1" applyFont="1" applyFill="1" applyBorder="1" applyAlignment="1">
      <alignment vertical="top"/>
    </xf>
    <xf numFmtId="0" fontId="184" fillId="0" borderId="0" xfId="751" applyFont="1" applyFill="1" applyBorder="1" applyAlignment="1">
      <alignment horizontal="center" vertical="top"/>
    </xf>
    <xf numFmtId="2" fontId="184" fillId="0" borderId="0" xfId="751" applyNumberFormat="1" applyFont="1" applyFill="1" applyBorder="1" applyAlignment="1">
      <alignment horizontal="center" vertical="top"/>
    </xf>
    <xf numFmtId="165" fontId="184" fillId="0" borderId="0" xfId="751" applyNumberFormat="1" applyFont="1" applyFill="1" applyBorder="1" applyAlignment="1">
      <alignment horizontal="center" vertical="top"/>
    </xf>
    <xf numFmtId="2" fontId="189" fillId="0" borderId="0" xfId="751" applyNumberFormat="1" applyFont="1" applyFill="1" applyBorder="1" applyAlignment="1">
      <alignment vertical="top"/>
    </xf>
    <xf numFmtId="179" fontId="184" fillId="0" borderId="0" xfId="751" applyNumberFormat="1" applyFont="1" applyFill="1" applyBorder="1" applyAlignment="1">
      <alignment horizontal="center" vertical="top" wrapText="1"/>
    </xf>
    <xf numFmtId="2" fontId="184" fillId="0" borderId="0" xfId="751" applyNumberFormat="1" applyFont="1" applyFill="1" applyBorder="1" applyAlignment="1">
      <alignment horizontal="center" vertical="top" wrapText="1"/>
    </xf>
    <xf numFmtId="0" fontId="111" fillId="0" borderId="0" xfId="10" applyFont="1" applyFill="1" applyBorder="1" applyAlignment="1">
      <alignment horizontal="center" vertical="center"/>
    </xf>
    <xf numFmtId="0" fontId="116" fillId="0" borderId="0" xfId="10" applyFont="1" applyFill="1" applyBorder="1" applyAlignment="1">
      <alignment horizontal="left" vertical="center" wrapText="1"/>
    </xf>
    <xf numFmtId="0" fontId="119" fillId="0" borderId="0" xfId="10" applyFont="1" applyFill="1" applyBorder="1" applyAlignment="1">
      <alignment horizontal="left" vertical="center"/>
    </xf>
    <xf numFmtId="0" fontId="119" fillId="0" borderId="0" xfId="10" applyFont="1" applyFill="1" applyBorder="1" applyAlignment="1">
      <alignment horizontal="left" vertical="center" wrapText="1"/>
    </xf>
    <xf numFmtId="0" fontId="2" fillId="0" borderId="0" xfId="10" applyFont="1" applyFill="1" applyBorder="1" applyAlignment="1"/>
    <xf numFmtId="0" fontId="111" fillId="0" borderId="0" xfId="10" applyFont="1" applyFill="1" applyBorder="1" applyAlignment="1">
      <alignment horizontal="center" textRotation="90"/>
    </xf>
    <xf numFmtId="0" fontId="111" fillId="0" borderId="0" xfId="10" applyFont="1" applyFill="1" applyBorder="1" applyAlignment="1">
      <alignment vertical="center" textRotation="90"/>
    </xf>
    <xf numFmtId="0" fontId="112" fillId="0" borderId="0" xfId="10" applyFont="1" applyFill="1" applyBorder="1" applyAlignment="1">
      <alignment horizontal="center" vertical="center"/>
    </xf>
    <xf numFmtId="0" fontId="114" fillId="0" borderId="0" xfId="10" applyFont="1" applyFill="1" applyBorder="1" applyAlignment="1">
      <alignment horizontal="center" vertical="center"/>
    </xf>
    <xf numFmtId="0" fontId="115" fillId="0" borderId="0" xfId="10" applyFont="1" applyFill="1" applyBorder="1" applyAlignment="1"/>
    <xf numFmtId="0" fontId="118" fillId="0" borderId="0" xfId="10" applyFont="1" applyFill="1" applyBorder="1" applyAlignment="1">
      <alignment horizontal="left" vertical="top"/>
    </xf>
    <xf numFmtId="0" fontId="121" fillId="0" borderId="0" xfId="10" applyFont="1" applyFill="1" applyBorder="1" applyAlignment="1">
      <alignment horizontal="center"/>
    </xf>
    <xf numFmtId="0" fontId="117" fillId="0" borderId="0" xfId="10" applyFont="1" applyFill="1" applyBorder="1" applyAlignment="1">
      <alignment horizontal="justify" vertical="top" wrapText="1"/>
    </xf>
    <xf numFmtId="0" fontId="2" fillId="0" borderId="0" xfId="10" applyFont="1" applyFill="1" applyBorder="1"/>
    <xf numFmtId="2" fontId="117" fillId="0" borderId="0" xfId="10" applyNumberFormat="1" applyFont="1" applyFill="1" applyBorder="1" applyAlignment="1">
      <alignment horizontal="left" vertical="center" wrapText="1"/>
    </xf>
    <xf numFmtId="0" fontId="117" fillId="0" borderId="0" xfId="10" applyFont="1" applyFill="1" applyBorder="1" applyAlignment="1">
      <alignment horizontal="left" vertical="center" wrapText="1"/>
    </xf>
    <xf numFmtId="0" fontId="70" fillId="0" borderId="0" xfId="0" applyFont="1" applyBorder="1" applyAlignment="1">
      <alignment horizontal="left"/>
    </xf>
    <xf numFmtId="0" fontId="69" fillId="0" borderId="0" xfId="0" applyFont="1" applyBorder="1" applyAlignment="1">
      <alignment horizontal="center" vertical="top" wrapText="1"/>
    </xf>
    <xf numFmtId="0" fontId="76" fillId="0" borderId="0" xfId="7" applyFont="1" applyFill="1" applyBorder="1" applyAlignment="1">
      <alignment horizontal="left"/>
    </xf>
    <xf numFmtId="0" fontId="77" fillId="0" borderId="19" xfId="7" applyFont="1" applyFill="1" applyBorder="1" applyAlignment="1" applyProtection="1">
      <alignment horizontal="center" vertical="center" wrapText="1"/>
    </xf>
    <xf numFmtId="0" fontId="0" fillId="0" borderId="19" xfId="0" applyBorder="1"/>
    <xf numFmtId="0" fontId="0" fillId="0" borderId="0" xfId="0"/>
    <xf numFmtId="0" fontId="0" fillId="0" borderId="9" xfId="0" applyBorder="1"/>
    <xf numFmtId="0" fontId="0" fillId="13" borderId="0" xfId="0" applyFill="1" applyAlignment="1">
      <alignment horizontal="center"/>
    </xf>
    <xf numFmtId="0" fontId="6" fillId="0" borderId="0" xfId="0" applyFont="1" applyAlignment="1">
      <alignment horizontal="center"/>
    </xf>
    <xf numFmtId="0" fontId="0" fillId="0" borderId="0" xfId="0" applyAlignment="1">
      <alignment horizontal="right"/>
    </xf>
    <xf numFmtId="0" fontId="2" fillId="0" borderId="0" xfId="0" applyFont="1" applyAlignment="1">
      <alignment horizontal="justify" vertical="top" wrapText="1"/>
    </xf>
    <xf numFmtId="0" fontId="7" fillId="0" borderId="0" xfId="0" applyFont="1" applyAlignment="1">
      <alignment horizontal="justify" vertical="top" wrapText="1"/>
    </xf>
    <xf numFmtId="0" fontId="2" fillId="0" borderId="0" xfId="0" applyFont="1" applyAlignment="1">
      <alignment horizontal="justify" vertical="justify" wrapText="1"/>
    </xf>
    <xf numFmtId="0" fontId="7" fillId="0" borderId="0" xfId="0" applyFont="1" applyAlignment="1">
      <alignment horizontal="justify" vertical="justify" wrapText="1"/>
    </xf>
    <xf numFmtId="0" fontId="7" fillId="0" borderId="0" xfId="0" applyFont="1" applyAlignment="1">
      <alignment horizontal="left" vertical="top" wrapText="1"/>
    </xf>
    <xf numFmtId="0" fontId="80" fillId="0" borderId="0" xfId="0" applyFont="1" applyAlignment="1">
      <alignment horizontal="center"/>
    </xf>
    <xf numFmtId="0" fontId="35" fillId="0" borderId="0" xfId="0" applyFont="1" applyFill="1" applyBorder="1" applyAlignment="1">
      <alignment horizontal="left" vertical="top" wrapText="1"/>
    </xf>
    <xf numFmtId="0" fontId="35" fillId="0" borderId="0" xfId="0" applyFont="1" applyFill="1" applyBorder="1" applyAlignment="1">
      <alignment horizontal="justify" vertical="justify" wrapText="1"/>
    </xf>
    <xf numFmtId="0" fontId="178" fillId="0" borderId="0" xfId="751" applyFont="1" applyFill="1" applyAlignment="1">
      <alignment horizontal="center"/>
    </xf>
    <xf numFmtId="0" fontId="180" fillId="0" borderId="0" xfId="751" applyFont="1" applyFill="1" applyAlignment="1">
      <alignment horizontal="center" vertical="top" wrapText="1"/>
    </xf>
    <xf numFmtId="178" fontId="179" fillId="0" borderId="0" xfId="751" applyNumberFormat="1" applyFont="1" applyFill="1" applyAlignment="1">
      <alignment horizontal="left" vertical="top" wrapText="1"/>
    </xf>
    <xf numFmtId="0" fontId="62" fillId="0" borderId="28" xfId="0" applyFont="1" applyBorder="1" applyAlignment="1">
      <alignment horizontal="center" vertical="top" wrapText="1"/>
    </xf>
    <xf numFmtId="0" fontId="62" fillId="0" borderId="0" xfId="0" applyFont="1" applyAlignment="1">
      <alignment horizontal="left" vertical="center" wrapText="1"/>
    </xf>
    <xf numFmtId="0" fontId="63" fillId="0" borderId="0" xfId="0" applyFont="1" applyAlignment="1">
      <alignment horizontal="center" vertical="center"/>
    </xf>
    <xf numFmtId="0" fontId="61" fillId="0" borderId="0" xfId="0" applyFont="1" applyAlignment="1">
      <alignment horizontal="center"/>
    </xf>
    <xf numFmtId="0" fontId="61" fillId="0" borderId="0" xfId="0" applyFont="1" applyAlignment="1">
      <alignment horizontal="center" vertical="center" wrapText="1"/>
    </xf>
    <xf numFmtId="0" fontId="62" fillId="0" borderId="0" xfId="0" applyFont="1" applyAlignment="1">
      <alignment horizontal="left" wrapText="1"/>
    </xf>
    <xf numFmtId="0" fontId="61" fillId="0" borderId="0" xfId="0" applyFont="1" applyAlignment="1">
      <alignment horizontal="center" wrapText="1"/>
    </xf>
    <xf numFmtId="0" fontId="109" fillId="0" borderId="0" xfId="0" applyFont="1" applyAlignment="1">
      <alignment horizontal="center" vertical="center" wrapText="1"/>
    </xf>
    <xf numFmtId="0" fontId="69" fillId="0" borderId="0" xfId="0" applyFont="1" applyAlignment="1">
      <alignment horizontal="center"/>
    </xf>
    <xf numFmtId="0" fontId="4" fillId="0" borderId="32" xfId="0" applyFont="1" applyFill="1" applyBorder="1" applyAlignment="1">
      <alignment horizontal="justify" vertical="top" wrapText="1"/>
    </xf>
    <xf numFmtId="0" fontId="4" fillId="0" borderId="32" xfId="0" applyFont="1" applyFill="1" applyBorder="1" applyAlignment="1">
      <alignment horizontal="justify" vertical="justify" wrapText="1"/>
    </xf>
    <xf numFmtId="0" fontId="4" fillId="0" borderId="32" xfId="0" applyFont="1" applyFill="1" applyBorder="1" applyAlignment="1">
      <alignment horizontal="justify" vertical="top"/>
    </xf>
    <xf numFmtId="0" fontId="57" fillId="0" borderId="5" xfId="0" applyFont="1" applyFill="1" applyBorder="1" applyAlignment="1">
      <alignment horizontal="center" vertical="top" wrapText="1"/>
    </xf>
    <xf numFmtId="0" fontId="57" fillId="0" borderId="8" xfId="0" applyFont="1" applyFill="1" applyBorder="1" applyAlignment="1">
      <alignment horizontal="center" vertical="top" wrapText="1"/>
    </xf>
    <xf numFmtId="0" fontId="0" fillId="0" borderId="5" xfId="0" applyFill="1" applyBorder="1" applyAlignment="1">
      <alignment horizontal="right" vertical="center"/>
    </xf>
    <xf numFmtId="0" fontId="0" fillId="0" borderId="8" xfId="0" applyFill="1" applyBorder="1" applyAlignment="1">
      <alignment horizontal="right" vertical="center"/>
    </xf>
    <xf numFmtId="0" fontId="10" fillId="0" borderId="0" xfId="0" applyFont="1" applyFill="1" applyAlignment="1">
      <alignment horizontal="center"/>
    </xf>
    <xf numFmtId="0" fontId="0" fillId="0" borderId="11" xfId="0" applyFill="1" applyBorder="1" applyAlignment="1">
      <alignment horizontal="center" vertical="top"/>
    </xf>
    <xf numFmtId="0" fontId="0" fillId="0" borderId="13" xfId="0" applyFill="1" applyBorder="1" applyAlignment="1">
      <alignment horizontal="center" vertical="top"/>
    </xf>
    <xf numFmtId="0" fontId="0" fillId="0" borderId="18" xfId="0" applyFill="1" applyBorder="1" applyAlignment="1">
      <alignment horizontal="center" vertical="top"/>
    </xf>
    <xf numFmtId="0" fontId="0" fillId="0" borderId="6" xfId="0" applyFill="1" applyBorder="1" applyAlignment="1">
      <alignment horizontal="center" vertical="center"/>
    </xf>
    <xf numFmtId="0" fontId="0" fillId="0" borderId="12" xfId="0" applyFill="1" applyBorder="1" applyAlignment="1">
      <alignment horizontal="center" vertical="center"/>
    </xf>
    <xf numFmtId="0" fontId="0" fillId="0" borderId="5" xfId="0" applyFill="1" applyBorder="1" applyAlignment="1">
      <alignment horizontal="center" vertical="center"/>
    </xf>
    <xf numFmtId="0" fontId="0" fillId="0" borderId="8" xfId="0" applyFill="1" applyBorder="1" applyAlignment="1">
      <alignment horizontal="center" vertical="center"/>
    </xf>
    <xf numFmtId="0" fontId="40" fillId="0" borderId="5" xfId="0" applyFont="1" applyFill="1" applyBorder="1" applyAlignment="1">
      <alignment horizontal="center" vertical="center" wrapText="1"/>
    </xf>
    <xf numFmtId="0" fontId="40" fillId="0" borderId="8" xfId="0" applyFont="1" applyFill="1" applyBorder="1" applyAlignment="1">
      <alignment horizontal="center" vertical="center"/>
    </xf>
    <xf numFmtId="0" fontId="10" fillId="0" borderId="0" xfId="0" applyFont="1" applyFill="1" applyBorder="1" applyAlignment="1">
      <alignment horizontal="center" wrapText="1"/>
    </xf>
    <xf numFmtId="0" fontId="56" fillId="0" borderId="0" xfId="0" applyFont="1" applyFill="1" applyBorder="1" applyAlignment="1">
      <alignment horizontal="left" vertical="top" wrapText="1"/>
    </xf>
    <xf numFmtId="0" fontId="6" fillId="0" borderId="32" xfId="0" applyFont="1" applyFill="1" applyBorder="1" applyAlignment="1">
      <alignment horizontal="left" vertical="justify" wrapText="1"/>
    </xf>
    <xf numFmtId="0" fontId="4" fillId="0" borderId="0" xfId="0" applyFont="1" applyFill="1" applyBorder="1" applyAlignment="1">
      <alignment horizontal="justify" vertical="justify" wrapText="1"/>
    </xf>
    <xf numFmtId="0" fontId="4" fillId="0" borderId="0" xfId="0" applyFont="1" applyFill="1" applyAlignment="1">
      <alignment horizontal="justify" vertical="top" wrapText="1"/>
    </xf>
    <xf numFmtId="0" fontId="4" fillId="0" borderId="0" xfId="0" applyFont="1" applyFill="1" applyAlignment="1">
      <alignment horizontal="justify" vertical="top"/>
    </xf>
    <xf numFmtId="0" fontId="4" fillId="0" borderId="0" xfId="0" applyFont="1" applyFill="1" applyBorder="1" applyAlignment="1">
      <alignment horizontal="justify" vertical="top" wrapText="1"/>
    </xf>
    <xf numFmtId="0" fontId="56" fillId="0" borderId="0" xfId="0" applyFont="1" applyFill="1" applyBorder="1" applyAlignment="1">
      <alignment horizontal="center" wrapText="1"/>
    </xf>
    <xf numFmtId="0" fontId="44" fillId="0" borderId="0" xfId="0" applyFont="1" applyFill="1" applyBorder="1" applyAlignment="1">
      <alignment horizontal="center"/>
    </xf>
    <xf numFmtId="0" fontId="4" fillId="0" borderId="5" xfId="0" applyFont="1" applyFill="1" applyBorder="1" applyAlignment="1">
      <alignment horizontal="center" vertical="center" wrapText="1"/>
    </xf>
    <xf numFmtId="0" fontId="4" fillId="0" borderId="8" xfId="0" applyFont="1" applyFill="1" applyBorder="1" applyAlignment="1">
      <alignment horizontal="center" vertical="center"/>
    </xf>
    <xf numFmtId="0" fontId="4" fillId="0" borderId="5" xfId="0" applyFont="1" applyFill="1" applyBorder="1" applyAlignment="1">
      <alignment horizontal="center" vertical="center"/>
    </xf>
    <xf numFmtId="0" fontId="4" fillId="0" borderId="0" xfId="0" applyFont="1" applyFill="1" applyAlignment="1">
      <alignment horizontal="justify" vertical="justify" wrapText="1"/>
    </xf>
    <xf numFmtId="0" fontId="4" fillId="0" borderId="11" xfId="0" applyFont="1" applyFill="1" applyBorder="1" applyAlignment="1">
      <alignment horizontal="center" vertical="top"/>
    </xf>
    <xf numFmtId="0" fontId="4" fillId="0" borderId="13" xfId="0" applyFont="1" applyFill="1" applyBorder="1" applyAlignment="1">
      <alignment horizontal="center" vertical="top"/>
    </xf>
    <xf numFmtId="0" fontId="4" fillId="0" borderId="18" xfId="0" applyFont="1" applyFill="1" applyBorder="1" applyAlignment="1">
      <alignment horizontal="center" vertical="top"/>
    </xf>
    <xf numFmtId="0" fontId="4" fillId="0" borderId="0" xfId="0" applyFont="1" applyBorder="1" applyAlignment="1">
      <alignment horizontal="justify" vertical="top" wrapText="1"/>
    </xf>
    <xf numFmtId="0" fontId="4" fillId="0" borderId="0" xfId="0" applyFont="1" applyBorder="1" applyAlignment="1">
      <alignment horizontal="justify" vertical="justify" wrapText="1"/>
    </xf>
    <xf numFmtId="0" fontId="4" fillId="0" borderId="0" xfId="0" applyFont="1" applyAlignment="1">
      <alignment horizontal="justify" vertical="top" wrapText="1"/>
    </xf>
    <xf numFmtId="0" fontId="4" fillId="0" borderId="0" xfId="0" applyFont="1" applyAlignment="1">
      <alignment horizontal="justify" vertical="top"/>
    </xf>
    <xf numFmtId="0" fontId="6" fillId="0" borderId="0" xfId="0" applyFont="1" applyAlignment="1">
      <alignment horizontal="left" vertical="justify" wrapText="1"/>
    </xf>
    <xf numFmtId="0" fontId="57" fillId="0" borderId="5" xfId="0" applyFont="1" applyBorder="1" applyAlignment="1">
      <alignment horizontal="center" vertical="top" wrapText="1"/>
    </xf>
    <xf numFmtId="0" fontId="57" fillId="0" borderId="8" xfId="0" applyFont="1" applyBorder="1" applyAlignment="1">
      <alignment horizontal="center" vertical="top" wrapText="1"/>
    </xf>
    <xf numFmtId="0" fontId="4" fillId="0" borderId="14" xfId="0" applyFont="1" applyBorder="1" applyAlignment="1">
      <alignment horizontal="justify" vertical="top" wrapText="1"/>
    </xf>
    <xf numFmtId="0" fontId="0" fillId="0" borderId="5" xfId="0" applyBorder="1" applyAlignment="1">
      <alignment horizontal="center" vertical="center"/>
    </xf>
    <xf numFmtId="0" fontId="0" fillId="0" borderId="8" xfId="0" applyBorder="1" applyAlignment="1">
      <alignment horizontal="center" vertical="center"/>
    </xf>
    <xf numFmtId="0" fontId="0" fillId="0" borderId="11" xfId="0" applyBorder="1" applyAlignment="1">
      <alignment horizontal="center" vertical="top"/>
    </xf>
    <xf numFmtId="0" fontId="0" fillId="0" borderId="13" xfId="0" applyBorder="1" applyAlignment="1">
      <alignment horizontal="center" vertical="top"/>
    </xf>
    <xf numFmtId="0" fontId="0" fillId="0" borderId="18" xfId="0" applyBorder="1" applyAlignment="1">
      <alignment horizontal="center" vertical="top"/>
    </xf>
    <xf numFmtId="0" fontId="0" fillId="0" borderId="5" xfId="0" applyBorder="1" applyAlignment="1">
      <alignment horizontal="right" vertical="center"/>
    </xf>
    <xf numFmtId="0" fontId="0" fillId="0" borderId="8" xfId="0" applyBorder="1" applyAlignment="1">
      <alignment horizontal="right" vertical="center"/>
    </xf>
    <xf numFmtId="0" fontId="10" fillId="0" borderId="0" xfId="0" applyFont="1" applyAlignment="1">
      <alignment horizontal="center"/>
    </xf>
    <xf numFmtId="0" fontId="56" fillId="0" borderId="0" xfId="0" applyFont="1" applyBorder="1" applyAlignment="1">
      <alignment horizontal="center" wrapText="1"/>
    </xf>
    <xf numFmtId="0" fontId="44" fillId="0" borderId="0" xfId="0" applyFont="1" applyBorder="1" applyAlignment="1">
      <alignment horizontal="center"/>
    </xf>
    <xf numFmtId="0" fontId="56" fillId="0" borderId="4" xfId="0" applyFont="1" applyBorder="1" applyAlignment="1">
      <alignment horizontal="center" vertical="top" wrapText="1"/>
    </xf>
    <xf numFmtId="0" fontId="40" fillId="0" borderId="5" xfId="0" applyFont="1" applyBorder="1" applyAlignment="1">
      <alignment horizontal="center" vertical="center" wrapText="1"/>
    </xf>
    <xf numFmtId="0" fontId="40" fillId="0" borderId="8" xfId="0" applyFont="1" applyBorder="1" applyAlignment="1">
      <alignment horizontal="center" vertical="center"/>
    </xf>
    <xf numFmtId="0" fontId="3" fillId="11" borderId="0" xfId="0" applyFont="1" applyFill="1" applyBorder="1" applyAlignment="1">
      <alignment horizontal="center" wrapText="1"/>
    </xf>
    <xf numFmtId="0" fontId="3" fillId="11" borderId="0" xfId="0" applyFont="1" applyFill="1" applyBorder="1" applyAlignment="1">
      <alignment horizontal="center"/>
    </xf>
    <xf numFmtId="0" fontId="24" fillId="11" borderId="0" xfId="0" applyFont="1" applyFill="1" applyBorder="1" applyAlignment="1">
      <alignment horizontal="left" vertical="top" wrapText="1"/>
    </xf>
    <xf numFmtId="0" fontId="24" fillId="11" borderId="4" xfId="0" applyFont="1" applyFill="1" applyBorder="1" applyAlignment="1">
      <alignment horizontal="left" vertical="top" wrapText="1"/>
    </xf>
    <xf numFmtId="0" fontId="169" fillId="0" borderId="0" xfId="752" applyFont="1" applyFill="1" applyBorder="1" applyAlignment="1">
      <alignment horizontal="center" vertical="top" wrapText="1"/>
    </xf>
    <xf numFmtId="0" fontId="171" fillId="0" borderId="0" xfId="752" applyFont="1" applyFill="1" applyBorder="1" applyAlignment="1">
      <alignment horizontal="center" vertical="top" wrapText="1"/>
    </xf>
    <xf numFmtId="0" fontId="172" fillId="0" borderId="32" xfId="752" applyFont="1" applyFill="1" applyBorder="1" applyAlignment="1">
      <alignment horizontal="center" vertical="top" wrapText="1"/>
    </xf>
    <xf numFmtId="0" fontId="172" fillId="0" borderId="32" xfId="752" applyFont="1" applyFill="1" applyBorder="1" applyAlignment="1">
      <alignment horizontal="center" vertical="center" wrapText="1"/>
    </xf>
    <xf numFmtId="0" fontId="172" fillId="0" borderId="49" xfId="752" applyFont="1" applyFill="1" applyBorder="1" applyAlignment="1">
      <alignment horizontal="center" vertical="center" wrapText="1"/>
    </xf>
    <xf numFmtId="0" fontId="172" fillId="0" borderId="50" xfId="752" applyFont="1" applyFill="1" applyBorder="1" applyAlignment="1">
      <alignment horizontal="center" vertical="center" wrapText="1"/>
    </xf>
    <xf numFmtId="0" fontId="172" fillId="0" borderId="34" xfId="752" applyFont="1" applyFill="1" applyBorder="1" applyAlignment="1">
      <alignment horizontal="center" vertical="center" wrapText="1"/>
    </xf>
    <xf numFmtId="0" fontId="172" fillId="0" borderId="33" xfId="752" applyFont="1" applyFill="1" applyBorder="1" applyAlignment="1">
      <alignment horizontal="center" vertical="center" wrapText="1"/>
    </xf>
    <xf numFmtId="0" fontId="83" fillId="0" borderId="32" xfId="752" applyFont="1" applyFill="1" applyBorder="1" applyAlignment="1">
      <alignment horizontal="center" vertical="top" wrapText="1"/>
    </xf>
    <xf numFmtId="0" fontId="185" fillId="0" borderId="0" xfId="0" applyFont="1" applyAlignment="1">
      <alignment horizontal="center" vertical="top"/>
    </xf>
    <xf numFmtId="0" fontId="24" fillId="0" borderId="55" xfId="0" applyFont="1" applyBorder="1" applyAlignment="1">
      <alignment horizontal="right" vertical="top" wrapText="1"/>
    </xf>
    <xf numFmtId="0" fontId="24" fillId="0" borderId="0" xfId="0" applyFont="1" applyBorder="1" applyAlignment="1">
      <alignment horizontal="justify" vertical="top"/>
    </xf>
    <xf numFmtId="0" fontId="2" fillId="0" borderId="34" xfId="0" applyFont="1" applyBorder="1" applyAlignment="1">
      <alignment horizontal="center" vertical="center"/>
    </xf>
    <xf numFmtId="0" fontId="2" fillId="0" borderId="33" xfId="0" applyFont="1" applyBorder="1" applyAlignment="1">
      <alignment horizontal="center" vertical="center"/>
    </xf>
    <xf numFmtId="0" fontId="0" fillId="0" borderId="11" xfId="0" applyBorder="1" applyAlignment="1">
      <alignment horizontal="center"/>
    </xf>
    <xf numFmtId="0" fontId="0" fillId="0" borderId="13" xfId="0" applyBorder="1" applyAlignment="1">
      <alignment horizontal="center"/>
    </xf>
    <xf numFmtId="0" fontId="0" fillId="0" borderId="18" xfId="0" applyBorder="1" applyAlignment="1">
      <alignment horizontal="center"/>
    </xf>
    <xf numFmtId="0" fontId="35" fillId="0" borderId="0" xfId="0" applyFont="1" applyBorder="1" applyAlignment="1">
      <alignment horizontal="center" vertical="justify" wrapText="1"/>
    </xf>
    <xf numFmtId="0" fontId="35" fillId="0" borderId="4" xfId="0" applyFont="1" applyBorder="1" applyAlignment="1">
      <alignment horizontal="center" vertical="justify"/>
    </xf>
    <xf numFmtId="0" fontId="0" fillId="0" borderId="0" xfId="0" applyAlignment="1">
      <alignment horizontal="center"/>
    </xf>
    <xf numFmtId="0" fontId="0" fillId="0" borderId="5" xfId="0" applyBorder="1" applyAlignment="1">
      <alignment horizontal="center"/>
    </xf>
    <xf numFmtId="0" fontId="0" fillId="0" borderId="8" xfId="0" applyBorder="1" applyAlignment="1">
      <alignment horizontal="center"/>
    </xf>
    <xf numFmtId="0" fontId="3" fillId="0" borderId="0" xfId="0" applyFont="1" applyBorder="1" applyAlignment="1">
      <alignment horizontal="justify" vertical="center" wrapText="1"/>
    </xf>
    <xf numFmtId="0" fontId="7" fillId="0" borderId="0" xfId="0" applyFont="1" applyBorder="1" applyAlignment="1">
      <alignment horizontal="justify" vertical="justify" wrapText="1"/>
    </xf>
    <xf numFmtId="0" fontId="18" fillId="0" borderId="0" xfId="0" applyFont="1" applyBorder="1" applyAlignment="1">
      <alignment horizontal="center" vertical="top" wrapText="1"/>
    </xf>
    <xf numFmtId="0" fontId="3" fillId="0" borderId="0" xfId="0" applyFont="1" applyBorder="1" applyAlignment="1">
      <alignment horizontal="center" vertical="justify" wrapText="1"/>
    </xf>
    <xf numFmtId="168" fontId="7" fillId="0" borderId="0" xfId="0" applyNumberFormat="1" applyFont="1" applyBorder="1" applyAlignment="1">
      <alignment horizontal="justify" vertical="center" wrapText="1"/>
    </xf>
    <xf numFmtId="168" fontId="7" fillId="0" borderId="0" xfId="0" applyNumberFormat="1" applyFont="1" applyFill="1" applyBorder="1" applyAlignment="1">
      <alignment horizontal="justify" vertical="top" wrapText="1"/>
    </xf>
    <xf numFmtId="0" fontId="3" fillId="0" borderId="0" xfId="0" applyFont="1" applyBorder="1" applyAlignment="1">
      <alignment horizontal="justify" vertical="justify" wrapText="1"/>
    </xf>
    <xf numFmtId="0" fontId="7" fillId="0" borderId="0" xfId="0" applyFont="1" applyBorder="1" applyAlignment="1">
      <alignment horizontal="center" vertical="center" wrapText="1"/>
    </xf>
    <xf numFmtId="0" fontId="3" fillId="0" borderId="0" xfId="0" applyFont="1" applyFill="1" applyBorder="1" applyAlignment="1">
      <alignment horizontal="left" vertical="center" wrapText="1"/>
    </xf>
    <xf numFmtId="0" fontId="3" fillId="0" borderId="0" xfId="0" applyFont="1" applyBorder="1" applyAlignment="1">
      <alignment horizontal="left" vertical="center"/>
    </xf>
    <xf numFmtId="0" fontId="25" fillId="0" borderId="0" xfId="0" applyFont="1" applyBorder="1" applyAlignment="1">
      <alignment horizontal="justify" vertical="center" wrapText="1"/>
    </xf>
    <xf numFmtId="0" fontId="32" fillId="0" borderId="0" xfId="0" applyFont="1" applyBorder="1" applyAlignment="1">
      <alignment horizont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6" fillId="0" borderId="0" xfId="0" applyFont="1" applyBorder="1" applyAlignment="1">
      <alignment horizontal="center" vertical="center" wrapText="1"/>
    </xf>
    <xf numFmtId="0" fontId="46" fillId="0" borderId="0"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4" fillId="0" borderId="1" xfId="6" applyFont="1" applyFill="1" applyBorder="1" applyAlignment="1">
      <alignment horizontal="left" wrapText="1"/>
    </xf>
    <xf numFmtId="0" fontId="31" fillId="0" borderId="1" xfId="0" applyFont="1" applyFill="1" applyBorder="1" applyAlignment="1">
      <alignment horizontal="center" vertical="center" wrapText="1"/>
    </xf>
    <xf numFmtId="0" fontId="52" fillId="0" borderId="0" xfId="6" applyFont="1" applyFill="1" applyBorder="1" applyAlignment="1">
      <alignment horizontal="center" vertical="center" wrapText="1"/>
    </xf>
    <xf numFmtId="0" fontId="46" fillId="0" borderId="0" xfId="0" applyFont="1" applyFill="1" applyBorder="1" applyAlignment="1">
      <alignment horizontal="center" vertical="center" wrapText="1"/>
    </xf>
    <xf numFmtId="2" fontId="31" fillId="0" borderId="1" xfId="0" applyNumberFormat="1" applyFont="1" applyFill="1" applyBorder="1" applyAlignment="1">
      <alignment horizontal="center" vertical="center" wrapText="1"/>
    </xf>
    <xf numFmtId="0" fontId="4" fillId="0" borderId="1" xfId="6" applyFont="1" applyFill="1" applyBorder="1" applyAlignment="1">
      <alignment horizontal="left" vertical="top" wrapText="1"/>
    </xf>
    <xf numFmtId="0" fontId="12" fillId="0" borderId="0" xfId="0" applyFont="1" applyBorder="1" applyAlignment="1">
      <alignment horizontal="center" vertical="center"/>
    </xf>
    <xf numFmtId="0" fontId="32" fillId="0" borderId="0" xfId="5" applyFont="1" applyBorder="1" applyAlignment="1">
      <alignment horizontal="center" wrapText="1"/>
    </xf>
    <xf numFmtId="2" fontId="26" fillId="0" borderId="0" xfId="0" applyNumberFormat="1" applyFont="1" applyAlignment="1">
      <alignment horizontal="center" vertical="center"/>
    </xf>
    <xf numFmtId="0" fontId="6" fillId="0" borderId="0" xfId="0" applyFont="1" applyFill="1" applyBorder="1" applyAlignment="1">
      <alignment horizontal="left" vertical="center" wrapText="1"/>
    </xf>
    <xf numFmtId="0" fontId="6" fillId="0" borderId="0" xfId="0" applyFont="1" applyFill="1" applyBorder="1" applyAlignment="1">
      <alignment horizontal="justify" vertical="center" wrapText="1"/>
    </xf>
    <xf numFmtId="0" fontId="32" fillId="0" borderId="0" xfId="0" applyFont="1" applyFill="1" applyBorder="1" applyAlignment="1">
      <alignment horizontal="justify" vertical="justify" wrapText="1"/>
    </xf>
    <xf numFmtId="0" fontId="6" fillId="0" borderId="0" xfId="0" applyFont="1" applyFill="1" applyBorder="1" applyAlignment="1">
      <alignment horizontal="center" vertical="center" wrapText="1"/>
    </xf>
    <xf numFmtId="0" fontId="46" fillId="0" borderId="0" xfId="0" applyFont="1" applyFill="1" applyBorder="1" applyAlignment="1">
      <alignment horizontal="center" vertical="top" wrapText="1"/>
    </xf>
    <xf numFmtId="0" fontId="4" fillId="0" borderId="0" xfId="0" applyFont="1" applyFill="1" applyBorder="1" applyAlignment="1">
      <alignment horizontal="justify" vertical="center" wrapText="1"/>
    </xf>
    <xf numFmtId="0" fontId="86" fillId="11" borderId="1" xfId="0" applyFont="1" applyFill="1" applyBorder="1" applyAlignment="1">
      <alignment horizontal="center"/>
    </xf>
    <xf numFmtId="168" fontId="15" fillId="0" borderId="1" xfId="0" applyNumberFormat="1" applyFont="1" applyFill="1" applyBorder="1" applyAlignment="1">
      <alignment horizontal="center" vertical="top" wrapText="1"/>
    </xf>
    <xf numFmtId="0" fontId="15" fillId="0" borderId="1" xfId="0" applyFont="1" applyFill="1" applyBorder="1" applyAlignment="1">
      <alignment horizontal="center" vertical="top" wrapText="1"/>
    </xf>
    <xf numFmtId="169" fontId="15" fillId="0" borderId="1" xfId="0" applyNumberFormat="1" applyFont="1" applyFill="1" applyBorder="1" applyAlignment="1">
      <alignment horizontal="center" vertical="top" wrapText="1"/>
    </xf>
    <xf numFmtId="0" fontId="107" fillId="0" borderId="1" xfId="0" applyFont="1" applyBorder="1" applyAlignment="1">
      <alignment horizontal="center"/>
    </xf>
    <xf numFmtId="0" fontId="0" fillId="0" borderId="11" xfId="0" applyBorder="1" applyAlignment="1">
      <alignment horizontal="center" vertical="center"/>
    </xf>
    <xf numFmtId="0" fontId="0" fillId="0" borderId="18" xfId="0" applyBorder="1" applyAlignment="1">
      <alignment horizontal="center" vertical="center"/>
    </xf>
    <xf numFmtId="0" fontId="0" fillId="0" borderId="8" xfId="0" applyBorder="1" applyAlignment="1">
      <alignment horizontal="center" vertical="top"/>
    </xf>
    <xf numFmtId="0" fontId="87" fillId="0" borderId="12" xfId="0" applyFont="1"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top"/>
    </xf>
    <xf numFmtId="0" fontId="0" fillId="0" borderId="1" xfId="0" applyBorder="1" applyAlignment="1">
      <alignment horizontal="left" vertical="top" wrapText="1"/>
    </xf>
    <xf numFmtId="0" fontId="0" fillId="0" borderId="1" xfId="0" applyBorder="1" applyAlignment="1">
      <alignment horizontal="left" vertical="top"/>
    </xf>
    <xf numFmtId="0" fontId="0" fillId="0" borderId="14" xfId="0" applyBorder="1" applyAlignment="1">
      <alignment horizontal="right" vertical="top"/>
    </xf>
    <xf numFmtId="0" fontId="0" fillId="0" borderId="0" xfId="0" applyAlignment="1">
      <alignment horizontal="right" vertical="top"/>
    </xf>
    <xf numFmtId="0" fontId="83" fillId="0" borderId="11" xfId="1" applyFont="1" applyBorder="1" applyAlignment="1" applyProtection="1">
      <alignment horizontal="left" vertical="top"/>
    </xf>
    <xf numFmtId="0" fontId="100" fillId="0" borderId="13" xfId="0" applyFont="1" applyBorder="1" applyAlignment="1">
      <alignment horizontal="left" vertical="top"/>
    </xf>
    <xf numFmtId="0" fontId="100" fillId="0" borderId="18" xfId="0" applyFont="1" applyBorder="1" applyAlignment="1">
      <alignment horizontal="left" vertical="top"/>
    </xf>
    <xf numFmtId="0" fontId="0" fillId="0" borderId="11" xfId="0" applyBorder="1" applyAlignment="1">
      <alignment horizontal="left" vertical="top"/>
    </xf>
    <xf numFmtId="0" fontId="0" fillId="0" borderId="13" xfId="0" applyBorder="1" applyAlignment="1">
      <alignment horizontal="left" vertical="top"/>
    </xf>
    <xf numFmtId="0" fontId="0" fillId="0" borderId="18" xfId="0" applyBorder="1" applyAlignment="1">
      <alignment horizontal="left" vertical="top"/>
    </xf>
    <xf numFmtId="0" fontId="102" fillId="0" borderId="13" xfId="0" applyFont="1" applyBorder="1" applyAlignment="1">
      <alignment horizontal="center" vertical="center" wrapText="1"/>
    </xf>
    <xf numFmtId="0" fontId="0" fillId="0" borderId="1" xfId="0" applyBorder="1" applyAlignment="1">
      <alignment horizontal="center" vertical="top"/>
    </xf>
    <xf numFmtId="0" fontId="0" fillId="0" borderId="1" xfId="0" applyBorder="1" applyAlignment="1">
      <alignment horizontal="center" vertical="top" wrapText="1"/>
    </xf>
    <xf numFmtId="0" fontId="0" fillId="0" borderId="10" xfId="0" applyBorder="1" applyAlignment="1">
      <alignment horizontal="center" vertical="top"/>
    </xf>
    <xf numFmtId="0" fontId="0" fillId="0" borderId="5" xfId="0" applyBorder="1" applyAlignment="1">
      <alignment horizontal="left" vertical="top" wrapText="1"/>
    </xf>
    <xf numFmtId="0" fontId="0" fillId="0" borderId="8" xfId="0" applyBorder="1" applyAlignment="1">
      <alignment horizontal="left" vertical="top" wrapText="1"/>
    </xf>
    <xf numFmtId="0" fontId="0" fillId="0" borderId="5" xfId="0" applyBorder="1" applyAlignment="1">
      <alignment horizontal="left" vertical="top"/>
    </xf>
    <xf numFmtId="0" fontId="0" fillId="0" borderId="8" xfId="0" applyBorder="1" applyAlignment="1">
      <alignment horizontal="left" vertical="top"/>
    </xf>
    <xf numFmtId="0" fontId="0" fillId="0" borderId="5" xfId="0" applyBorder="1" applyAlignment="1">
      <alignment horizontal="center" vertical="top" wrapText="1"/>
    </xf>
    <xf numFmtId="0" fontId="0" fillId="0" borderId="8" xfId="0" applyBorder="1" applyAlignment="1">
      <alignment horizontal="center" vertical="top"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1" xfId="0" applyBorder="1" applyAlignment="1">
      <alignment horizontal="center" vertical="center" wrapText="1"/>
    </xf>
    <xf numFmtId="0" fontId="0" fillId="0" borderId="13" xfId="0" applyFont="1" applyBorder="1" applyAlignment="1">
      <alignment horizontal="center" vertical="center" wrapText="1"/>
    </xf>
    <xf numFmtId="0" fontId="0" fillId="0" borderId="18"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5" xfId="0" applyBorder="1" applyAlignment="1">
      <alignment horizontal="left" vertical="center"/>
    </xf>
    <xf numFmtId="0" fontId="0" fillId="0" borderId="8" xfId="0" applyBorder="1" applyAlignment="1">
      <alignment horizontal="left" vertical="center"/>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102" fillId="0" borderId="11" xfId="0" applyFont="1" applyBorder="1" applyAlignment="1">
      <alignment horizontal="center"/>
    </xf>
    <xf numFmtId="0" fontId="102" fillId="0" borderId="13" xfId="0" applyFont="1" applyBorder="1" applyAlignment="1">
      <alignment horizontal="center"/>
    </xf>
    <xf numFmtId="0" fontId="0" fillId="0" borderId="1" xfId="0" applyBorder="1" applyAlignment="1">
      <alignment horizontal="center" vertical="center"/>
    </xf>
    <xf numFmtId="0" fontId="0" fillId="0" borderId="1" xfId="0" applyBorder="1" applyAlignment="1">
      <alignment horizontal="left"/>
    </xf>
    <xf numFmtId="0" fontId="0" fillId="0" borderId="10" xfId="0" applyBorder="1" applyAlignment="1">
      <alignment horizontal="center" vertical="center"/>
    </xf>
    <xf numFmtId="0" fontId="102" fillId="0" borderId="4" xfId="0" applyFont="1" applyBorder="1" applyAlignment="1">
      <alignment horizontal="center" vertical="center"/>
    </xf>
    <xf numFmtId="0" fontId="102" fillId="0" borderId="15" xfId="0" applyFont="1" applyBorder="1" applyAlignment="1">
      <alignment horizontal="center"/>
    </xf>
    <xf numFmtId="0" fontId="102" fillId="0" borderId="0" xfId="0" applyFont="1" applyBorder="1" applyAlignment="1">
      <alignment horizontal="center"/>
    </xf>
    <xf numFmtId="0" fontId="102" fillId="0" borderId="16" xfId="0" applyFont="1" applyBorder="1" applyAlignment="1">
      <alignment horizontal="center"/>
    </xf>
    <xf numFmtId="0" fontId="102" fillId="0" borderId="0" xfId="0" applyFont="1" applyAlignment="1">
      <alignment horizontal="center"/>
    </xf>
    <xf numFmtId="0" fontId="0" fillId="0" borderId="0" xfId="0" applyBorder="1" applyAlignment="1">
      <alignment horizontal="center"/>
    </xf>
    <xf numFmtId="0" fontId="0" fillId="0" borderId="0" xfId="0" applyAlignment="1">
      <alignment horizontal="center" vertical="center"/>
    </xf>
    <xf numFmtId="0" fontId="0" fillId="0" borderId="16" xfId="0" applyBorder="1" applyAlignment="1">
      <alignment horizontal="right" vertical="center"/>
    </xf>
    <xf numFmtId="0" fontId="0" fillId="0" borderId="1" xfId="0" applyBorder="1" applyAlignment="1">
      <alignment horizontal="center"/>
    </xf>
    <xf numFmtId="0" fontId="88" fillId="0" borderId="0" xfId="0" applyFont="1" applyAlignment="1">
      <alignment horizontal="center" vertical="center"/>
    </xf>
    <xf numFmtId="0" fontId="0" fillId="0" borderId="10" xfId="0" applyBorder="1" applyAlignment="1">
      <alignment horizontal="center"/>
    </xf>
    <xf numFmtId="0" fontId="0" fillId="0" borderId="16" xfId="0" applyBorder="1" applyAlignment="1">
      <alignment horizontal="center" vertical="center"/>
    </xf>
    <xf numFmtId="0" fontId="0" fillId="0" borderId="15" xfId="0" applyBorder="1" applyAlignment="1">
      <alignment horizontal="center" vertical="center"/>
    </xf>
    <xf numFmtId="2" fontId="99" fillId="0" borderId="4" xfId="0" applyNumberFormat="1" applyFont="1" applyFill="1" applyBorder="1" applyAlignment="1">
      <alignment horizontal="center"/>
    </xf>
    <xf numFmtId="2" fontId="99" fillId="0" borderId="0" xfId="0" applyNumberFormat="1" applyFont="1" applyFill="1"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20" xfId="0" applyBorder="1" applyAlignment="1">
      <alignment horizontal="center"/>
    </xf>
    <xf numFmtId="0" fontId="0" fillId="0" borderId="21" xfId="0" applyBorder="1" applyAlignment="1">
      <alignment horizontal="center"/>
    </xf>
    <xf numFmtId="0" fontId="0" fillId="0" borderId="22" xfId="0" applyBorder="1" applyAlignment="1">
      <alignment horizontal="center"/>
    </xf>
    <xf numFmtId="0" fontId="0" fillId="0" borderId="14" xfId="0" applyBorder="1" applyAlignment="1">
      <alignment horizontal="center" vertical="center"/>
    </xf>
    <xf numFmtId="0" fontId="0" fillId="0" borderId="0" xfId="0" applyBorder="1" applyAlignment="1">
      <alignment horizontal="center" vertical="center"/>
    </xf>
    <xf numFmtId="0" fontId="0" fillId="0" borderId="23" xfId="0" applyBorder="1" applyAlignment="1">
      <alignment horizontal="center"/>
    </xf>
    <xf numFmtId="0" fontId="0" fillId="0" borderId="6" xfId="0" applyBorder="1" applyAlignment="1">
      <alignment horizontal="center"/>
    </xf>
    <xf numFmtId="0" fontId="0" fillId="0" borderId="14" xfId="0" applyBorder="1" applyAlignment="1">
      <alignment horizontal="center"/>
    </xf>
    <xf numFmtId="0" fontId="0" fillId="0" borderId="7" xfId="0" applyBorder="1" applyAlignment="1">
      <alignment horizontal="center"/>
    </xf>
    <xf numFmtId="0" fontId="0" fillId="0" borderId="24" xfId="0" applyBorder="1" applyAlignment="1">
      <alignment horizontal="center"/>
    </xf>
    <xf numFmtId="2" fontId="0" fillId="0" borderId="14" xfId="0" applyNumberFormat="1" applyBorder="1" applyAlignment="1">
      <alignment horizontal="center" vertical="center"/>
    </xf>
    <xf numFmtId="2" fontId="0" fillId="0" borderId="0" xfId="0" applyNumberFormat="1" applyAlignment="1">
      <alignment horizontal="center" vertical="center"/>
    </xf>
    <xf numFmtId="2" fontId="0" fillId="0" borderId="4" xfId="0" applyNumberFormat="1" applyBorder="1" applyAlignment="1">
      <alignment horizontal="center" vertical="center"/>
    </xf>
    <xf numFmtId="0" fontId="0" fillId="0" borderId="12" xfId="0" applyBorder="1" applyAlignment="1">
      <alignment horizontal="center"/>
    </xf>
    <xf numFmtId="0" fontId="0" fillId="0" borderId="4" xfId="0" applyBorder="1" applyAlignment="1">
      <alignment horizontal="center"/>
    </xf>
    <xf numFmtId="0" fontId="0" fillId="0" borderId="17"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0" fillId="0" borderId="27" xfId="0" applyBorder="1" applyAlignment="1">
      <alignment horizontal="center"/>
    </xf>
  </cellXfs>
  <cellStyles count="1281">
    <cellStyle name="20% - Accent1 10" xfId="11"/>
    <cellStyle name="20% - Accent1 11" xfId="12"/>
    <cellStyle name="20% - Accent1 2" xfId="13"/>
    <cellStyle name="20% - Accent1 3" xfId="14"/>
    <cellStyle name="20% - Accent1 4" xfId="15"/>
    <cellStyle name="20% - Accent1 5" xfId="16"/>
    <cellStyle name="20% - Accent1 6" xfId="17"/>
    <cellStyle name="20% - Accent1 7" xfId="18"/>
    <cellStyle name="20% - Accent1 8" xfId="19"/>
    <cellStyle name="20% - Accent1 9" xfId="20"/>
    <cellStyle name="20% - Accent2 10" xfId="21"/>
    <cellStyle name="20% - Accent2 11" xfId="22"/>
    <cellStyle name="20% - Accent2 2" xfId="23"/>
    <cellStyle name="20% - Accent2 3" xfId="24"/>
    <cellStyle name="20% - Accent2 4" xfId="25"/>
    <cellStyle name="20% - Accent2 5" xfId="26"/>
    <cellStyle name="20% - Accent2 6" xfId="27"/>
    <cellStyle name="20% - Accent2 7" xfId="28"/>
    <cellStyle name="20% - Accent2 8" xfId="29"/>
    <cellStyle name="20% - Accent2 9" xfId="30"/>
    <cellStyle name="20% - Accent3 10" xfId="31"/>
    <cellStyle name="20% - Accent3 11" xfId="32"/>
    <cellStyle name="20% - Accent3 2" xfId="33"/>
    <cellStyle name="20% - Accent3 3" xfId="34"/>
    <cellStyle name="20% - Accent3 4" xfId="35"/>
    <cellStyle name="20% - Accent3 5" xfId="36"/>
    <cellStyle name="20% - Accent3 6" xfId="37"/>
    <cellStyle name="20% - Accent3 7" xfId="38"/>
    <cellStyle name="20% - Accent3 8" xfId="39"/>
    <cellStyle name="20% - Accent3 9" xfId="40"/>
    <cellStyle name="20% - Accent4 10" xfId="41"/>
    <cellStyle name="20% - Accent4 11" xfId="42"/>
    <cellStyle name="20% - Accent4 2" xfId="43"/>
    <cellStyle name="20% - Accent4 3" xfId="44"/>
    <cellStyle name="20% - Accent4 4" xfId="45"/>
    <cellStyle name="20% - Accent4 5" xfId="46"/>
    <cellStyle name="20% - Accent4 6" xfId="47"/>
    <cellStyle name="20% - Accent4 7" xfId="48"/>
    <cellStyle name="20% - Accent4 8" xfId="49"/>
    <cellStyle name="20% - Accent4 9" xfId="50"/>
    <cellStyle name="20% - Accent5 10" xfId="51"/>
    <cellStyle name="20% - Accent5 11" xfId="52"/>
    <cellStyle name="20% - Accent5 2" xfId="53"/>
    <cellStyle name="20% - Accent5 3" xfId="54"/>
    <cellStyle name="20% - Accent5 4" xfId="55"/>
    <cellStyle name="20% - Accent5 5" xfId="56"/>
    <cellStyle name="20% - Accent5 6" xfId="57"/>
    <cellStyle name="20% - Accent5 7" xfId="58"/>
    <cellStyle name="20% - Accent5 8" xfId="59"/>
    <cellStyle name="20% - Accent5 9" xfId="60"/>
    <cellStyle name="20% - Accent6 10" xfId="61"/>
    <cellStyle name="20% - Accent6 11" xfId="62"/>
    <cellStyle name="20% - Accent6 2" xfId="63"/>
    <cellStyle name="20% - Accent6 3" xfId="64"/>
    <cellStyle name="20% - Accent6 4" xfId="65"/>
    <cellStyle name="20% - Accent6 5" xfId="66"/>
    <cellStyle name="20% - Accent6 6" xfId="67"/>
    <cellStyle name="20% - Accent6 7" xfId="68"/>
    <cellStyle name="20% - Accent6 8" xfId="69"/>
    <cellStyle name="20% - Accent6 9" xfId="70"/>
    <cellStyle name="40% - Accent1 10" xfId="71"/>
    <cellStyle name="40% - Accent1 11" xfId="72"/>
    <cellStyle name="40% - Accent1 2" xfId="73"/>
    <cellStyle name="40% - Accent1 3" xfId="74"/>
    <cellStyle name="40% - Accent1 4" xfId="75"/>
    <cellStyle name="40% - Accent1 5" xfId="76"/>
    <cellStyle name="40% - Accent1 6" xfId="77"/>
    <cellStyle name="40% - Accent1 7" xfId="78"/>
    <cellStyle name="40% - Accent1 8" xfId="79"/>
    <cellStyle name="40% - Accent1 9" xfId="80"/>
    <cellStyle name="40% - Accent2 10" xfId="81"/>
    <cellStyle name="40% - Accent2 11" xfId="82"/>
    <cellStyle name="40% - Accent2 2" xfId="83"/>
    <cellStyle name="40% - Accent2 3" xfId="84"/>
    <cellStyle name="40% - Accent2 4" xfId="85"/>
    <cellStyle name="40% - Accent2 5" xfId="86"/>
    <cellStyle name="40% - Accent2 6" xfId="87"/>
    <cellStyle name="40% - Accent2 7" xfId="88"/>
    <cellStyle name="40% - Accent2 8" xfId="89"/>
    <cellStyle name="40% - Accent2 9" xfId="90"/>
    <cellStyle name="40% - Accent3 10" xfId="91"/>
    <cellStyle name="40% - Accent3 11" xfId="92"/>
    <cellStyle name="40% - Accent3 2" xfId="93"/>
    <cellStyle name="40% - Accent3 3" xfId="94"/>
    <cellStyle name="40% - Accent3 4" xfId="95"/>
    <cellStyle name="40% - Accent3 5" xfId="96"/>
    <cellStyle name="40% - Accent3 6" xfId="97"/>
    <cellStyle name="40% - Accent3 7" xfId="98"/>
    <cellStyle name="40% - Accent3 8" xfId="99"/>
    <cellStyle name="40% - Accent3 9" xfId="100"/>
    <cellStyle name="40% - Accent4 10" xfId="101"/>
    <cellStyle name="40% - Accent4 11" xfId="102"/>
    <cellStyle name="40% - Accent4 2" xfId="103"/>
    <cellStyle name="40% - Accent4 3" xfId="104"/>
    <cellStyle name="40% - Accent4 4" xfId="105"/>
    <cellStyle name="40% - Accent4 5" xfId="106"/>
    <cellStyle name="40% - Accent4 6" xfId="107"/>
    <cellStyle name="40% - Accent4 7" xfId="108"/>
    <cellStyle name="40% - Accent4 8" xfId="109"/>
    <cellStyle name="40% - Accent4 9" xfId="110"/>
    <cellStyle name="40% - Accent5 10" xfId="111"/>
    <cellStyle name="40% - Accent5 11" xfId="112"/>
    <cellStyle name="40% - Accent5 2" xfId="113"/>
    <cellStyle name="40% - Accent5 3" xfId="114"/>
    <cellStyle name="40% - Accent5 4" xfId="115"/>
    <cellStyle name="40% - Accent5 5" xfId="116"/>
    <cellStyle name="40% - Accent5 6" xfId="117"/>
    <cellStyle name="40% - Accent5 7" xfId="118"/>
    <cellStyle name="40% - Accent5 8" xfId="119"/>
    <cellStyle name="40% - Accent5 9" xfId="120"/>
    <cellStyle name="40% - Accent6 10" xfId="121"/>
    <cellStyle name="40% - Accent6 11" xfId="122"/>
    <cellStyle name="40% - Accent6 2" xfId="123"/>
    <cellStyle name="40% - Accent6 3" xfId="124"/>
    <cellStyle name="40% - Accent6 4" xfId="125"/>
    <cellStyle name="40% - Accent6 5" xfId="126"/>
    <cellStyle name="40% - Accent6 6" xfId="127"/>
    <cellStyle name="40% - Accent6 7" xfId="128"/>
    <cellStyle name="40% - Accent6 8" xfId="129"/>
    <cellStyle name="40% - Accent6 9" xfId="130"/>
    <cellStyle name="60% - Accent1 10" xfId="131"/>
    <cellStyle name="60% - Accent1 11" xfId="132"/>
    <cellStyle name="60% - Accent1 2" xfId="133"/>
    <cellStyle name="60% - Accent1 3" xfId="134"/>
    <cellStyle name="60% - Accent1 4" xfId="135"/>
    <cellStyle name="60% - Accent1 5" xfId="136"/>
    <cellStyle name="60% - Accent1 6" xfId="137"/>
    <cellStyle name="60% - Accent1 7" xfId="138"/>
    <cellStyle name="60% - Accent1 8" xfId="139"/>
    <cellStyle name="60% - Accent1 9" xfId="140"/>
    <cellStyle name="60% - Accent2 10" xfId="141"/>
    <cellStyle name="60% - Accent2 11" xfId="142"/>
    <cellStyle name="60% - Accent2 2" xfId="143"/>
    <cellStyle name="60% - Accent2 3" xfId="144"/>
    <cellStyle name="60% - Accent2 4" xfId="145"/>
    <cellStyle name="60% - Accent2 5" xfId="146"/>
    <cellStyle name="60% - Accent2 6" xfId="147"/>
    <cellStyle name="60% - Accent2 7" xfId="148"/>
    <cellStyle name="60% - Accent2 8" xfId="149"/>
    <cellStyle name="60% - Accent2 9" xfId="150"/>
    <cellStyle name="60% - Accent3 10" xfId="151"/>
    <cellStyle name="60% - Accent3 11" xfId="152"/>
    <cellStyle name="60% - Accent3 2" xfId="153"/>
    <cellStyle name="60% - Accent3 3" xfId="154"/>
    <cellStyle name="60% - Accent3 4" xfId="155"/>
    <cellStyle name="60% - Accent3 5" xfId="156"/>
    <cellStyle name="60% - Accent3 6" xfId="157"/>
    <cellStyle name="60% - Accent3 7" xfId="158"/>
    <cellStyle name="60% - Accent3 8" xfId="159"/>
    <cellStyle name="60% - Accent3 9" xfId="160"/>
    <cellStyle name="60% - Accent4 10" xfId="161"/>
    <cellStyle name="60% - Accent4 11" xfId="162"/>
    <cellStyle name="60% - Accent4 2" xfId="163"/>
    <cellStyle name="60% - Accent4 3" xfId="164"/>
    <cellStyle name="60% - Accent4 4" xfId="165"/>
    <cellStyle name="60% - Accent4 5" xfId="166"/>
    <cellStyle name="60% - Accent4 6" xfId="167"/>
    <cellStyle name="60% - Accent4 7" xfId="168"/>
    <cellStyle name="60% - Accent4 8" xfId="169"/>
    <cellStyle name="60% - Accent4 9" xfId="170"/>
    <cellStyle name="60% - Accent5 10" xfId="171"/>
    <cellStyle name="60% - Accent5 11" xfId="172"/>
    <cellStyle name="60% - Accent5 2" xfId="173"/>
    <cellStyle name="60% - Accent5 3" xfId="174"/>
    <cellStyle name="60% - Accent5 4" xfId="175"/>
    <cellStyle name="60% - Accent5 5" xfId="176"/>
    <cellStyle name="60% - Accent5 6" xfId="177"/>
    <cellStyle name="60% - Accent5 7" xfId="178"/>
    <cellStyle name="60% - Accent5 8" xfId="179"/>
    <cellStyle name="60% - Accent5 9" xfId="180"/>
    <cellStyle name="60% - Accent6 10" xfId="181"/>
    <cellStyle name="60% - Accent6 11" xfId="182"/>
    <cellStyle name="60% - Accent6 2" xfId="183"/>
    <cellStyle name="60% - Accent6 3" xfId="184"/>
    <cellStyle name="60% - Accent6 4" xfId="185"/>
    <cellStyle name="60% - Accent6 5" xfId="186"/>
    <cellStyle name="60% - Accent6 6" xfId="187"/>
    <cellStyle name="60% - Accent6 7" xfId="188"/>
    <cellStyle name="60% - Accent6 8" xfId="189"/>
    <cellStyle name="60% - Accent6 9" xfId="190"/>
    <cellStyle name="Accent1 - 20%" xfId="191"/>
    <cellStyle name="Accent1 - 20% 2" xfId="192"/>
    <cellStyle name="Accent1 - 20% 3" xfId="193"/>
    <cellStyle name="Accent1 - 20% 4" xfId="194"/>
    <cellStyle name="Accent1 - 40%" xfId="195"/>
    <cellStyle name="Accent1 - 40% 2" xfId="196"/>
    <cellStyle name="Accent1 - 40% 3" xfId="197"/>
    <cellStyle name="Accent1 - 40% 4" xfId="198"/>
    <cellStyle name="Accent1 - 60%" xfId="199"/>
    <cellStyle name="Accent1 10" xfId="200"/>
    <cellStyle name="Accent1 11" xfId="201"/>
    <cellStyle name="Accent1 12" xfId="202"/>
    <cellStyle name="Accent1 13" xfId="203"/>
    <cellStyle name="Accent1 14" xfId="204"/>
    <cellStyle name="Accent1 15" xfId="205"/>
    <cellStyle name="Accent1 16" xfId="206"/>
    <cellStyle name="Accent1 2" xfId="207"/>
    <cellStyle name="Accent1 2 2" xfId="208"/>
    <cellStyle name="Accent1 2 3" xfId="209"/>
    <cellStyle name="Accent1 3" xfId="210"/>
    <cellStyle name="Accent1 3 2" xfId="211"/>
    <cellStyle name="Accent1 4" xfId="212"/>
    <cellStyle name="Accent1 5" xfId="213"/>
    <cellStyle name="Accent1 6" xfId="214"/>
    <cellStyle name="Accent1 7" xfId="215"/>
    <cellStyle name="Accent1 8" xfId="216"/>
    <cellStyle name="Accent1 9" xfId="217"/>
    <cellStyle name="Accent2 - 20%" xfId="218"/>
    <cellStyle name="Accent2 - 20% 2" xfId="219"/>
    <cellStyle name="Accent2 - 20% 3" xfId="220"/>
    <cellStyle name="Accent2 - 20% 4" xfId="221"/>
    <cellStyle name="Accent2 - 40%" xfId="222"/>
    <cellStyle name="Accent2 - 40% 2" xfId="223"/>
    <cellStyle name="Accent2 - 40% 3" xfId="224"/>
    <cellStyle name="Accent2 - 40% 4" xfId="225"/>
    <cellStyle name="Accent2 - 60%" xfId="226"/>
    <cellStyle name="Accent2 10" xfId="227"/>
    <cellStyle name="Accent2 11" xfId="228"/>
    <cellStyle name="Accent2 12" xfId="229"/>
    <cellStyle name="Accent2 13" xfId="230"/>
    <cellStyle name="Accent2 14" xfId="231"/>
    <cellStyle name="Accent2 15" xfId="232"/>
    <cellStyle name="Accent2 16" xfId="233"/>
    <cellStyle name="Accent2 2" xfId="234"/>
    <cellStyle name="Accent2 2 2" xfId="235"/>
    <cellStyle name="Accent2 2 3" xfId="236"/>
    <cellStyle name="Accent2 3" xfId="237"/>
    <cellStyle name="Accent2 3 2" xfId="238"/>
    <cellStyle name="Accent2 4" xfId="239"/>
    <cellStyle name="Accent2 5" xfId="240"/>
    <cellStyle name="Accent2 6" xfId="241"/>
    <cellStyle name="Accent2 7" xfId="242"/>
    <cellStyle name="Accent2 8" xfId="243"/>
    <cellStyle name="Accent2 9" xfId="244"/>
    <cellStyle name="Accent3 - 20%" xfId="245"/>
    <cellStyle name="Accent3 - 20% 2" xfId="246"/>
    <cellStyle name="Accent3 - 20% 3" xfId="247"/>
    <cellStyle name="Accent3 - 20% 4" xfId="248"/>
    <cellStyle name="Accent3 - 40%" xfId="249"/>
    <cellStyle name="Accent3 - 40% 2" xfId="250"/>
    <cellStyle name="Accent3 - 40% 3" xfId="251"/>
    <cellStyle name="Accent3 - 40% 4" xfId="252"/>
    <cellStyle name="Accent3 - 60%" xfId="253"/>
    <cellStyle name="Accent3 10" xfId="254"/>
    <cellStyle name="Accent3 11" xfId="255"/>
    <cellStyle name="Accent3 12" xfId="256"/>
    <cellStyle name="Accent3 13" xfId="257"/>
    <cellStyle name="Accent3 14" xfId="258"/>
    <cellStyle name="Accent3 15" xfId="259"/>
    <cellStyle name="Accent3 16" xfId="260"/>
    <cellStyle name="Accent3 2" xfId="261"/>
    <cellStyle name="Accent3 2 2" xfId="262"/>
    <cellStyle name="Accent3 2 3" xfId="263"/>
    <cellStyle name="Accent3 3" xfId="264"/>
    <cellStyle name="Accent3 3 2" xfId="265"/>
    <cellStyle name="Accent3 4" xfId="266"/>
    <cellStyle name="Accent3 5" xfId="267"/>
    <cellStyle name="Accent3 6" xfId="268"/>
    <cellStyle name="Accent3 7" xfId="269"/>
    <cellStyle name="Accent3 8" xfId="270"/>
    <cellStyle name="Accent3 9" xfId="271"/>
    <cellStyle name="Accent4 - 20%" xfId="272"/>
    <cellStyle name="Accent4 - 20% 2" xfId="273"/>
    <cellStyle name="Accent4 - 20% 3" xfId="274"/>
    <cellStyle name="Accent4 - 20% 4" xfId="275"/>
    <cellStyle name="Accent4 - 40%" xfId="276"/>
    <cellStyle name="Accent4 - 40% 2" xfId="277"/>
    <cellStyle name="Accent4 - 40% 3" xfId="278"/>
    <cellStyle name="Accent4 - 40% 4" xfId="279"/>
    <cellStyle name="Accent4 - 60%" xfId="280"/>
    <cellStyle name="Accent4 10" xfId="281"/>
    <cellStyle name="Accent4 11" xfId="282"/>
    <cellStyle name="Accent4 12" xfId="283"/>
    <cellStyle name="Accent4 13" xfId="284"/>
    <cellStyle name="Accent4 14" xfId="285"/>
    <cellStyle name="Accent4 15" xfId="286"/>
    <cellStyle name="Accent4 16" xfId="287"/>
    <cellStyle name="Accent4 2" xfId="288"/>
    <cellStyle name="Accent4 2 2" xfId="289"/>
    <cellStyle name="Accent4 2 3" xfId="290"/>
    <cellStyle name="Accent4 3" xfId="291"/>
    <cellStyle name="Accent4 3 2" xfId="292"/>
    <cellStyle name="Accent4 4" xfId="293"/>
    <cellStyle name="Accent4 5" xfId="294"/>
    <cellStyle name="Accent4 6" xfId="295"/>
    <cellStyle name="Accent4 7" xfId="296"/>
    <cellStyle name="Accent4 8" xfId="297"/>
    <cellStyle name="Accent4 9" xfId="298"/>
    <cellStyle name="Accent5 - 20%" xfId="299"/>
    <cellStyle name="Accent5 - 20% 2" xfId="300"/>
    <cellStyle name="Accent5 - 20% 3" xfId="301"/>
    <cellStyle name="Accent5 - 20% 4" xfId="302"/>
    <cellStyle name="Accent5 - 40%" xfId="303"/>
    <cellStyle name="Accent5 - 40% 2" xfId="304"/>
    <cellStyle name="Accent5 - 40% 3" xfId="305"/>
    <cellStyle name="Accent5 - 40% 4" xfId="306"/>
    <cellStyle name="Accent5 - 60%" xfId="307"/>
    <cellStyle name="Accent5 10" xfId="308"/>
    <cellStyle name="Accent5 11" xfId="309"/>
    <cellStyle name="Accent5 12" xfId="310"/>
    <cellStyle name="Accent5 13" xfId="311"/>
    <cellStyle name="Accent5 14" xfId="312"/>
    <cellStyle name="Accent5 15" xfId="313"/>
    <cellStyle name="Accent5 16" xfId="314"/>
    <cellStyle name="Accent5 2" xfId="315"/>
    <cellStyle name="Accent5 2 2" xfId="316"/>
    <cellStyle name="Accent5 2 3" xfId="317"/>
    <cellStyle name="Accent5 3" xfId="318"/>
    <cellStyle name="Accent5 3 2" xfId="319"/>
    <cellStyle name="Accent5 4" xfId="320"/>
    <cellStyle name="Accent5 5" xfId="321"/>
    <cellStyle name="Accent5 6" xfId="322"/>
    <cellStyle name="Accent5 7" xfId="323"/>
    <cellStyle name="Accent5 8" xfId="324"/>
    <cellStyle name="Accent5 9" xfId="325"/>
    <cellStyle name="Accent6 - 20%" xfId="326"/>
    <cellStyle name="Accent6 - 20% 2" xfId="327"/>
    <cellStyle name="Accent6 - 20% 3" xfId="328"/>
    <cellStyle name="Accent6 - 20% 4" xfId="329"/>
    <cellStyle name="Accent6 - 40%" xfId="330"/>
    <cellStyle name="Accent6 - 40% 2" xfId="331"/>
    <cellStyle name="Accent6 - 40% 3" xfId="332"/>
    <cellStyle name="Accent6 - 40% 4" xfId="333"/>
    <cellStyle name="Accent6 - 60%" xfId="334"/>
    <cellStyle name="Accent6 10" xfId="335"/>
    <cellStyle name="Accent6 11" xfId="336"/>
    <cellStyle name="Accent6 12" xfId="337"/>
    <cellStyle name="Accent6 13" xfId="338"/>
    <cellStyle name="Accent6 14" xfId="339"/>
    <cellStyle name="Accent6 15" xfId="340"/>
    <cellStyle name="Accent6 16" xfId="341"/>
    <cellStyle name="Accent6 2" xfId="342"/>
    <cellStyle name="Accent6 2 2" xfId="343"/>
    <cellStyle name="Accent6 2 3" xfId="344"/>
    <cellStyle name="Accent6 3" xfId="345"/>
    <cellStyle name="Accent6 3 2" xfId="346"/>
    <cellStyle name="Accent6 4" xfId="347"/>
    <cellStyle name="Accent6 5" xfId="348"/>
    <cellStyle name="Accent6 6" xfId="349"/>
    <cellStyle name="Accent6 7" xfId="350"/>
    <cellStyle name="Accent6 8" xfId="351"/>
    <cellStyle name="Accent6 9" xfId="352"/>
    <cellStyle name="Bad 10" xfId="353"/>
    <cellStyle name="Bad 11" xfId="354"/>
    <cellStyle name="Bad 12" xfId="355"/>
    <cellStyle name="Bad 13" xfId="356"/>
    <cellStyle name="Bad 14" xfId="357"/>
    <cellStyle name="Bad 15" xfId="358"/>
    <cellStyle name="Bad 16" xfId="359"/>
    <cellStyle name="Bad 2" xfId="360"/>
    <cellStyle name="Bad 2 2" xfId="361"/>
    <cellStyle name="Bad 2 3" xfId="362"/>
    <cellStyle name="Bad 3" xfId="363"/>
    <cellStyle name="Bad 3 2" xfId="364"/>
    <cellStyle name="Bad 4" xfId="365"/>
    <cellStyle name="Bad 5" xfId="366"/>
    <cellStyle name="Bad 6" xfId="367"/>
    <cellStyle name="Bad 7" xfId="368"/>
    <cellStyle name="Bad 8" xfId="369"/>
    <cellStyle name="Bad 9" xfId="370"/>
    <cellStyle name="BOOKMAN" xfId="371"/>
    <cellStyle name="Calc Currency (0)" xfId="372"/>
    <cellStyle name="Calculation 10" xfId="373"/>
    <cellStyle name="Calculation 11" xfId="374"/>
    <cellStyle name="Calculation 12" xfId="375"/>
    <cellStyle name="Calculation 13" xfId="376"/>
    <cellStyle name="Calculation 14" xfId="377"/>
    <cellStyle name="Calculation 15" xfId="378"/>
    <cellStyle name="Calculation 16" xfId="379"/>
    <cellStyle name="Calculation 2" xfId="380"/>
    <cellStyle name="Calculation 2 2" xfId="381"/>
    <cellStyle name="Calculation 2 3" xfId="382"/>
    <cellStyle name="Calculation 2 4" xfId="383"/>
    <cellStyle name="Calculation 3" xfId="384"/>
    <cellStyle name="Calculation 3 2" xfId="385"/>
    <cellStyle name="Calculation 4" xfId="386"/>
    <cellStyle name="Calculation 5" xfId="387"/>
    <cellStyle name="Calculation 6" xfId="388"/>
    <cellStyle name="Calculation 7" xfId="389"/>
    <cellStyle name="Calculation 8" xfId="390"/>
    <cellStyle name="Calculation 9" xfId="391"/>
    <cellStyle name="Check Cell 10" xfId="392"/>
    <cellStyle name="Check Cell 11" xfId="393"/>
    <cellStyle name="Check Cell 12" xfId="394"/>
    <cellStyle name="Check Cell 13" xfId="395"/>
    <cellStyle name="Check Cell 14" xfId="396"/>
    <cellStyle name="Check Cell 15" xfId="397"/>
    <cellStyle name="Check Cell 16" xfId="398"/>
    <cellStyle name="Check Cell 2" xfId="399"/>
    <cellStyle name="Check Cell 2 2" xfId="400"/>
    <cellStyle name="Check Cell 2 3" xfId="401"/>
    <cellStyle name="Check Cell 3" xfId="402"/>
    <cellStyle name="Check Cell 3 2" xfId="403"/>
    <cellStyle name="Check Cell 4" xfId="404"/>
    <cellStyle name="Check Cell 5" xfId="405"/>
    <cellStyle name="Check Cell 6" xfId="406"/>
    <cellStyle name="Check Cell 7" xfId="407"/>
    <cellStyle name="Check Cell 8" xfId="408"/>
    <cellStyle name="Check Cell 9" xfId="409"/>
    <cellStyle name="Comma  - Style1" xfId="410"/>
    <cellStyle name="Comma  - Style1 2" xfId="411"/>
    <cellStyle name="Comma  - Style1 3" xfId="412"/>
    <cellStyle name="Comma  - Style1 4" xfId="413"/>
    <cellStyle name="Comma  - Style1 5" xfId="414"/>
    <cellStyle name="Comma  - Style1 6" xfId="415"/>
    <cellStyle name="Comma  - Style1_PMGSY_-NEW_-Seebai1" xfId="416"/>
    <cellStyle name="Comma  - Style2" xfId="417"/>
    <cellStyle name="Comma  - Style2 2" xfId="418"/>
    <cellStyle name="Comma  - Style2 3" xfId="419"/>
    <cellStyle name="Comma  - Style2 4" xfId="420"/>
    <cellStyle name="Comma  - Style2 5" xfId="421"/>
    <cellStyle name="Comma  - Style2 6" xfId="422"/>
    <cellStyle name="Comma  - Style2_PMGSY_-NEW_-Seebai1" xfId="423"/>
    <cellStyle name="Comma  - Style3" xfId="424"/>
    <cellStyle name="Comma  - Style3 2" xfId="425"/>
    <cellStyle name="Comma  - Style3 3" xfId="426"/>
    <cellStyle name="Comma  - Style3 4" xfId="427"/>
    <cellStyle name="Comma  - Style3 5" xfId="428"/>
    <cellStyle name="Comma  - Style3 6" xfId="429"/>
    <cellStyle name="Comma  - Style3_PMGSY_-NEW_-Seebai1" xfId="430"/>
    <cellStyle name="Comma  - Style4" xfId="431"/>
    <cellStyle name="Comma  - Style4 2" xfId="432"/>
    <cellStyle name="Comma  - Style4 3" xfId="433"/>
    <cellStyle name="Comma  - Style4 4" xfId="434"/>
    <cellStyle name="Comma  - Style4 5" xfId="435"/>
    <cellStyle name="Comma  - Style4 6" xfId="436"/>
    <cellStyle name="Comma  - Style4_PMGSY_-NEW_-Seebai1" xfId="437"/>
    <cellStyle name="Comma  - Style5" xfId="438"/>
    <cellStyle name="Comma  - Style5 2" xfId="439"/>
    <cellStyle name="Comma  - Style5 3" xfId="440"/>
    <cellStyle name="Comma  - Style5 4" xfId="441"/>
    <cellStyle name="Comma  - Style5 5" xfId="442"/>
    <cellStyle name="Comma  - Style5 6" xfId="443"/>
    <cellStyle name="Comma  - Style5_PMGSY_-NEW_-Seebai1" xfId="444"/>
    <cellStyle name="Comma  - Style6" xfId="445"/>
    <cellStyle name="Comma  - Style6 2" xfId="446"/>
    <cellStyle name="Comma  - Style6 3" xfId="447"/>
    <cellStyle name="Comma  - Style6 4" xfId="448"/>
    <cellStyle name="Comma  - Style6 5" xfId="449"/>
    <cellStyle name="Comma  - Style6 6" xfId="450"/>
    <cellStyle name="Comma  - Style6_PMGSY_-NEW_-Seebai1" xfId="451"/>
    <cellStyle name="Comma  - Style7" xfId="452"/>
    <cellStyle name="Comma  - Style7 2" xfId="453"/>
    <cellStyle name="Comma  - Style7 3" xfId="454"/>
    <cellStyle name="Comma  - Style7 4" xfId="455"/>
    <cellStyle name="Comma  - Style7 5" xfId="456"/>
    <cellStyle name="Comma  - Style7 6" xfId="457"/>
    <cellStyle name="Comma  - Style7_PMGSY_-NEW_-Seebai1" xfId="458"/>
    <cellStyle name="Comma  - Style8" xfId="459"/>
    <cellStyle name="Comma  - Style8 2" xfId="460"/>
    <cellStyle name="Comma  - Style8 3" xfId="461"/>
    <cellStyle name="Comma  - Style8 4" xfId="462"/>
    <cellStyle name="Comma  - Style8 5" xfId="463"/>
    <cellStyle name="Comma  - Style8 6" xfId="464"/>
    <cellStyle name="Comma  - Style8_PMGSY_-NEW_-Seebai1" xfId="465"/>
    <cellStyle name="Comma 2" xfId="466"/>
    <cellStyle name="Comma 2 10" xfId="467"/>
    <cellStyle name="Comma 2 11" xfId="468"/>
    <cellStyle name="Comma 2 12" xfId="469"/>
    <cellStyle name="Comma 2 13" xfId="470"/>
    <cellStyle name="Comma 2 2" xfId="471"/>
    <cellStyle name="Comma 2 2 10" xfId="472"/>
    <cellStyle name="Comma 2 2 11" xfId="473"/>
    <cellStyle name="Comma 2 2 2" xfId="474"/>
    <cellStyle name="Comma 2 2 3" xfId="475"/>
    <cellStyle name="Comma 2 2 4" xfId="476"/>
    <cellStyle name="Comma 2 2 5" xfId="477"/>
    <cellStyle name="Comma 2 2 6" xfId="478"/>
    <cellStyle name="Comma 2 2 7" xfId="479"/>
    <cellStyle name="Comma 2 2 8" xfId="480"/>
    <cellStyle name="Comma 2 2 9" xfId="481"/>
    <cellStyle name="Comma 2 3" xfId="482"/>
    <cellStyle name="Comma 2 3 2" xfId="483"/>
    <cellStyle name="Comma 2 3 3" xfId="484"/>
    <cellStyle name="Comma 2 3 4" xfId="485"/>
    <cellStyle name="Comma 2 4" xfId="486"/>
    <cellStyle name="Comma 2 4 2" xfId="487"/>
    <cellStyle name="Comma 2 5" xfId="488"/>
    <cellStyle name="Comma 2 6" xfId="489"/>
    <cellStyle name="Comma 2 7" xfId="490"/>
    <cellStyle name="Comma 2 8" xfId="491"/>
    <cellStyle name="Comma 2 9" xfId="492"/>
    <cellStyle name="Comma 2_CC Bill" xfId="493"/>
    <cellStyle name="Comma 3" xfId="494"/>
    <cellStyle name="Comma 3 10" xfId="495"/>
    <cellStyle name="Comma 3 11" xfId="496"/>
    <cellStyle name="Comma 3 2" xfId="497"/>
    <cellStyle name="Comma 3 2 2" xfId="498"/>
    <cellStyle name="Comma 3 2 2 2" xfId="499"/>
    <cellStyle name="Comma 3 2 2 2 2" xfId="500"/>
    <cellStyle name="Comma 3 2 2 2 3" xfId="501"/>
    <cellStyle name="Comma 3 2 2 2 4" xfId="502"/>
    <cellStyle name="Comma 3 2 2 2_RA-2 CC" xfId="503"/>
    <cellStyle name="Comma 3 3" xfId="504"/>
    <cellStyle name="Comma 3 3 2" xfId="505"/>
    <cellStyle name="Comma 3 4" xfId="506"/>
    <cellStyle name="Comma 3 5" xfId="507"/>
    <cellStyle name="Comma 3 6" xfId="508"/>
    <cellStyle name="Comma 3 7" xfId="509"/>
    <cellStyle name="Comma 3 8" xfId="510"/>
    <cellStyle name="Comma 3 9" xfId="511"/>
    <cellStyle name="Comma 3_CC Bill" xfId="512"/>
    <cellStyle name="Comma 4" xfId="513"/>
    <cellStyle name="Comma 4 2" xfId="514"/>
    <cellStyle name="Comma 4 2 2" xfId="515"/>
    <cellStyle name="Comma 4 3" xfId="516"/>
    <cellStyle name="Comma 4 4" xfId="517"/>
    <cellStyle name="Comma 4_CC Bill" xfId="518"/>
    <cellStyle name="Comma 5" xfId="519"/>
    <cellStyle name="Comma 5 2" xfId="520"/>
    <cellStyle name="Comma 5 3" xfId="521"/>
    <cellStyle name="Comma 6" xfId="522"/>
    <cellStyle name="Comma 6 2" xfId="523"/>
    <cellStyle name="Comma 6 3" xfId="524"/>
    <cellStyle name="Comma 7" xfId="525"/>
    <cellStyle name="Comma 7 2" xfId="526"/>
    <cellStyle name="Comma 7 3" xfId="527"/>
    <cellStyle name="Comma 8" xfId="528"/>
    <cellStyle name="Copied" xfId="529"/>
    <cellStyle name="Copied 2" xfId="530"/>
    <cellStyle name="Copied 3" xfId="531"/>
    <cellStyle name="Copied 4" xfId="532"/>
    <cellStyle name="Copied 5" xfId="533"/>
    <cellStyle name="Copied 6" xfId="534"/>
    <cellStyle name="Copied_AKKAMPALLI - RACHANAPALLI RD TO N R R COLONY" xfId="535"/>
    <cellStyle name="Currency 2" xfId="536"/>
    <cellStyle name="Currency 2 2" xfId="537"/>
    <cellStyle name="Currency 3" xfId="538"/>
    <cellStyle name="Currency 4" xfId="539"/>
    <cellStyle name="Currency 5" xfId="540"/>
    <cellStyle name="Currency 6" xfId="541"/>
    <cellStyle name="Emphasis 1" xfId="542"/>
    <cellStyle name="Emphasis 2" xfId="543"/>
    <cellStyle name="Emphasis 3" xfId="544"/>
    <cellStyle name="Entered" xfId="545"/>
    <cellStyle name="Entered 2" xfId="546"/>
    <cellStyle name="Entered 3" xfId="547"/>
    <cellStyle name="Entered 4" xfId="548"/>
    <cellStyle name="Entered 5" xfId="549"/>
    <cellStyle name="Entered 6" xfId="550"/>
    <cellStyle name="Entered_AKKAMPALLI - RACHANAPALLI RD TO N R R COLONY" xfId="551"/>
    <cellStyle name="Euro" xfId="552"/>
    <cellStyle name="Excel Built-in Normal" xfId="553"/>
    <cellStyle name="Excel Built-in Normal 2" xfId="554"/>
    <cellStyle name="Excel_BuiltIn_Total" xfId="555"/>
    <cellStyle name="Explanatory Text 10" xfId="556"/>
    <cellStyle name="Explanatory Text 11" xfId="557"/>
    <cellStyle name="Explanatory Text 2" xfId="558"/>
    <cellStyle name="Explanatory Text 3" xfId="559"/>
    <cellStyle name="Explanatory Text 4" xfId="560"/>
    <cellStyle name="Explanatory Text 5" xfId="561"/>
    <cellStyle name="Explanatory Text 6" xfId="562"/>
    <cellStyle name="Explanatory Text 7" xfId="563"/>
    <cellStyle name="Explanatory Text 8" xfId="564"/>
    <cellStyle name="Explanatory Text 9" xfId="565"/>
    <cellStyle name="Fixed" xfId="566"/>
    <cellStyle name="Fixed 2" xfId="567"/>
    <cellStyle name="Fixed 3" xfId="568"/>
    <cellStyle name="general" xfId="569"/>
    <cellStyle name="general 2" xfId="570"/>
    <cellStyle name="general 3" xfId="571"/>
    <cellStyle name="general 4" xfId="572"/>
    <cellStyle name="general 5" xfId="573"/>
    <cellStyle name="general 6" xfId="574"/>
    <cellStyle name="general_Nakkabokkalapdu Grn Anganwadi     6-11-2016 for Bill," xfId="575"/>
    <cellStyle name="Good 10" xfId="576"/>
    <cellStyle name="Good 11" xfId="577"/>
    <cellStyle name="Good 12" xfId="578"/>
    <cellStyle name="Good 13" xfId="579"/>
    <cellStyle name="Good 14" xfId="580"/>
    <cellStyle name="Good 15" xfId="581"/>
    <cellStyle name="Good 16" xfId="582"/>
    <cellStyle name="Good 2" xfId="583"/>
    <cellStyle name="Good 2 2" xfId="584"/>
    <cellStyle name="Good 2 3" xfId="585"/>
    <cellStyle name="Good 3" xfId="586"/>
    <cellStyle name="Good 3 2" xfId="587"/>
    <cellStyle name="Good 4" xfId="588"/>
    <cellStyle name="Good 5" xfId="589"/>
    <cellStyle name="Good 6" xfId="590"/>
    <cellStyle name="Good 7" xfId="591"/>
    <cellStyle name="Good 8" xfId="592"/>
    <cellStyle name="Good 9" xfId="593"/>
    <cellStyle name="Grey" xfId="594"/>
    <cellStyle name="Grey 2" xfId="595"/>
    <cellStyle name="Header1" xfId="596"/>
    <cellStyle name="Header2" xfId="597"/>
    <cellStyle name="Heading 1 10" xfId="598"/>
    <cellStyle name="Heading 1 11" xfId="599"/>
    <cellStyle name="Heading 1 12" xfId="600"/>
    <cellStyle name="Heading 1 13" xfId="601"/>
    <cellStyle name="Heading 1 14" xfId="602"/>
    <cellStyle name="Heading 1 15" xfId="603"/>
    <cellStyle name="Heading 1 16" xfId="604"/>
    <cellStyle name="Heading 1 2" xfId="605"/>
    <cellStyle name="Heading 1 2 2" xfId="606"/>
    <cellStyle name="Heading 1 2 3" xfId="607"/>
    <cellStyle name="Heading 1 3" xfId="608"/>
    <cellStyle name="Heading 1 3 2" xfId="609"/>
    <cellStyle name="Heading 1 4" xfId="610"/>
    <cellStyle name="Heading 1 5" xfId="611"/>
    <cellStyle name="Heading 1 6" xfId="612"/>
    <cellStyle name="Heading 1 7" xfId="613"/>
    <cellStyle name="Heading 1 8" xfId="614"/>
    <cellStyle name="Heading 1 9" xfId="615"/>
    <cellStyle name="Heading 2 10" xfId="616"/>
    <cellStyle name="Heading 2 11" xfId="617"/>
    <cellStyle name="Heading 2 12" xfId="618"/>
    <cellStyle name="Heading 2 13" xfId="619"/>
    <cellStyle name="Heading 2 14" xfId="620"/>
    <cellStyle name="Heading 2 15" xfId="621"/>
    <cellStyle name="Heading 2 16" xfId="622"/>
    <cellStyle name="Heading 2 2" xfId="623"/>
    <cellStyle name="Heading 2 2 2" xfId="624"/>
    <cellStyle name="Heading 2 2 3" xfId="625"/>
    <cellStyle name="Heading 2 3" xfId="626"/>
    <cellStyle name="Heading 2 3 2" xfId="627"/>
    <cellStyle name="Heading 2 4" xfId="628"/>
    <cellStyle name="Heading 2 5" xfId="629"/>
    <cellStyle name="Heading 2 6" xfId="630"/>
    <cellStyle name="Heading 2 7" xfId="631"/>
    <cellStyle name="Heading 2 8" xfId="632"/>
    <cellStyle name="Heading 2 9" xfId="633"/>
    <cellStyle name="Heading 3 10" xfId="634"/>
    <cellStyle name="Heading 3 11" xfId="635"/>
    <cellStyle name="Heading 3 12" xfId="636"/>
    <cellStyle name="Heading 3 13" xfId="637"/>
    <cellStyle name="Heading 3 14" xfId="638"/>
    <cellStyle name="Heading 3 15" xfId="639"/>
    <cellStyle name="Heading 3 16" xfId="640"/>
    <cellStyle name="Heading 3 2" xfId="641"/>
    <cellStyle name="Heading 3 2 2" xfId="642"/>
    <cellStyle name="Heading 3 2 3" xfId="643"/>
    <cellStyle name="Heading 3 3" xfId="644"/>
    <cellStyle name="Heading 3 3 2" xfId="645"/>
    <cellStyle name="Heading 3 4" xfId="646"/>
    <cellStyle name="Heading 3 5" xfId="647"/>
    <cellStyle name="Heading 3 6" xfId="648"/>
    <cellStyle name="Heading 3 7" xfId="649"/>
    <cellStyle name="Heading 3 8" xfId="650"/>
    <cellStyle name="Heading 3 9" xfId="651"/>
    <cellStyle name="Heading 4 10" xfId="652"/>
    <cellStyle name="Heading 4 11" xfId="653"/>
    <cellStyle name="Heading 4 12" xfId="654"/>
    <cellStyle name="Heading 4 13" xfId="655"/>
    <cellStyle name="Heading 4 14" xfId="656"/>
    <cellStyle name="Heading 4 15" xfId="657"/>
    <cellStyle name="Heading 4 16" xfId="658"/>
    <cellStyle name="Heading 4 2" xfId="659"/>
    <cellStyle name="Heading 4 2 2" xfId="660"/>
    <cellStyle name="Heading 4 2 3" xfId="661"/>
    <cellStyle name="Heading 4 3" xfId="662"/>
    <cellStyle name="Heading 4 3 2" xfId="663"/>
    <cellStyle name="Heading 4 4" xfId="664"/>
    <cellStyle name="Heading 4 5" xfId="665"/>
    <cellStyle name="Heading 4 6" xfId="666"/>
    <cellStyle name="Heading 4 7" xfId="667"/>
    <cellStyle name="Heading 4 8" xfId="668"/>
    <cellStyle name="Heading 4 9" xfId="669"/>
    <cellStyle name="Hyperlink" xfId="1" builtinId="8"/>
    <cellStyle name="Hyperlink 2" xfId="670"/>
    <cellStyle name="Hyperlink 2 2" xfId="671"/>
    <cellStyle name="Hyperlink 2 3" xfId="672"/>
    <cellStyle name="Hyperlink 2_500 KL OHSR 21.60m Staging" xfId="673"/>
    <cellStyle name="Hyperlink 3" xfId="674"/>
    <cellStyle name="Input [yellow]" xfId="675"/>
    <cellStyle name="Input [yellow] 2" xfId="676"/>
    <cellStyle name="Input 10" xfId="677"/>
    <cellStyle name="Input 11" xfId="678"/>
    <cellStyle name="Input 12" xfId="679"/>
    <cellStyle name="Input 13" xfId="680"/>
    <cellStyle name="Input 14" xfId="681"/>
    <cellStyle name="Input 15" xfId="682"/>
    <cellStyle name="Input 16" xfId="683"/>
    <cellStyle name="Input 2" xfId="684"/>
    <cellStyle name="Input 2 2" xfId="685"/>
    <cellStyle name="Input 2 3" xfId="686"/>
    <cellStyle name="Input 3" xfId="687"/>
    <cellStyle name="Input 3 2" xfId="688"/>
    <cellStyle name="Input 4" xfId="689"/>
    <cellStyle name="Input 5" xfId="690"/>
    <cellStyle name="Input 6" xfId="691"/>
    <cellStyle name="Input 7" xfId="692"/>
    <cellStyle name="Input 8" xfId="693"/>
    <cellStyle name="Input 9" xfId="694"/>
    <cellStyle name="Linked Cell 10" xfId="695"/>
    <cellStyle name="Linked Cell 11" xfId="696"/>
    <cellStyle name="Linked Cell 12" xfId="697"/>
    <cellStyle name="Linked Cell 13" xfId="698"/>
    <cellStyle name="Linked Cell 14" xfId="699"/>
    <cellStyle name="Linked Cell 15" xfId="700"/>
    <cellStyle name="Linked Cell 16" xfId="701"/>
    <cellStyle name="Linked Cell 2" xfId="702"/>
    <cellStyle name="Linked Cell 2 2" xfId="703"/>
    <cellStyle name="Linked Cell 2 3" xfId="704"/>
    <cellStyle name="Linked Cell 3" xfId="705"/>
    <cellStyle name="Linked Cell 3 2" xfId="706"/>
    <cellStyle name="Linked Cell 4" xfId="707"/>
    <cellStyle name="Linked Cell 5" xfId="708"/>
    <cellStyle name="Linked Cell 6" xfId="709"/>
    <cellStyle name="Linked Cell 7" xfId="710"/>
    <cellStyle name="Linked Cell 8" xfId="711"/>
    <cellStyle name="Linked Cell 9" xfId="712"/>
    <cellStyle name="M head" xfId="713"/>
    <cellStyle name="M head 2" xfId="714"/>
    <cellStyle name="M head 3" xfId="715"/>
    <cellStyle name="M head_con 2012" xfId="716"/>
    <cellStyle name="Main Heading" xfId="717"/>
    <cellStyle name="MANKAD" xfId="718"/>
    <cellStyle name="MANKAD 2" xfId="719"/>
    <cellStyle name="MANKAD 3" xfId="720"/>
    <cellStyle name="MANKAD 4" xfId="721"/>
    <cellStyle name="MANKAD 5" xfId="722"/>
    <cellStyle name="MANKAD 6" xfId="723"/>
    <cellStyle name="MANKAD_3 - ZP  BHAIRAVANAGAR 45.00L." xfId="724"/>
    <cellStyle name="Minor Head" xfId="725"/>
    <cellStyle name="Neutral 10" xfId="726"/>
    <cellStyle name="Neutral 11" xfId="727"/>
    <cellStyle name="Neutral 12" xfId="728"/>
    <cellStyle name="Neutral 13" xfId="729"/>
    <cellStyle name="Neutral 14" xfId="730"/>
    <cellStyle name="Neutral 15" xfId="731"/>
    <cellStyle name="Neutral 16" xfId="732"/>
    <cellStyle name="Neutral 2" xfId="733"/>
    <cellStyle name="Neutral 2 2" xfId="734"/>
    <cellStyle name="Neutral 2 3" xfId="735"/>
    <cellStyle name="Neutral 3" xfId="736"/>
    <cellStyle name="Neutral 3 2" xfId="737"/>
    <cellStyle name="Neutral 4" xfId="738"/>
    <cellStyle name="Neutral 5" xfId="739"/>
    <cellStyle name="Neutral 6" xfId="740"/>
    <cellStyle name="Neutral 7" xfId="741"/>
    <cellStyle name="Neutral 8" xfId="742"/>
    <cellStyle name="Neutral 9" xfId="743"/>
    <cellStyle name="no dec" xfId="744"/>
    <cellStyle name="no dec 2" xfId="745"/>
    <cellStyle name="no dec 3" xfId="746"/>
    <cellStyle name="no dec 4" xfId="747"/>
    <cellStyle name="no dec 5" xfId="748"/>
    <cellStyle name="no dec 6" xfId="749"/>
    <cellStyle name="no dec_3 - ZP  BHAIRAVANAGAR 45.00L." xfId="750"/>
    <cellStyle name="Normal" xfId="0" builtinId="0"/>
    <cellStyle name="Normal - Style1" xfId="751"/>
    <cellStyle name="Normal - Style1 2" xfId="752"/>
    <cellStyle name="Normal - Style1 2 2" xfId="753"/>
    <cellStyle name="Normal - Style1 2 2 2" xfId="754"/>
    <cellStyle name="Normal - Style1 2 3" xfId="755"/>
    <cellStyle name="Normal - Style1 2 4" xfId="756"/>
    <cellStyle name="Normal - Style1 2_1) NREGS  Report Uppudi" xfId="757"/>
    <cellStyle name="Normal - Style1 3" xfId="758"/>
    <cellStyle name="Normal - Style1 4" xfId="759"/>
    <cellStyle name="Normal - Style1 5" xfId="760"/>
    <cellStyle name="Normal - Style1 6" xfId="761"/>
    <cellStyle name="Normal - Style1 7" xfId="762"/>
    <cellStyle name="Normal - Style1 8" xfId="763"/>
    <cellStyle name="Normal - Style1_1_Pattapupalem_road estt-NCRMP" xfId="764"/>
    <cellStyle name="Normal 10" xfId="765"/>
    <cellStyle name="Normal 10 2" xfId="766"/>
    <cellStyle name="Normal 10 2 2" xfId="767"/>
    <cellStyle name="Normal 10 3" xfId="768"/>
    <cellStyle name="Normal 10_Girls Hostel attached to Model School at Munipally WDE (Final) Modified (05.09.2014)" xfId="769"/>
    <cellStyle name="Normal 11" xfId="770"/>
    <cellStyle name="Normal 11 2" xfId="771"/>
    <cellStyle name="Normal 11_TIRUPATI  ELEC" xfId="772"/>
    <cellStyle name="Normal 12" xfId="773"/>
    <cellStyle name="Normal 12 2" xfId="774"/>
    <cellStyle name="Normal 12 2 2" xfId="775"/>
    <cellStyle name="Normal 12 3" xfId="776"/>
    <cellStyle name="Normal 13" xfId="777"/>
    <cellStyle name="Normal 13 2" xfId="778"/>
    <cellStyle name="Normal 13 2 2" xfId="779"/>
    <cellStyle name="Normal 13_Girls Hostel attached to Model School at Munipally WDE (Final) Modified (05.09.2014)" xfId="780"/>
    <cellStyle name="Normal 14" xfId="781"/>
    <cellStyle name="Normal 14 2" xfId="782"/>
    <cellStyle name="Normal 14 2 2" xfId="783"/>
    <cellStyle name="Normal 15" xfId="784"/>
    <cellStyle name="Normal 15 2" xfId="785"/>
    <cellStyle name="Normal 15 3" xfId="786"/>
    <cellStyle name="Normal 16" xfId="787"/>
    <cellStyle name="Normal 16 2" xfId="788"/>
    <cellStyle name="Normal 16 3" xfId="789"/>
    <cellStyle name="Normal 17" xfId="790"/>
    <cellStyle name="Normal 17 2" xfId="791"/>
    <cellStyle name="Normal 17 2 2" xfId="792"/>
    <cellStyle name="Normal 17 3" xfId="793"/>
    <cellStyle name="Normal 17 4" xfId="794"/>
    <cellStyle name="Normal 17_Abst for J.P.nagar" xfId="795"/>
    <cellStyle name="Normal 18" xfId="796"/>
    <cellStyle name="Normal 18 2" xfId="797"/>
    <cellStyle name="Normal 18 3" xfId="798"/>
    <cellStyle name="Normal 19" xfId="799"/>
    <cellStyle name="Normal 19 2" xfId="800"/>
    <cellStyle name="Normal 19 3" xfId="801"/>
    <cellStyle name="Normal 2" xfId="2"/>
    <cellStyle name="Normal 2 10" xfId="802"/>
    <cellStyle name="Normal 2 10 2" xfId="803"/>
    <cellStyle name="Normal 2 11" xfId="804"/>
    <cellStyle name="Normal 2 12" xfId="805"/>
    <cellStyle name="Normal 2 13" xfId="806"/>
    <cellStyle name="Normal 2 14" xfId="807"/>
    <cellStyle name="Normal 2 14 2" xfId="808"/>
    <cellStyle name="Normal 2 14 3" xfId="809"/>
    <cellStyle name="Normal 2 15" xfId="810"/>
    <cellStyle name="Normal 2 15 2" xfId="811"/>
    <cellStyle name="Normal 2 15 3" xfId="812"/>
    <cellStyle name="Normal 2 15 4" xfId="813"/>
    <cellStyle name="Normal 2 2" xfId="3"/>
    <cellStyle name="Normal 2 2 2" xfId="814"/>
    <cellStyle name="Normal 2 2 2 2" xfId="815"/>
    <cellStyle name="Normal 2 2 2 3" xfId="816"/>
    <cellStyle name="Normal 2 2 2 4" xfId="817"/>
    <cellStyle name="Normal 2 2 3" xfId="818"/>
    <cellStyle name="Normal 2 2 3 2" xfId="819"/>
    <cellStyle name="Normal 2 2 4" xfId="820"/>
    <cellStyle name="Normal 2 2 4 2" xfId="821"/>
    <cellStyle name="Normal 2 2 5" xfId="822"/>
    <cellStyle name="Normal 2 2_1" xfId="823"/>
    <cellStyle name="Normal 2 3" xfId="824"/>
    <cellStyle name="Normal 2 3 2" xfId="825"/>
    <cellStyle name="Normal 2 3 2 2" xfId="826"/>
    <cellStyle name="Normal 2 3 2 3" xfId="827"/>
    <cellStyle name="Normal 2 3 2 4" xfId="828"/>
    <cellStyle name="Normal 2 3 2_Copy of Uploaded Estimate ( Nellore)" xfId="829"/>
    <cellStyle name="Normal 2 3 3" xfId="830"/>
    <cellStyle name="Normal 2 3 3 2" xfId="831"/>
    <cellStyle name="Normal 2 3 3 2 2" xfId="832"/>
    <cellStyle name="Normal 2 3 4" xfId="833"/>
    <cellStyle name="Normal 2 3 4 2" xfId="834"/>
    <cellStyle name="Normal 2 3 4 2 2" xfId="835"/>
    <cellStyle name="Normal 2 3 4 2 2 2" xfId="836"/>
    <cellStyle name="Normal 2 3 5" xfId="837"/>
    <cellStyle name="Normal 2 3 6" xfId="838"/>
    <cellStyle name="Normal 2 3 7" xfId="839"/>
    <cellStyle name="Normal 2 3 8" xfId="840"/>
    <cellStyle name="Normal 2 3_BANGALORE 13-02-2012" xfId="841"/>
    <cellStyle name="Normal 2 4" xfId="842"/>
    <cellStyle name="Normal 2 4 2" xfId="843"/>
    <cellStyle name="Normal 2 4 2 2" xfId="844"/>
    <cellStyle name="Normal 2 4 3" xfId="845"/>
    <cellStyle name="Normal 2 4 4" xfId="846"/>
    <cellStyle name="Normal 2 5" xfId="847"/>
    <cellStyle name="Normal 2 5 2" xfId="848"/>
    <cellStyle name="Normal 2 6" xfId="849"/>
    <cellStyle name="Normal 2 7" xfId="850"/>
    <cellStyle name="Normal 2 8" xfId="851"/>
    <cellStyle name="Normal 2 9" xfId="852"/>
    <cellStyle name="Normal 2_ ZPHS (G) at Enkoor (V&amp;M) 22.08 L" xfId="853"/>
    <cellStyle name="Normal 20" xfId="854"/>
    <cellStyle name="Normal 20 2" xfId="855"/>
    <cellStyle name="Normal 21" xfId="856"/>
    <cellStyle name="Normal 21 2" xfId="857"/>
    <cellStyle name="Normal 21 3" xfId="858"/>
    <cellStyle name="Normal 21 4" xfId="859"/>
    <cellStyle name="Normal 21 4 2" xfId="860"/>
    <cellStyle name="Normal 21 4 2 2" xfId="861"/>
    <cellStyle name="Normal 21 4 3" xfId="862"/>
    <cellStyle name="Normal 21 5" xfId="863"/>
    <cellStyle name="Normal 21 6" xfId="864"/>
    <cellStyle name="Normal 21 6 2" xfId="865"/>
    <cellStyle name="Normal 22" xfId="866"/>
    <cellStyle name="Normal 23" xfId="867"/>
    <cellStyle name="Normal 23 2" xfId="868"/>
    <cellStyle name="Normal 24" xfId="869"/>
    <cellStyle name="Normal 25" xfId="870"/>
    <cellStyle name="Normal 25 2" xfId="871"/>
    <cellStyle name="Normal 25 2 2" xfId="872"/>
    <cellStyle name="Normal 25 2 2 2" xfId="873"/>
    <cellStyle name="Normal 25 2 3" xfId="874"/>
    <cellStyle name="Normal 25 3" xfId="875"/>
    <cellStyle name="Normal 25 3 2" xfId="876"/>
    <cellStyle name="Normal 26" xfId="877"/>
    <cellStyle name="Normal 26 2" xfId="878"/>
    <cellStyle name="Normal 26 2 2" xfId="879"/>
    <cellStyle name="Normal 26 2 2 2" xfId="880"/>
    <cellStyle name="Normal 26 2 3" xfId="881"/>
    <cellStyle name="Normal 26 3" xfId="882"/>
    <cellStyle name="Normal 26 3 2" xfId="883"/>
    <cellStyle name="Normal 27" xfId="884"/>
    <cellStyle name="Normal 27 2" xfId="885"/>
    <cellStyle name="Normal 27 2 2" xfId="886"/>
    <cellStyle name="Normal 27 2 2 2" xfId="887"/>
    <cellStyle name="Normal 27 2 3" xfId="888"/>
    <cellStyle name="Normal 27 3" xfId="889"/>
    <cellStyle name="Normal 27 3 2" xfId="890"/>
    <cellStyle name="Normal 28" xfId="891"/>
    <cellStyle name="Normal 28 2" xfId="892"/>
    <cellStyle name="Normal 28 2 2" xfId="893"/>
    <cellStyle name="Normal 28 2 2 2" xfId="894"/>
    <cellStyle name="Normal 28 2 3" xfId="895"/>
    <cellStyle name="Normal 28 3" xfId="896"/>
    <cellStyle name="Normal 28 3 2" xfId="897"/>
    <cellStyle name="Normal 29" xfId="898"/>
    <cellStyle name="Normal 29 2" xfId="899"/>
    <cellStyle name="Normal 29 2 2" xfId="900"/>
    <cellStyle name="Normal 29 2 2 2" xfId="901"/>
    <cellStyle name="Normal 29 2 3" xfId="902"/>
    <cellStyle name="Normal 29 3" xfId="903"/>
    <cellStyle name="Normal 29 3 2" xfId="904"/>
    <cellStyle name="Normal 29 4" xfId="905"/>
    <cellStyle name="Normal 29 5" xfId="906"/>
    <cellStyle name="Normal 29 6" xfId="907"/>
    <cellStyle name="Normal 3" xfId="10"/>
    <cellStyle name="Normal 3 10" xfId="908"/>
    <cellStyle name="Normal 3 10 2" xfId="909"/>
    <cellStyle name="Normal 3 10 3" xfId="910"/>
    <cellStyle name="Normal 3 11" xfId="911"/>
    <cellStyle name="Normal 3 12" xfId="912"/>
    <cellStyle name="Normal 3 13" xfId="913"/>
    <cellStyle name="Normal 3 14" xfId="914"/>
    <cellStyle name="Normal 3 15" xfId="915"/>
    <cellStyle name="Normal 3 16" xfId="916"/>
    <cellStyle name="Normal 3 2" xfId="917"/>
    <cellStyle name="Normal 3 2 2" xfId="918"/>
    <cellStyle name="Normal 3 2 2 2" xfId="919"/>
    <cellStyle name="Normal 3 2 2 2 2" xfId="920"/>
    <cellStyle name="Normal 3 2 2 3" xfId="921"/>
    <cellStyle name="Normal 3 2 3" xfId="922"/>
    <cellStyle name="Normal 3 2 3 2" xfId="923"/>
    <cellStyle name="Normal 3 2 4" xfId="924"/>
    <cellStyle name="Normal 3 2_(GF) Reading Room Over Existing Building at Govt Jr. College  05.11.2013" xfId="925"/>
    <cellStyle name="Normal 3 3" xfId="926"/>
    <cellStyle name="Normal 3 3 2" xfId="927"/>
    <cellStyle name="Normal 3 3 2 2" xfId="928"/>
    <cellStyle name="Normal 3 3 2_KGVB-Mulugu-Wgl" xfId="929"/>
    <cellStyle name="Normal 3 3_3 ACRs in GF - G+1 floor-2010-11" xfId="930"/>
    <cellStyle name="Normal 3 33" xfId="931"/>
    <cellStyle name="Normal 3 4" xfId="932"/>
    <cellStyle name="Normal 3 4 2" xfId="933"/>
    <cellStyle name="Normal 3 5" xfId="934"/>
    <cellStyle name="Normal 3 5 2" xfId="935"/>
    <cellStyle name="Normal 3 5 3" xfId="936"/>
    <cellStyle name="Normal 3 5 4" xfId="937"/>
    <cellStyle name="Normal 3 6" xfId="938"/>
    <cellStyle name="Normal 3 6 2" xfId="939"/>
    <cellStyle name="Normal 3 7" xfId="940"/>
    <cellStyle name="Normal 3 7 2" xfId="941"/>
    <cellStyle name="Normal 3 7 3" xfId="942"/>
    <cellStyle name="Normal 3 7_Girls Hostel attached to Model School at Munipally WDE (Final) Modified (05.09.2014)" xfId="943"/>
    <cellStyle name="Normal 3 8" xfId="944"/>
    <cellStyle name="Normal 3 8 2" xfId="945"/>
    <cellStyle name="Normal 3 9" xfId="946"/>
    <cellStyle name="Normal 3 9 2" xfId="947"/>
    <cellStyle name="Normal 3 9 3" xfId="948"/>
    <cellStyle name="Normal 3 9 4" xfId="949"/>
    <cellStyle name="Normal 3_1_Pattapupalem_road estt-NCRMP" xfId="950"/>
    <cellStyle name="Normal 30" xfId="951"/>
    <cellStyle name="Normal 30 2" xfId="952"/>
    <cellStyle name="Normal 30 2 2" xfId="953"/>
    <cellStyle name="Normal 30 2 2 2" xfId="954"/>
    <cellStyle name="Normal 30 2 3" xfId="955"/>
    <cellStyle name="Normal 30 3" xfId="956"/>
    <cellStyle name="Normal 30 3 2" xfId="957"/>
    <cellStyle name="Normal 31" xfId="958"/>
    <cellStyle name="Normal 31 2" xfId="959"/>
    <cellStyle name="Normal 31 2 2" xfId="960"/>
    <cellStyle name="Normal 31 2 2 2" xfId="961"/>
    <cellStyle name="Normal 31 2 3" xfId="962"/>
    <cellStyle name="Normal 31 3" xfId="963"/>
    <cellStyle name="Normal 31 3 2" xfId="964"/>
    <cellStyle name="Normal 32" xfId="965"/>
    <cellStyle name="Normal 32 2" xfId="966"/>
    <cellStyle name="Normal 32 2 2" xfId="967"/>
    <cellStyle name="Normal 32 2 2 2" xfId="968"/>
    <cellStyle name="Normal 32 2 3" xfId="969"/>
    <cellStyle name="Normal 32 3" xfId="970"/>
    <cellStyle name="Normal 32 3 2" xfId="971"/>
    <cellStyle name="Normal 33" xfId="972"/>
    <cellStyle name="Normal 33 2" xfId="973"/>
    <cellStyle name="Normal 33 2 2" xfId="974"/>
    <cellStyle name="Normal 33 2 2 2" xfId="975"/>
    <cellStyle name="Normal 33 2 3" xfId="976"/>
    <cellStyle name="Normal 33 3" xfId="977"/>
    <cellStyle name="Normal 33 3 2" xfId="978"/>
    <cellStyle name="Normal 34" xfId="979"/>
    <cellStyle name="Normal 34 2" xfId="980"/>
    <cellStyle name="Normal 34 3" xfId="981"/>
    <cellStyle name="Normal 35" xfId="982"/>
    <cellStyle name="Normal 36" xfId="983"/>
    <cellStyle name="Normal 37" xfId="984"/>
    <cellStyle name="Normal 38" xfId="985"/>
    <cellStyle name="Normal 39" xfId="986"/>
    <cellStyle name="Normal 4" xfId="987"/>
    <cellStyle name="Normal 4 10" xfId="988"/>
    <cellStyle name="Normal 4 11" xfId="989"/>
    <cellStyle name="Normal 4 2" xfId="990"/>
    <cellStyle name="Normal 4 2 2" xfId="991"/>
    <cellStyle name="Normal 4 2 2 2" xfId="992"/>
    <cellStyle name="Normal 4 2 3" xfId="993"/>
    <cellStyle name="Normal 4 2 4" xfId="994"/>
    <cellStyle name="Normal 4 3" xfId="995"/>
    <cellStyle name="Normal 4 3 2" xfId="996"/>
    <cellStyle name="Normal 4 4" xfId="997"/>
    <cellStyle name="Normal 4 4 2" xfId="998"/>
    <cellStyle name="Normal 4 5" xfId="999"/>
    <cellStyle name="Normal 4 6" xfId="1000"/>
    <cellStyle name="Normal 4 7" xfId="1001"/>
    <cellStyle name="Normal 4 8" xfId="1002"/>
    <cellStyle name="Normal 4 9" xfId="1003"/>
    <cellStyle name="Normal 4_1. Infilteration Well " xfId="1004"/>
    <cellStyle name="Normal 40" xfId="1005"/>
    <cellStyle name="Normal 41" xfId="1006"/>
    <cellStyle name="Normal 42" xfId="1007"/>
    <cellStyle name="Normal 42 2" xfId="1008"/>
    <cellStyle name="Normal 43" xfId="1009"/>
    <cellStyle name="Normal 44" xfId="1010"/>
    <cellStyle name="Normal 45" xfId="1011"/>
    <cellStyle name="Normal 46" xfId="1012"/>
    <cellStyle name="Normal 47" xfId="1013"/>
    <cellStyle name="Normal 48" xfId="1014"/>
    <cellStyle name="Normal 49" xfId="1015"/>
    <cellStyle name="Normal 5" xfId="4"/>
    <cellStyle name="Normal 5 2" xfId="1016"/>
    <cellStyle name="Normal 5 2 2" xfId="1017"/>
    <cellStyle name="Normal 5 3" xfId="1018"/>
    <cellStyle name="Normal 5 3 2" xfId="1019"/>
    <cellStyle name="Normal 5 3 3" xfId="1020"/>
    <cellStyle name="Normal 5 3 3 2" xfId="1021"/>
    <cellStyle name="Normal 5 3 4" xfId="1022"/>
    <cellStyle name="Normal 5 3_Girls Hostel at Ibrahimnagar SSR 2014-15 _Full(1)" xfId="1023"/>
    <cellStyle name="Normal 5 4" xfId="1024"/>
    <cellStyle name="Normal 5 4 2" xfId="1025"/>
    <cellStyle name="Normal 5 4 2 2" xfId="1026"/>
    <cellStyle name="Normal 5 4 3" xfId="1027"/>
    <cellStyle name="Normal 5 5" xfId="1028"/>
    <cellStyle name="Normal 5 5 2" xfId="1029"/>
    <cellStyle name="Normal 5 6" xfId="1030"/>
    <cellStyle name="Normal 5 7" xfId="1031"/>
    <cellStyle name="Normal 5_2_AP02X016 - KP Kunta" xfId="1032"/>
    <cellStyle name="Normal 50" xfId="1033"/>
    <cellStyle name="Normal 50 2" xfId="1034"/>
    <cellStyle name="Normal 51" xfId="1035"/>
    <cellStyle name="Normal 51 2" xfId="1036"/>
    <cellStyle name="Normal 6" xfId="1037"/>
    <cellStyle name="Normal 6 10" xfId="1038"/>
    <cellStyle name="Normal 6 11" xfId="1039"/>
    <cellStyle name="Normal 6 12" xfId="1040"/>
    <cellStyle name="Normal 6 2" xfId="1041"/>
    <cellStyle name="Normal 6 2 2" xfId="1042"/>
    <cellStyle name="Normal 6 2 2 2" xfId="1043"/>
    <cellStyle name="Normal 6 2 3" xfId="1044"/>
    <cellStyle name="Normal 6 2 3 2" xfId="1045"/>
    <cellStyle name="Normal 6 2 4" xfId="1046"/>
    <cellStyle name="Normal 6 3" xfId="1047"/>
    <cellStyle name="Normal 6 3 2" xfId="1048"/>
    <cellStyle name="Normal 6 3_Bhamanagar 5.2 - Copy" xfId="1049"/>
    <cellStyle name="Normal 6 4" xfId="1050"/>
    <cellStyle name="Normal 6 4 2" xfId="1051"/>
    <cellStyle name="Normal 6 5" xfId="1052"/>
    <cellStyle name="Normal 6 5 2" xfId="1053"/>
    <cellStyle name="Normal 6 6" xfId="1054"/>
    <cellStyle name="Normal 6 7" xfId="1055"/>
    <cellStyle name="Normal 6 8" xfId="1056"/>
    <cellStyle name="Normal 6 9" xfId="1057"/>
    <cellStyle name="Normal 6_Bhamanagar 5.2" xfId="1058"/>
    <cellStyle name="Normal 7" xfId="1059"/>
    <cellStyle name="Normal 7 10" xfId="1060"/>
    <cellStyle name="Normal 7 11" xfId="1061"/>
    <cellStyle name="Normal 7 12" xfId="1062"/>
    <cellStyle name="Normal 7 12 2" xfId="1063"/>
    <cellStyle name="Normal 7 2" xfId="1064"/>
    <cellStyle name="Normal 7 2 2" xfId="1065"/>
    <cellStyle name="Normal 7 2 3" xfId="1066"/>
    <cellStyle name="Normal 7 3" xfId="1067"/>
    <cellStyle name="Normal 7 3 2" xfId="1068"/>
    <cellStyle name="Normal 7 4" xfId="1069"/>
    <cellStyle name="Normal 7 5" xfId="1070"/>
    <cellStyle name="Normal 7 6" xfId="1071"/>
    <cellStyle name="Normal 7 7" xfId="1072"/>
    <cellStyle name="Normal 7 8" xfId="1073"/>
    <cellStyle name="Normal 7 9" xfId="1074"/>
    <cellStyle name="Normal 7_2_AP02X016 - KP Kunta" xfId="1075"/>
    <cellStyle name="Normal 8" xfId="1076"/>
    <cellStyle name="Normal 8 2" xfId="1077"/>
    <cellStyle name="Normal 8 2 2" xfId="1078"/>
    <cellStyle name="Normal 8 3" xfId="1079"/>
    <cellStyle name="Normal 8 4" xfId="1080"/>
    <cellStyle name="Normal 8_13th Fin Ponnugupadu 22.00 Lakhs" xfId="1081"/>
    <cellStyle name="Normal 9" xfId="1082"/>
    <cellStyle name="Normal 9 2" xfId="1083"/>
    <cellStyle name="Normal 9 2 2" xfId="1084"/>
    <cellStyle name="Normal 9 3" xfId="1085"/>
    <cellStyle name="Normal_A.V.Reddypalem(22.10.2008)" xfId="5"/>
    <cellStyle name="Normal_Data comparision (Old &amp; New)-12.5" xfId="1280"/>
    <cellStyle name="Normal_LEAD STATEMENT OF JAMMALAMADUGU" xfId="6"/>
    <cellStyle name="Normal_Mtc pr Sub Division09" xfId="7"/>
    <cellStyle name="Normal_Original DATA - 2005 - 2006 corrrect 1-9-2006" xfId="8"/>
    <cellStyle name="Note 10" xfId="1086"/>
    <cellStyle name="Note 11" xfId="1087"/>
    <cellStyle name="Note 12" xfId="1088"/>
    <cellStyle name="Note 13" xfId="1089"/>
    <cellStyle name="Note 14" xfId="1090"/>
    <cellStyle name="Note 15" xfId="1091"/>
    <cellStyle name="Note 16" xfId="1092"/>
    <cellStyle name="Note 2" xfId="1093"/>
    <cellStyle name="Note 2 2" xfId="1094"/>
    <cellStyle name="Note 2 3" xfId="1095"/>
    <cellStyle name="Note 3" xfId="1096"/>
    <cellStyle name="Note 3 2" xfId="1097"/>
    <cellStyle name="Note 4" xfId="1098"/>
    <cellStyle name="Note 5" xfId="1099"/>
    <cellStyle name="Note 6" xfId="1100"/>
    <cellStyle name="Note 7" xfId="1101"/>
    <cellStyle name="Note 8" xfId="1102"/>
    <cellStyle name="Note 9" xfId="1103"/>
    <cellStyle name="Output 10" xfId="1104"/>
    <cellStyle name="Output 11" xfId="1105"/>
    <cellStyle name="Output 12" xfId="1106"/>
    <cellStyle name="Output 13" xfId="1107"/>
    <cellStyle name="Output 14" xfId="1108"/>
    <cellStyle name="Output 15" xfId="1109"/>
    <cellStyle name="Output 16" xfId="1110"/>
    <cellStyle name="Output 2" xfId="1111"/>
    <cellStyle name="Output 2 2" xfId="1112"/>
    <cellStyle name="Output 2 3" xfId="1113"/>
    <cellStyle name="Output 3" xfId="1114"/>
    <cellStyle name="Output 3 2" xfId="1115"/>
    <cellStyle name="Output 4" xfId="1116"/>
    <cellStyle name="Output 5" xfId="1117"/>
    <cellStyle name="Output 6" xfId="1118"/>
    <cellStyle name="Output 7" xfId="1119"/>
    <cellStyle name="Output 8" xfId="1120"/>
    <cellStyle name="Output 9" xfId="1121"/>
    <cellStyle name="Percent" xfId="9" builtinId="5"/>
    <cellStyle name="Percent [2]" xfId="1122"/>
    <cellStyle name="Percent [2] 2" xfId="1123"/>
    <cellStyle name="Percent [2] 3" xfId="1124"/>
    <cellStyle name="Percent [2] 4" xfId="1125"/>
    <cellStyle name="Percent [2] 5" xfId="1126"/>
    <cellStyle name="Percent [2] 6" xfId="1127"/>
    <cellStyle name="Percent 15" xfId="1128"/>
    <cellStyle name="Percent 2" xfId="1129"/>
    <cellStyle name="Percent 2 10" xfId="1130"/>
    <cellStyle name="Percent 2 11" xfId="1131"/>
    <cellStyle name="Percent 2 12" xfId="1132"/>
    <cellStyle name="Percent 2 13" xfId="1133"/>
    <cellStyle name="Percent 2 14" xfId="1134"/>
    <cellStyle name="Percent 2 2" xfId="1135"/>
    <cellStyle name="Percent 2 2 2" xfId="1136"/>
    <cellStyle name="Percent 2 2 2 2" xfId="1137"/>
    <cellStyle name="Percent 2 2 2 3" xfId="1138"/>
    <cellStyle name="Percent 2 2 2 4" xfId="1139"/>
    <cellStyle name="Percent 2 2 3" xfId="1140"/>
    <cellStyle name="Percent 2 2 3 2" xfId="1141"/>
    <cellStyle name="Percent 2 2 3 3" xfId="1142"/>
    <cellStyle name="Percent 2 2 4" xfId="1143"/>
    <cellStyle name="Percent 2 2 4 2" xfId="1144"/>
    <cellStyle name="Percent 2 2 5" xfId="1145"/>
    <cellStyle name="Percent 2 2 6" xfId="1146"/>
    <cellStyle name="Percent 2 2 7" xfId="1147"/>
    <cellStyle name="Percent 2 2 8" xfId="1148"/>
    <cellStyle name="Percent 2 2 9" xfId="1149"/>
    <cellStyle name="Percent 2 3" xfId="1150"/>
    <cellStyle name="Percent 2 3 2" xfId="1151"/>
    <cellStyle name="Percent 2 4" xfId="1152"/>
    <cellStyle name="Percent 2 5" xfId="1153"/>
    <cellStyle name="Percent 2 6" xfId="1154"/>
    <cellStyle name="Percent 2 7" xfId="1155"/>
    <cellStyle name="Percent 2 8" xfId="1156"/>
    <cellStyle name="Percent 2 9" xfId="1157"/>
    <cellStyle name="Percent 3" xfId="1158"/>
    <cellStyle name="Percent 3 10" xfId="1159"/>
    <cellStyle name="Percent 3 11" xfId="1160"/>
    <cellStyle name="Percent 3 2" xfId="1161"/>
    <cellStyle name="Percent 3 2 2" xfId="1162"/>
    <cellStyle name="Percent 3 3" xfId="1163"/>
    <cellStyle name="Percent 3 4" xfId="1164"/>
    <cellStyle name="Percent 3 5" xfId="1165"/>
    <cellStyle name="Percent 3 6" xfId="1166"/>
    <cellStyle name="Percent 3 7" xfId="1167"/>
    <cellStyle name="Percent 3 8" xfId="1168"/>
    <cellStyle name="Percent 3 9" xfId="1169"/>
    <cellStyle name="Percent 4" xfId="1170"/>
    <cellStyle name="Percent 4 2" xfId="1171"/>
    <cellStyle name="Percent 5" xfId="1172"/>
    <cellStyle name="Percent 5 2" xfId="1173"/>
    <cellStyle name="Percent 6" xfId="1174"/>
    <cellStyle name="Percent 7" xfId="1175"/>
    <cellStyle name="Percent 8" xfId="1176"/>
    <cellStyle name="prabhakar" xfId="1177"/>
    <cellStyle name="RevList" xfId="1178"/>
    <cellStyle name="RevList 2" xfId="1179"/>
    <cellStyle name="Sheet Title" xfId="1180"/>
    <cellStyle name="style" xfId="1181"/>
    <cellStyle name="Style 1" xfId="1182"/>
    <cellStyle name="Style 1 2" xfId="1183"/>
    <cellStyle name="Style 1 2 2" xfId="1184"/>
    <cellStyle name="Style 1 3" xfId="1185"/>
    <cellStyle name="Style 1_ALGUNOOR,THIMMAPURTWO CLASS ROOMS 12-13(2+0)" xfId="1186"/>
    <cellStyle name="Style 2" xfId="1187"/>
    <cellStyle name="style 3" xfId="1188"/>
    <cellStyle name="style 4" xfId="1189"/>
    <cellStyle name="style 5" xfId="1190"/>
    <cellStyle name="style 6" xfId="1191"/>
    <cellStyle name="style_1_Pattapupalem_road estt-NCRMP" xfId="1192"/>
    <cellStyle name="style1" xfId="1193"/>
    <cellStyle name="style1 2" xfId="1194"/>
    <cellStyle name="style1 3" xfId="1195"/>
    <cellStyle name="style1 4" xfId="1196"/>
    <cellStyle name="style1 5" xfId="1197"/>
    <cellStyle name="style1 6" xfId="1198"/>
    <cellStyle name="style1_3 - ZP  BHAIRAVANAGAR 45.00L." xfId="1199"/>
    <cellStyle name="style2" xfId="1200"/>
    <cellStyle name="style2 2" xfId="1201"/>
    <cellStyle name="style2 3" xfId="1202"/>
    <cellStyle name="style2 4" xfId="1203"/>
    <cellStyle name="style2 5" xfId="1204"/>
    <cellStyle name="style2 6" xfId="1205"/>
    <cellStyle name="style2_3 - ZP  BHAIRAVANAGAR 45.00L." xfId="1206"/>
    <cellStyle name="Sub Head" xfId="1207"/>
    <cellStyle name="Subtotal" xfId="1208"/>
    <cellStyle name="text" xfId="1209"/>
    <cellStyle name="þ_x001d_ð &amp;ý&amp;†ýG_x0008_ X&#10;_x0007__x0001__x0001_" xfId="1210"/>
    <cellStyle name="þ_x001d_ð &amp;ý&amp;†ýG_x0008_ X&#10;_x0007__x0001__x0001_ 2" xfId="1211"/>
    <cellStyle name="þ_x001d_ð &amp;ý&amp;†ýG_x0008_ X&#10;_x0007__x0001__x0001_ 3" xfId="1212"/>
    <cellStyle name="þ_x001d_ð &amp;ý&amp;†ýG_x0008_ X&#10;_x0007__x0001__x0001_ 4" xfId="1213"/>
    <cellStyle name="þ_x001d_ð &amp;ý&amp;†ýG_x0008_ X&#10;_x0007__x0001__x0001_ 5" xfId="1214"/>
    <cellStyle name="þ_x001d_ð &amp;ý&amp;†ýG_x0008_ X&#10;_x0007__x0001__x0001_ 6" xfId="1215"/>
    <cellStyle name="þ_x001d_ð&quot;_x000c_Býò_x000c_5ýU_x0001_e_x0005_¹,_x0007__x0001__x0001_" xfId="1216"/>
    <cellStyle name="þ_x001d_ð&quot;_x000c_Býò_x000c_5ýU_x0001_e_x0005_¹,_x0007__x0001__x0001_ 2" xfId="1217"/>
    <cellStyle name="þ_x001d_ð&quot;_x000c_Býò_x000c_5ýU_x0001_e_x0005_¹,_x0007__x0001__x0001_ 3" xfId="1218"/>
    <cellStyle name="þ_x001d_ð&quot;_x000c_Býò_x000c_5ýU_x0001_e_x0005_¹,_x0007__x0001__x0001_ 4" xfId="1219"/>
    <cellStyle name="þ_x001d_ð&quot;_x000c_Býò_x000c_5ýU_x0001_e_x0005_¹,_x0007__x0001__x0001_ 5" xfId="1220"/>
    <cellStyle name="þ_x001d_ð&quot;_x000c_Býò_x000c_5ýU_x0001_e_x0005_¹,_x0007__x0001__x0001_ 6" xfId="1221"/>
    <cellStyle name="þ_x001d_ð&quot;_x000c_Býò_x000c_5ýU_x0001_e_x0005_¹,_x0007__x0001__x0001__Nakkabokkalapdu Grn Anganwadi     6-11-2016 for Bill," xfId="1222"/>
    <cellStyle name="Times New Roman" xfId="1223"/>
    <cellStyle name="Title 10" xfId="1224"/>
    <cellStyle name="Title 11" xfId="1225"/>
    <cellStyle name="Title 2" xfId="1226"/>
    <cellStyle name="Title 3" xfId="1227"/>
    <cellStyle name="Title 4" xfId="1228"/>
    <cellStyle name="Title 5" xfId="1229"/>
    <cellStyle name="Title 6" xfId="1230"/>
    <cellStyle name="Title 7" xfId="1231"/>
    <cellStyle name="Title 8" xfId="1232"/>
    <cellStyle name="Title 9" xfId="1233"/>
    <cellStyle name="Total 10" xfId="1234"/>
    <cellStyle name="Total 11" xfId="1235"/>
    <cellStyle name="Total 12" xfId="1236"/>
    <cellStyle name="Total 13" xfId="1237"/>
    <cellStyle name="Total 14" xfId="1238"/>
    <cellStyle name="Total 15" xfId="1239"/>
    <cellStyle name="Total 16" xfId="1240"/>
    <cellStyle name="Total 2" xfId="1241"/>
    <cellStyle name="Total 2 2" xfId="1242"/>
    <cellStyle name="Total 2 3" xfId="1243"/>
    <cellStyle name="Total 3" xfId="1244"/>
    <cellStyle name="Total 3 2" xfId="1245"/>
    <cellStyle name="Total 4" xfId="1246"/>
    <cellStyle name="Total 5" xfId="1247"/>
    <cellStyle name="Total 6" xfId="1248"/>
    <cellStyle name="Total 7" xfId="1249"/>
    <cellStyle name="Total 8" xfId="1250"/>
    <cellStyle name="Total 9" xfId="1251"/>
    <cellStyle name="v" xfId="1252"/>
    <cellStyle name="v_25-8-2010  ABS &amp; Det" xfId="1253"/>
    <cellStyle name="v_25-8-2010  ABS &amp; Det_Est.-DFSD&amp;GTC-Atp 01.09.14" xfId="1254"/>
    <cellStyle name="v_25-8-2010  ABS &amp; Det_revised  Estimation-1" xfId="1255"/>
    <cellStyle name="v_25-8-2010  ABS &amp; Det_TIRUPATI  ELEC" xfId="1256"/>
    <cellStyle name="v_Est.-DFSD&amp;GTC-Atp 01.09.14" xfId="1257"/>
    <cellStyle name="v_revised  Estimation-1" xfId="1258"/>
    <cellStyle name="v_TIRUPATI  ELEC" xfId="1259"/>
    <cellStyle name="Value" xfId="1260"/>
    <cellStyle name="Value 2" xfId="1261"/>
    <cellStyle name="Value 3" xfId="1262"/>
    <cellStyle name="Warning Text 10" xfId="1263"/>
    <cellStyle name="Warning Text 11" xfId="1264"/>
    <cellStyle name="Warning Text 12" xfId="1265"/>
    <cellStyle name="Warning Text 13" xfId="1266"/>
    <cellStyle name="Warning Text 14" xfId="1267"/>
    <cellStyle name="Warning Text 15" xfId="1268"/>
    <cellStyle name="Warning Text 16" xfId="1269"/>
    <cellStyle name="Warning Text 2" xfId="1270"/>
    <cellStyle name="Warning Text 2 2" xfId="1271"/>
    <cellStyle name="Warning Text 3" xfId="1272"/>
    <cellStyle name="Warning Text 4" xfId="1273"/>
    <cellStyle name="Warning Text 5" xfId="1274"/>
    <cellStyle name="Warning Text 6" xfId="1275"/>
    <cellStyle name="Warning Text 7" xfId="1276"/>
    <cellStyle name="Warning Text 8" xfId="1277"/>
    <cellStyle name="Warning Text 9" xfId="1278"/>
    <cellStyle name="సాధారణ_Copy of Model estimate-Basnapally--07-05-06-Final" xfId="127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4.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xdr:from>
      <xdr:col>2</xdr:col>
      <xdr:colOff>219075</xdr:colOff>
      <xdr:row>2</xdr:row>
      <xdr:rowOff>133350</xdr:rowOff>
    </xdr:from>
    <xdr:to>
      <xdr:col>9</xdr:col>
      <xdr:colOff>247650</xdr:colOff>
      <xdr:row>23</xdr:row>
      <xdr:rowOff>0</xdr:rowOff>
    </xdr:to>
    <xdr:sp macro="" textlink="">
      <xdr:nvSpPr>
        <xdr:cNvPr id="2" name="WordArt 1"/>
        <xdr:cNvSpPr>
          <a:spLocks noChangeArrowheads="1" noChangeShapeType="1" noTextEdit="1"/>
        </xdr:cNvSpPr>
      </xdr:nvSpPr>
      <xdr:spPr bwMode="auto">
        <a:xfrm>
          <a:off x="752475" y="466725"/>
          <a:ext cx="5038725" cy="4857750"/>
        </a:xfrm>
        <a:prstGeom prst="rect">
          <a:avLst/>
        </a:prstGeom>
      </xdr:spPr>
      <xdr:txBody>
        <a:bodyPr wrap="none" fromWordArt="1">
          <a:prstTxWarp prst="textArchUp">
            <a:avLst>
              <a:gd name="adj" fmla="val 11167051"/>
            </a:avLst>
          </a:prstTxWarp>
        </a:bodyPr>
        <a:lstStyle/>
        <a:p>
          <a:pPr algn="ctr" rtl="0"/>
          <a:r>
            <a:rPr lang="en-US" sz="4400" kern="10" spc="0">
              <a:ln w="9525">
                <a:solidFill>
                  <a:srgbClr val="000000"/>
                </a:solidFill>
                <a:round/>
                <a:headEnd/>
                <a:tailEnd/>
              </a:ln>
              <a:solidFill>
                <a:srgbClr val="000000"/>
              </a:solidFill>
              <a:effectLst/>
              <a:latin typeface="Batang"/>
            </a:rPr>
            <a:t>GOVERNMENT OF ANDHRA PRADESH</a:t>
          </a:r>
        </a:p>
      </xdr:txBody>
    </xdr:sp>
    <xdr:clientData/>
  </xdr:twoCellAnchor>
  <xdr:twoCellAnchor editAs="oneCell">
    <xdr:from>
      <xdr:col>4</xdr:col>
      <xdr:colOff>895350</xdr:colOff>
      <xdr:row>5</xdr:row>
      <xdr:rowOff>123825</xdr:rowOff>
    </xdr:from>
    <xdr:to>
      <xdr:col>6</xdr:col>
      <xdr:colOff>676275</xdr:colOff>
      <xdr:row>14</xdr:row>
      <xdr:rowOff>114300</xdr:rowOff>
    </xdr:to>
    <xdr:pic>
      <xdr:nvPicPr>
        <xdr:cNvPr id="3" name="Picture 2" descr="4_8252"/>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twoCellAnchor editAs="oneCell">
    <xdr:from>
      <xdr:col>4</xdr:col>
      <xdr:colOff>895350</xdr:colOff>
      <xdr:row>5</xdr:row>
      <xdr:rowOff>123825</xdr:rowOff>
    </xdr:from>
    <xdr:to>
      <xdr:col>6</xdr:col>
      <xdr:colOff>676275</xdr:colOff>
      <xdr:row>14</xdr:row>
      <xdr:rowOff>114300</xdr:rowOff>
    </xdr:to>
    <xdr:pic>
      <xdr:nvPicPr>
        <xdr:cNvPr id="4" name="Picture 14" descr="4_8252"/>
        <xdr:cNvPicPr>
          <a:picLocks noChangeAspect="1" noChangeArrowheads="1"/>
        </xdr:cNvPicPr>
      </xdr:nvPicPr>
      <xdr:blipFill>
        <a:blip xmlns:r="http://schemas.openxmlformats.org/officeDocument/2006/relationships" r:embed="rId1" cstate="print"/>
        <a:srcRect/>
        <a:stretch>
          <a:fillRect/>
        </a:stretch>
      </xdr:blipFill>
      <xdr:spPr bwMode="auto">
        <a:xfrm>
          <a:off x="2724150" y="942975"/>
          <a:ext cx="1295400" cy="14478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133350</xdr:colOff>
      <xdr:row>4</xdr:row>
      <xdr:rowOff>152400</xdr:rowOff>
    </xdr:from>
    <xdr:to>
      <xdr:col>10</xdr:col>
      <xdr:colOff>104775</xdr:colOff>
      <xdr:row>8</xdr:row>
      <xdr:rowOff>104775</xdr:rowOff>
    </xdr:to>
    <xdr:sp macro="" textlink="">
      <xdr:nvSpPr>
        <xdr:cNvPr id="2" name="PubHalfFrame" descr="Diagonal brick"/>
        <xdr:cNvSpPr>
          <a:spLocks noEditPoints="1" noChangeArrowheads="1"/>
        </xdr:cNvSpPr>
      </xdr:nvSpPr>
      <xdr:spPr bwMode="auto">
        <a:xfrm rot="5400000">
          <a:off x="5391150" y="923925"/>
          <a:ext cx="638175" cy="39052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18900000" algn="ctr" rotWithShape="0">
            <a:srgbClr val="000000">
              <a:alpha val="50000"/>
            </a:srgbClr>
          </a:outerShdw>
        </a:effectLst>
      </xdr:spPr>
      <xdr:txBody>
        <a:bodyPr/>
        <a:lstStyle/>
        <a:p>
          <a:endParaRPr lang="en-US"/>
        </a:p>
      </xdr:txBody>
    </xdr:sp>
    <xdr:clientData/>
  </xdr:twoCellAnchor>
  <xdr:twoCellAnchor>
    <xdr:from>
      <xdr:col>9</xdr:col>
      <xdr:colOff>152400</xdr:colOff>
      <xdr:row>53</xdr:row>
      <xdr:rowOff>9525</xdr:rowOff>
    </xdr:from>
    <xdr:to>
      <xdr:col>10</xdr:col>
      <xdr:colOff>104775</xdr:colOff>
      <xdr:row>56</xdr:row>
      <xdr:rowOff>0</xdr:rowOff>
    </xdr:to>
    <xdr:sp macro="" textlink="">
      <xdr:nvSpPr>
        <xdr:cNvPr id="3" name="PubHalfFrame" descr="Diagonal brick"/>
        <xdr:cNvSpPr>
          <a:spLocks noEditPoints="1" noChangeArrowheads="1"/>
        </xdr:cNvSpPr>
      </xdr:nvSpPr>
      <xdr:spPr bwMode="auto">
        <a:xfrm rot="10800000">
          <a:off x="5715000" y="9229725"/>
          <a:ext cx="457200" cy="323850"/>
        </a:xfrm>
        <a:custGeom>
          <a:avLst/>
          <a:gdLst>
            <a:gd name="T0" fmla="*/ 685928318 w 21600"/>
            <a:gd name="T1" fmla="*/ 0 h 21600"/>
            <a:gd name="T2" fmla="*/ 0 w 21600"/>
            <a:gd name="T3" fmla="*/ 675100439 h 21600"/>
            <a:gd name="T4" fmla="*/ 228642688 w 21600"/>
            <a:gd name="T5" fmla="*/ 1125167171 h 21600"/>
            <a:gd name="T6" fmla="*/ 1143213693 w 21600"/>
            <a:gd name="T7" fmla="*/ 225033475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2700000" algn="ctr" rotWithShape="0">
            <a:srgbClr val="808080"/>
          </a:outerShdw>
        </a:effectLst>
      </xdr:spPr>
      <xdr:txBody>
        <a:bodyPr/>
        <a:lstStyle/>
        <a:p>
          <a:endParaRPr lang="en-US"/>
        </a:p>
      </xdr:txBody>
    </xdr:sp>
    <xdr:clientData/>
  </xdr:twoCellAnchor>
  <xdr:twoCellAnchor>
    <xdr:from>
      <xdr:col>5</xdr:col>
      <xdr:colOff>561975</xdr:colOff>
      <xdr:row>23</xdr:row>
      <xdr:rowOff>38100</xdr:rowOff>
    </xdr:from>
    <xdr:to>
      <xdr:col>8</xdr:col>
      <xdr:colOff>171450</xdr:colOff>
      <xdr:row>25</xdr:row>
      <xdr:rowOff>142875</xdr:rowOff>
    </xdr:to>
    <xdr:sp macro="" textlink="">
      <xdr:nvSpPr>
        <xdr:cNvPr id="4" name="AutoShape 20"/>
        <xdr:cNvSpPr>
          <a:spLocks noChangeArrowheads="1"/>
        </xdr:cNvSpPr>
      </xdr:nvSpPr>
      <xdr:spPr bwMode="auto">
        <a:xfrm>
          <a:off x="1724025" y="4029075"/>
          <a:ext cx="1704975" cy="428625"/>
        </a:xfrm>
        <a:prstGeom prst="horizontalScroll">
          <a:avLst>
            <a:gd name="adj" fmla="val 25000"/>
          </a:avLst>
        </a:prstGeom>
        <a:solidFill>
          <a:srgbClr val="FFFFFF"/>
        </a:solidFill>
        <a:ln w="9525">
          <a:solidFill>
            <a:srgbClr val="000000"/>
          </a:solidFill>
          <a:round/>
          <a:headEnd/>
          <a:tailEnd/>
        </a:ln>
      </xdr:spPr>
      <xdr:txBody>
        <a:bodyPr vertOverflow="clip" wrap="square" lIns="36576" tIns="36576" rIns="0" bIns="0" anchor="t"/>
        <a:lstStyle/>
        <a:p>
          <a:pPr algn="l" rtl="1">
            <a:defRPr sz="1000"/>
          </a:pPr>
          <a:r>
            <a:rPr lang="en-US" sz="1200" b="1" i="0" strike="noStrike">
              <a:solidFill>
                <a:srgbClr val="000000"/>
              </a:solidFill>
              <a:latin typeface="Arial"/>
              <a:cs typeface="Arial"/>
            </a:rPr>
            <a:t>  Detailed Estimate </a:t>
          </a:r>
          <a:r>
            <a:rPr lang="en-US" sz="1200" b="1" i="0" strike="noStrike">
              <a:solidFill>
                <a:srgbClr val="000000"/>
              </a:solidFill>
              <a:latin typeface="Bradley Hand ITC"/>
            </a:rPr>
            <a:t>EstimateDetailed EstimateEstimate</a:t>
          </a:r>
        </a:p>
      </xdr:txBody>
    </xdr:sp>
    <xdr:clientData/>
  </xdr:twoCellAnchor>
  <xdr:twoCellAnchor>
    <xdr:from>
      <xdr:col>5</xdr:col>
      <xdr:colOff>104775</xdr:colOff>
      <xdr:row>25</xdr:row>
      <xdr:rowOff>95250</xdr:rowOff>
    </xdr:from>
    <xdr:to>
      <xdr:col>6</xdr:col>
      <xdr:colOff>1343025</xdr:colOff>
      <xdr:row>27</xdr:row>
      <xdr:rowOff>114300</xdr:rowOff>
    </xdr:to>
    <xdr:sp macro="" textlink="">
      <xdr:nvSpPr>
        <xdr:cNvPr id="5" name="AutoShape 21"/>
        <xdr:cNvSpPr>
          <a:spLocks noChangeArrowheads="1"/>
        </xdr:cNvSpPr>
      </xdr:nvSpPr>
      <xdr:spPr bwMode="auto">
        <a:xfrm>
          <a:off x="1266825" y="4133850"/>
          <a:ext cx="1790700" cy="457200"/>
        </a:xfrm>
        <a:prstGeom prst="horizontalScroll">
          <a:avLst>
            <a:gd name="adj" fmla="val 25000"/>
          </a:avLst>
        </a:prstGeom>
        <a:solidFill>
          <a:srgbClr val="FFFFFF"/>
        </a:solidFill>
        <a:ln w="9525">
          <a:solidFill>
            <a:srgbClr val="000000"/>
          </a:solidFill>
          <a:round/>
          <a:headEnd/>
          <a:tailEnd/>
        </a:ln>
      </xdr:spPr>
      <xdr:txBody>
        <a:bodyPr vertOverflow="clip" wrap="square" lIns="36576" tIns="36576" rIns="0" bIns="0" anchor="t"/>
        <a:lstStyle/>
        <a:p>
          <a:pPr algn="l" rtl="0">
            <a:defRPr sz="1000"/>
          </a:pPr>
          <a:r>
            <a:rPr lang="en-IN" sz="1200" b="1" i="0" u="none" strike="noStrike" baseline="0">
              <a:solidFill>
                <a:srgbClr val="000000"/>
              </a:solidFill>
              <a:latin typeface="Bradley Hand ITC"/>
            </a:rPr>
            <a:t>Name of the work</a:t>
          </a:r>
        </a:p>
      </xdr:txBody>
    </xdr:sp>
    <xdr:clientData/>
  </xdr:twoCellAnchor>
  <xdr:twoCellAnchor>
    <xdr:from>
      <xdr:col>3</xdr:col>
      <xdr:colOff>200025</xdr:colOff>
      <xdr:row>48</xdr:row>
      <xdr:rowOff>47625</xdr:rowOff>
    </xdr:from>
    <xdr:to>
      <xdr:col>9</xdr:col>
      <xdr:colOff>295275</xdr:colOff>
      <xdr:row>50</xdr:row>
      <xdr:rowOff>152400</xdr:rowOff>
    </xdr:to>
    <xdr:sp macro="" textlink="">
      <xdr:nvSpPr>
        <xdr:cNvPr id="6" name="AutoShape 22"/>
        <xdr:cNvSpPr>
          <a:spLocks noChangeArrowheads="1"/>
        </xdr:cNvSpPr>
      </xdr:nvSpPr>
      <xdr:spPr bwMode="auto">
        <a:xfrm>
          <a:off x="838200" y="8496300"/>
          <a:ext cx="5019675" cy="390525"/>
        </a:xfrm>
        <a:prstGeom prst="ribbon">
          <a:avLst>
            <a:gd name="adj1" fmla="val 33333"/>
            <a:gd name="adj2" fmla="val 73843"/>
          </a:avLst>
        </a:prstGeom>
        <a:solidFill>
          <a:srgbClr val="FFFFFF"/>
        </a:solidFill>
        <a:ln w="9525">
          <a:solidFill>
            <a:srgbClr val="000000"/>
          </a:solidFill>
          <a:round/>
          <a:headEnd/>
          <a:tailEnd/>
        </a:ln>
      </xdr:spPr>
      <xdr:txBody>
        <a:bodyPr vertOverflow="clip" wrap="square" lIns="36576" tIns="45720" rIns="36576" bIns="0" anchor="t" upright="1"/>
        <a:lstStyle/>
        <a:p>
          <a:pPr algn="ctr" rtl="1">
            <a:defRPr sz="1000"/>
          </a:pPr>
          <a:r>
            <a:rPr lang="en-US" sz="1200" b="1" i="1" strike="noStrike">
              <a:solidFill>
                <a:srgbClr val="000000"/>
              </a:solidFill>
              <a:latin typeface="Arial" pitchFamily="34" charset="0"/>
              <a:cs typeface="Arial" pitchFamily="34" charset="0"/>
            </a:rPr>
            <a:t>Panchayat Raj Engineering Department</a:t>
          </a:r>
        </a:p>
      </xdr:txBody>
    </xdr:sp>
    <xdr:clientData/>
  </xdr:twoCellAnchor>
  <xdr:twoCellAnchor>
    <xdr:from>
      <xdr:col>1</xdr:col>
      <xdr:colOff>104775</xdr:colOff>
      <xdr:row>53</xdr:row>
      <xdr:rowOff>57150</xdr:rowOff>
    </xdr:from>
    <xdr:to>
      <xdr:col>3</xdr:col>
      <xdr:colOff>219075</xdr:colOff>
      <xdr:row>56</xdr:row>
      <xdr:rowOff>114300</xdr:rowOff>
    </xdr:to>
    <xdr:sp macro="" textlink="">
      <xdr:nvSpPr>
        <xdr:cNvPr id="7" name="PubHalfFrame" descr="Diagonal brick"/>
        <xdr:cNvSpPr>
          <a:spLocks noEditPoints="1" noChangeArrowheads="1"/>
        </xdr:cNvSpPr>
      </xdr:nvSpPr>
      <xdr:spPr bwMode="auto">
        <a:xfrm rot="16200000">
          <a:off x="500062" y="9310688"/>
          <a:ext cx="390525" cy="32385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8100000" algn="ctr" rotWithShape="0">
            <a:srgbClr val="000000">
              <a:alpha val="50000"/>
            </a:srgbClr>
          </a:outerShdw>
        </a:effectLst>
      </xdr:spPr>
      <xdr:txBody>
        <a:bodyPr/>
        <a:lstStyle/>
        <a:p>
          <a:endParaRPr lang="en-US"/>
        </a:p>
      </xdr:txBody>
    </xdr:sp>
    <xdr:clientData/>
  </xdr:twoCellAnchor>
  <xdr:twoCellAnchor>
    <xdr:from>
      <xdr:col>1</xdr:col>
      <xdr:colOff>66675</xdr:colOff>
      <xdr:row>4</xdr:row>
      <xdr:rowOff>142875</xdr:rowOff>
    </xdr:from>
    <xdr:to>
      <xdr:col>3</xdr:col>
      <xdr:colOff>219075</xdr:colOff>
      <xdr:row>8</xdr:row>
      <xdr:rowOff>123825</xdr:rowOff>
    </xdr:to>
    <xdr:sp macro="" textlink="">
      <xdr:nvSpPr>
        <xdr:cNvPr id="8" name="PubHalfFrame" descr="Diagonal brick"/>
        <xdr:cNvSpPr>
          <a:spLocks noEditPoints="1" noChangeArrowheads="1"/>
        </xdr:cNvSpPr>
      </xdr:nvSpPr>
      <xdr:spPr bwMode="auto">
        <a:xfrm>
          <a:off x="523875" y="790575"/>
          <a:ext cx="333375" cy="42862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13500000" algn="ctr" rotWithShape="0">
            <a:srgbClr val="000000">
              <a:alpha val="50000"/>
            </a:srgbClr>
          </a:outerShdw>
        </a:effectLst>
      </xdr:spPr>
      <xdr:txBody>
        <a:bodyPr/>
        <a:lstStyle/>
        <a:p>
          <a:endParaRPr lang="en-US"/>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11</xdr:col>
      <xdr:colOff>171450</xdr:colOff>
      <xdr:row>21</xdr:row>
      <xdr:rowOff>9525</xdr:rowOff>
    </xdr:from>
    <xdr:to>
      <xdr:col>21</xdr:col>
      <xdr:colOff>66675</xdr:colOff>
      <xdr:row>23</xdr:row>
      <xdr:rowOff>114300</xdr:rowOff>
    </xdr:to>
    <xdr:sp macro="" textlink="">
      <xdr:nvSpPr>
        <xdr:cNvPr id="2" name="AutoShape 20"/>
        <xdr:cNvSpPr>
          <a:spLocks noChangeArrowheads="1"/>
        </xdr:cNvSpPr>
      </xdr:nvSpPr>
      <xdr:spPr bwMode="auto">
        <a:xfrm>
          <a:off x="2162175" y="3248025"/>
          <a:ext cx="1704975" cy="428625"/>
        </a:xfrm>
        <a:prstGeom prst="horizontalScroll">
          <a:avLst>
            <a:gd name="adj" fmla="val 25000"/>
          </a:avLst>
        </a:prstGeom>
        <a:solidFill>
          <a:srgbClr val="FFFFFF"/>
        </a:solidFill>
        <a:ln w="9525">
          <a:solidFill>
            <a:srgbClr val="000000"/>
          </a:solidFill>
          <a:round/>
          <a:headEnd/>
          <a:tailEnd/>
        </a:ln>
      </xdr:spPr>
      <xdr:txBody>
        <a:bodyPr vertOverflow="clip" wrap="square" lIns="36576" tIns="36576" rIns="0" bIns="0" anchor="t"/>
        <a:lstStyle/>
        <a:p>
          <a:pPr algn="l" rtl="1">
            <a:defRPr sz="1000"/>
          </a:pPr>
          <a:r>
            <a:rPr lang="en-US" sz="1200" b="1" i="0" strike="noStrike">
              <a:solidFill>
                <a:srgbClr val="000000"/>
              </a:solidFill>
              <a:latin typeface="Arial"/>
              <a:cs typeface="Arial"/>
            </a:rPr>
            <a:t>  Detailed Estimate </a:t>
          </a:r>
          <a:r>
            <a:rPr lang="en-US" sz="1200" b="1" i="0" strike="noStrike">
              <a:solidFill>
                <a:srgbClr val="000000"/>
              </a:solidFill>
              <a:latin typeface="Bradley Hand ITC"/>
            </a:rPr>
            <a:t>EstimateDetailed EstimateEstimate</a:t>
          </a:r>
        </a:p>
      </xdr:txBody>
    </xdr:sp>
    <xdr:clientData/>
  </xdr:twoCellAnchor>
  <xdr:twoCellAnchor>
    <xdr:from>
      <xdr:col>4</xdr:col>
      <xdr:colOff>0</xdr:colOff>
      <xdr:row>27</xdr:row>
      <xdr:rowOff>19050</xdr:rowOff>
    </xdr:from>
    <xdr:to>
      <xdr:col>13</xdr:col>
      <xdr:colOff>47625</xdr:colOff>
      <xdr:row>29</xdr:row>
      <xdr:rowOff>152400</xdr:rowOff>
    </xdr:to>
    <xdr:sp macro="" textlink="">
      <xdr:nvSpPr>
        <xdr:cNvPr id="3" name="AutoShape 21"/>
        <xdr:cNvSpPr>
          <a:spLocks noChangeArrowheads="1"/>
        </xdr:cNvSpPr>
      </xdr:nvSpPr>
      <xdr:spPr bwMode="auto">
        <a:xfrm>
          <a:off x="723900" y="4229100"/>
          <a:ext cx="1676400" cy="457200"/>
        </a:xfrm>
        <a:prstGeom prst="horizontalScroll">
          <a:avLst>
            <a:gd name="adj" fmla="val 25000"/>
          </a:avLst>
        </a:prstGeom>
        <a:solidFill>
          <a:srgbClr val="FFFFFF"/>
        </a:solidFill>
        <a:ln w="9525">
          <a:solidFill>
            <a:srgbClr val="000000"/>
          </a:solidFill>
          <a:round/>
          <a:headEnd/>
          <a:tailEnd/>
        </a:ln>
      </xdr:spPr>
      <xdr:txBody>
        <a:bodyPr vertOverflow="clip" wrap="square" lIns="36576" tIns="36576" rIns="0" bIns="0" anchor="t"/>
        <a:lstStyle/>
        <a:p>
          <a:pPr algn="l" rtl="0">
            <a:defRPr sz="1000"/>
          </a:pPr>
          <a:r>
            <a:rPr lang="en-IN" sz="1200" b="1" i="0" u="none" strike="noStrike" baseline="0">
              <a:solidFill>
                <a:srgbClr val="000000"/>
              </a:solidFill>
              <a:latin typeface="Bradley Hand ITC"/>
            </a:rPr>
            <a:t>Name of the work</a:t>
          </a:r>
        </a:p>
      </xdr:txBody>
    </xdr:sp>
    <xdr:clientData/>
  </xdr:twoCellAnchor>
  <xdr:twoCellAnchor>
    <xdr:from>
      <xdr:col>2</xdr:col>
      <xdr:colOff>152400</xdr:colOff>
      <xdr:row>47</xdr:row>
      <xdr:rowOff>9525</xdr:rowOff>
    </xdr:from>
    <xdr:to>
      <xdr:col>29</xdr:col>
      <xdr:colOff>9524</xdr:colOff>
      <xdr:row>50</xdr:row>
      <xdr:rowOff>19050</xdr:rowOff>
    </xdr:to>
    <xdr:sp macro="" textlink="">
      <xdr:nvSpPr>
        <xdr:cNvPr id="4" name="AutoShape 22"/>
        <xdr:cNvSpPr>
          <a:spLocks noChangeArrowheads="1"/>
        </xdr:cNvSpPr>
      </xdr:nvSpPr>
      <xdr:spPr bwMode="auto">
        <a:xfrm>
          <a:off x="514350" y="7981950"/>
          <a:ext cx="4743449" cy="495300"/>
        </a:xfrm>
        <a:prstGeom prst="ribbon">
          <a:avLst>
            <a:gd name="adj1" fmla="val 33333"/>
            <a:gd name="adj2" fmla="val 73843"/>
          </a:avLst>
        </a:prstGeom>
        <a:solidFill>
          <a:srgbClr val="FFFFFF"/>
        </a:solidFill>
        <a:ln w="9525">
          <a:solidFill>
            <a:srgbClr val="000000"/>
          </a:solidFill>
          <a:round/>
          <a:headEnd/>
          <a:tailEnd/>
        </a:ln>
      </xdr:spPr>
      <xdr:txBody>
        <a:bodyPr vertOverflow="clip" wrap="square" lIns="36576" tIns="45720" rIns="36576" bIns="0" anchor="t" upright="1"/>
        <a:lstStyle/>
        <a:p>
          <a:pPr algn="ctr" rtl="1">
            <a:defRPr sz="1000"/>
          </a:pPr>
          <a:r>
            <a:rPr lang="en-US" sz="1200" b="1" i="1" strike="noStrike">
              <a:solidFill>
                <a:srgbClr val="000000"/>
              </a:solidFill>
              <a:latin typeface="Arial" pitchFamily="34" charset="0"/>
              <a:cs typeface="Arial" pitchFamily="34" charset="0"/>
            </a:rPr>
            <a:t>Panchayat Raj Engineering Department</a:t>
          </a:r>
        </a:p>
      </xdr:txBody>
    </xdr:sp>
    <xdr:clientData/>
  </xdr:twoCellAnchor>
  <xdr:twoCellAnchor>
    <xdr:from>
      <xdr:col>27</xdr:col>
      <xdr:colOff>152399</xdr:colOff>
      <xdr:row>3</xdr:row>
      <xdr:rowOff>0</xdr:rowOff>
    </xdr:from>
    <xdr:to>
      <xdr:col>29</xdr:col>
      <xdr:colOff>180974</xdr:colOff>
      <xdr:row>7</xdr:row>
      <xdr:rowOff>28575</xdr:rowOff>
    </xdr:to>
    <xdr:sp macro="" textlink="">
      <xdr:nvSpPr>
        <xdr:cNvPr id="5" name="PubHalfFrame" descr="Diagonal brick"/>
        <xdr:cNvSpPr>
          <a:spLocks noEditPoints="1" noChangeArrowheads="1"/>
        </xdr:cNvSpPr>
      </xdr:nvSpPr>
      <xdr:spPr bwMode="auto">
        <a:xfrm rot="5400000">
          <a:off x="4895849" y="628650"/>
          <a:ext cx="676275" cy="390525"/>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18900000" algn="ctr" rotWithShape="0">
            <a:srgbClr val="000000">
              <a:alpha val="50000"/>
            </a:srgbClr>
          </a:outerShdw>
        </a:effectLst>
      </xdr:spPr>
      <xdr:txBody>
        <a:bodyPr/>
        <a:lstStyle/>
        <a:p>
          <a:endParaRPr lang="en-US"/>
        </a:p>
      </xdr:txBody>
    </xdr:sp>
    <xdr:clientData/>
  </xdr:twoCellAnchor>
  <xdr:twoCellAnchor>
    <xdr:from>
      <xdr:col>2</xdr:col>
      <xdr:colOff>9526</xdr:colOff>
      <xdr:row>3</xdr:row>
      <xdr:rowOff>0</xdr:rowOff>
    </xdr:from>
    <xdr:to>
      <xdr:col>4</xdr:col>
      <xdr:colOff>28576</xdr:colOff>
      <xdr:row>7</xdr:row>
      <xdr:rowOff>19050</xdr:rowOff>
    </xdr:to>
    <xdr:sp macro="" textlink="">
      <xdr:nvSpPr>
        <xdr:cNvPr id="7" name="PubHalfFrame" descr="Diagonal brick"/>
        <xdr:cNvSpPr>
          <a:spLocks noEditPoints="1" noChangeArrowheads="1"/>
        </xdr:cNvSpPr>
      </xdr:nvSpPr>
      <xdr:spPr bwMode="auto">
        <a:xfrm>
          <a:off x="371476" y="485775"/>
          <a:ext cx="381000" cy="66675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13500000" algn="ctr" rotWithShape="0">
            <a:srgbClr val="000000">
              <a:alpha val="50000"/>
            </a:srgbClr>
          </a:outerShdw>
        </a:effectLst>
      </xdr:spPr>
      <xdr:txBody>
        <a:bodyPr/>
        <a:lstStyle/>
        <a:p>
          <a:endParaRPr lang="en-US"/>
        </a:p>
      </xdr:txBody>
    </xdr:sp>
    <xdr:clientData/>
  </xdr:twoCellAnchor>
  <xdr:twoCellAnchor>
    <xdr:from>
      <xdr:col>2</xdr:col>
      <xdr:colOff>1</xdr:colOff>
      <xdr:row>49</xdr:row>
      <xdr:rowOff>133349</xdr:rowOff>
    </xdr:from>
    <xdr:to>
      <xdr:col>4</xdr:col>
      <xdr:colOff>1</xdr:colOff>
      <xdr:row>54</xdr:row>
      <xdr:rowOff>9525</xdr:rowOff>
    </xdr:to>
    <xdr:sp macro="" textlink="">
      <xdr:nvSpPr>
        <xdr:cNvPr id="8" name="PubHalfFrame" descr="Diagonal brick"/>
        <xdr:cNvSpPr>
          <a:spLocks noEditPoints="1" noChangeArrowheads="1"/>
        </xdr:cNvSpPr>
      </xdr:nvSpPr>
      <xdr:spPr bwMode="auto">
        <a:xfrm rot="16200000">
          <a:off x="200025" y="8591550"/>
          <a:ext cx="685801" cy="361950"/>
        </a:xfrm>
        <a:custGeom>
          <a:avLst/>
          <a:gdLst>
            <a:gd name="T0" fmla="*/ 2147483647 w 21600"/>
            <a:gd name="T1" fmla="*/ 0 h 21600"/>
            <a:gd name="T2" fmla="*/ 0 w 21600"/>
            <a:gd name="T3" fmla="*/ 2147483647 h 21600"/>
            <a:gd name="T4" fmla="*/ 2147483647 w 21600"/>
            <a:gd name="T5" fmla="*/ 2147483647 h 21600"/>
            <a:gd name="T6" fmla="*/ 2147483647 w 21600"/>
            <a:gd name="T7" fmla="*/ 2147483647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8100000" algn="ctr" rotWithShape="0">
            <a:srgbClr val="000000">
              <a:alpha val="50000"/>
            </a:srgbClr>
          </a:outerShdw>
        </a:effectLst>
      </xdr:spPr>
      <xdr:txBody>
        <a:bodyPr/>
        <a:lstStyle/>
        <a:p>
          <a:endParaRPr lang="en-US"/>
        </a:p>
      </xdr:txBody>
    </xdr:sp>
    <xdr:clientData/>
  </xdr:twoCellAnchor>
  <xdr:twoCellAnchor>
    <xdr:from>
      <xdr:col>27</xdr:col>
      <xdr:colOff>180974</xdr:colOff>
      <xdr:row>49</xdr:row>
      <xdr:rowOff>123825</xdr:rowOff>
    </xdr:from>
    <xdr:to>
      <xdr:col>30</xdr:col>
      <xdr:colOff>9524</xdr:colOff>
      <xdr:row>54</xdr:row>
      <xdr:rowOff>0</xdr:rowOff>
    </xdr:to>
    <xdr:sp macro="" textlink="">
      <xdr:nvSpPr>
        <xdr:cNvPr id="9" name="PubHalfFrame" descr="Diagonal brick"/>
        <xdr:cNvSpPr>
          <a:spLocks noEditPoints="1" noChangeArrowheads="1"/>
        </xdr:cNvSpPr>
      </xdr:nvSpPr>
      <xdr:spPr bwMode="auto">
        <a:xfrm rot="10800000">
          <a:off x="5067299" y="8420100"/>
          <a:ext cx="371475" cy="685800"/>
        </a:xfrm>
        <a:custGeom>
          <a:avLst/>
          <a:gdLst>
            <a:gd name="T0" fmla="*/ 685928318 w 21600"/>
            <a:gd name="T1" fmla="*/ 0 h 21600"/>
            <a:gd name="T2" fmla="*/ 0 w 21600"/>
            <a:gd name="T3" fmla="*/ 675100439 h 21600"/>
            <a:gd name="T4" fmla="*/ 228642688 w 21600"/>
            <a:gd name="T5" fmla="*/ 1125167171 h 21600"/>
            <a:gd name="T6" fmla="*/ 1143213693 w 21600"/>
            <a:gd name="T7" fmla="*/ 225033475 h 21600"/>
            <a:gd name="T8" fmla="*/ 17694720 60000 65536"/>
            <a:gd name="T9" fmla="*/ 11796480 60000 65536"/>
            <a:gd name="T10" fmla="*/ 5898240 60000 65536"/>
            <a:gd name="T11" fmla="*/ 0 60000 65536"/>
            <a:gd name="T12" fmla="*/ 0 w 21600"/>
            <a:gd name="T13" fmla="*/ 0 h 21600"/>
            <a:gd name="T14" fmla="*/ 14400 w 21600"/>
            <a:gd name="T15" fmla="*/ 7200 h 21600"/>
          </a:gdLst>
          <a:ahLst/>
          <a:cxnLst>
            <a:cxn ang="T8">
              <a:pos x="T0" y="T1"/>
            </a:cxn>
            <a:cxn ang="T9">
              <a:pos x="T2" y="T3"/>
            </a:cxn>
            <a:cxn ang="T10">
              <a:pos x="T4" y="T5"/>
            </a:cxn>
            <a:cxn ang="T11">
              <a:pos x="T6" y="T7"/>
            </a:cxn>
          </a:cxnLst>
          <a:rect l="T12" t="T13" r="T14" b="T15"/>
          <a:pathLst>
            <a:path w="21600" h="21600">
              <a:moveTo>
                <a:pt x="0" y="0"/>
              </a:moveTo>
              <a:lnTo>
                <a:pt x="0" y="21600"/>
              </a:lnTo>
              <a:lnTo>
                <a:pt x="7200" y="14400"/>
              </a:lnTo>
              <a:lnTo>
                <a:pt x="7200" y="7200"/>
              </a:lnTo>
              <a:lnTo>
                <a:pt x="14400" y="7200"/>
              </a:lnTo>
              <a:lnTo>
                <a:pt x="21600" y="0"/>
              </a:lnTo>
              <a:lnTo>
                <a:pt x="0" y="0"/>
              </a:lnTo>
              <a:close/>
            </a:path>
          </a:pathLst>
        </a:custGeom>
        <a:pattFill prst="diagBrick">
          <a:fgClr>
            <a:srgbClr val="000080"/>
          </a:fgClr>
          <a:bgClr>
            <a:srgbClr val="FFFFFF"/>
          </a:bgClr>
        </a:pattFill>
        <a:ln w="9525">
          <a:solidFill>
            <a:srgbClr val="000000"/>
          </a:solidFill>
          <a:miter lim="800000"/>
          <a:headEnd/>
          <a:tailEnd/>
        </a:ln>
        <a:effectLst>
          <a:outerShdw dist="107763" dir="2700000" algn="ctr" rotWithShape="0">
            <a:srgbClr val="808080"/>
          </a:outerShdw>
        </a:effectLst>
      </xdr:spPr>
      <xdr:txBody>
        <a:bodyPr/>
        <a:lstStyle/>
        <a:p>
          <a:endParaRPr 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20</xdr:col>
      <xdr:colOff>285750</xdr:colOff>
      <xdr:row>0</xdr:row>
      <xdr:rowOff>104775</xdr:rowOff>
    </xdr:from>
    <xdr:to>
      <xdr:col>21</xdr:col>
      <xdr:colOff>590550</xdr:colOff>
      <xdr:row>5</xdr:row>
      <xdr:rowOff>104775</xdr:rowOff>
    </xdr:to>
    <xdr:cxnSp macro="">
      <xdr:nvCxnSpPr>
        <xdr:cNvPr id="3" name="Straight Connector 2"/>
        <xdr:cNvCxnSpPr/>
      </xdr:nvCxnSpPr>
      <xdr:spPr>
        <a:xfrm>
          <a:off x="10029825" y="104775"/>
          <a:ext cx="914400" cy="9144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95250</xdr:colOff>
      <xdr:row>3</xdr:row>
      <xdr:rowOff>76200</xdr:rowOff>
    </xdr:from>
    <xdr:to>
      <xdr:col>9</xdr:col>
      <xdr:colOff>95250</xdr:colOff>
      <xdr:row>3</xdr:row>
      <xdr:rowOff>77788</xdr:rowOff>
    </xdr:to>
    <xdr:cxnSp macro="">
      <xdr:nvCxnSpPr>
        <xdr:cNvPr id="4" name="Straight Connector 3"/>
        <xdr:cNvCxnSpPr/>
      </xdr:nvCxnSpPr>
      <xdr:spPr>
        <a:xfrm>
          <a:off x="704850" y="666750"/>
          <a:ext cx="3543300" cy="1588"/>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94457</xdr:colOff>
      <xdr:row>3</xdr:row>
      <xdr:rowOff>102346</xdr:rowOff>
    </xdr:from>
    <xdr:to>
      <xdr:col>9</xdr:col>
      <xdr:colOff>95250</xdr:colOff>
      <xdr:row>7</xdr:row>
      <xdr:rowOff>143669</xdr:rowOff>
    </xdr:to>
    <xdr:cxnSp macro="">
      <xdr:nvCxnSpPr>
        <xdr:cNvPr id="7" name="Straight Connector 6"/>
        <xdr:cNvCxnSpPr/>
      </xdr:nvCxnSpPr>
      <xdr:spPr>
        <a:xfrm rot="5400000">
          <a:off x="3903242" y="1037011"/>
          <a:ext cx="689023" cy="7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85725</xdr:colOff>
      <xdr:row>3</xdr:row>
      <xdr:rowOff>85725</xdr:rowOff>
    </xdr:from>
    <xdr:to>
      <xdr:col>1</xdr:col>
      <xdr:colOff>86518</xdr:colOff>
      <xdr:row>7</xdr:row>
      <xdr:rowOff>127048</xdr:rowOff>
    </xdr:to>
    <xdr:cxnSp macro="">
      <xdr:nvCxnSpPr>
        <xdr:cNvPr id="11" name="Straight Connector 10"/>
        <xdr:cNvCxnSpPr/>
      </xdr:nvCxnSpPr>
      <xdr:spPr>
        <a:xfrm rot="5400000">
          <a:off x="351210" y="1020390"/>
          <a:ext cx="689023" cy="7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ontract-aruna\public_aruna\Public_Aruna\contracts(ak)\Hyderabad\Mes\MES-SEC.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ys_2\f_sys2\Mtc%20pr%20Sub%20Division0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desktop\estimates\ALL%20MANDAL%20ESTIAMTES\Podili\Sachivalayam\Madalavaripalem%20village%20sachivalayam%20%2035.00%20Lakh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welcome\AppData\Roaming\Microsoft\Excel\Grama%20Sachivalayam%20reinforcement%20detailing%2011-11-201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PART-I (2)"/>
      <sheetName val="ANALY-BOQ"/>
      <sheetName val="ANALYS-LS"/>
      <sheetName val="BOQ"/>
      <sheetName val="PART-I"/>
      <sheetName val="I-11"/>
      <sheetName val="I-15"/>
      <sheetName val="sumps"/>
      <sheetName val="GATES(21,22)"/>
      <sheetName val="final abstract"/>
      <sheetName val="Bed Class"/>
      <sheetName val="Cd"/>
      <sheetName val="Rates"/>
      <sheetName val="PH data"/>
      <sheetName val="labour"/>
      <sheetName val="Details (3)"/>
      <sheetName val="Basement Budget"/>
      <sheetName val="RECAPITULATION"/>
      <sheetName val="Rate analysis"/>
      <sheetName val="Break up Sheet"/>
      <sheetName val="TBAL9697 -group wise  sdpl"/>
      <sheetName val="B &amp; C - M - ccp"/>
      <sheetName val="Fee Rate Summary"/>
      <sheetName val="Old"/>
      <sheetName val="Materials Cost"/>
      <sheetName val="10. &amp; 11. Rate Code &amp; BQ"/>
      <sheetName val="Main-Material"/>
      <sheetName val="COLUMN"/>
      <sheetName val="RES STEEL TO"/>
      <sheetName val="SUmmary-RMZ"/>
      <sheetName val="RMZ Summary"/>
      <sheetName val="sept-plan"/>
      <sheetName val="Site Dev BOQ"/>
      <sheetName val="Costing"/>
      <sheetName val="Staff Forecast spread"/>
      <sheetName val="Fin Su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Check_Slip"/>
      <sheetName val="Misc"/>
      <sheetName val="Data_Base"/>
      <sheetName val="quarry"/>
      <sheetName val="Templates"/>
      <sheetName val="Cover_Sheet"/>
      <sheetName val="Sp_Report"/>
      <sheetName val="Estimate"/>
      <sheetName val="Lead"/>
      <sheetName val="Conveyance_Rates"/>
      <sheetName val="Conveyance_Table"/>
      <sheetName val="Est_amt_text"/>
      <sheetName val="Data"/>
      <sheetName val="Schedule-A"/>
      <sheetName val="Labour_Charges"/>
      <sheetName val="Labour_Charges(detl)"/>
      <sheetName val="Specification"/>
      <sheetName val="Core_SSR"/>
      <sheetName val="Comparative Statement"/>
    </sheetNames>
    <sheetDataSet>
      <sheetData sheetId="0" refreshError="1">
        <row r="9">
          <cell r="D9">
            <v>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COVER"/>
      <sheetName val="SPE"/>
      <sheetName val="abstract"/>
      <sheetName val="GF"/>
      <sheetName val="FF"/>
      <sheetName val="HEAD ROOM"/>
      <sheetName val="COMPOUND"/>
      <sheetName val="Septic Tank (2)"/>
      <sheetName val="Septic tank"/>
      <sheetName val="water supply"/>
      <sheetName val="Electrification"/>
      <sheetName val="SEIG"/>
      <sheetName val="LEAD 2019-20"/>
      <sheetName val="DATA 2019-20"/>
      <sheetName val="GENETIC"/>
      <sheetName val="CON 19-20"/>
    </sheetNames>
    <sheetDataSet>
      <sheetData sheetId="0"/>
      <sheetData sheetId="1"/>
      <sheetData sheetId="2">
        <row r="21">
          <cell r="N21">
            <v>3500000</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10KN"/>
      <sheetName val="Abstract"/>
      <sheetName val="15Kn"/>
      <sheetName val="Plinth Beam lintels GF FF"/>
      <sheetName val="GF beams"/>
      <sheetName val="GF Slab"/>
      <sheetName val="FF beams"/>
      <sheetName val="FF slab"/>
      <sheetName val="Store reinfor"/>
    </sheetNames>
    <sheetDataSet>
      <sheetData sheetId="0"/>
      <sheetData sheetId="1"/>
      <sheetData sheetId="2">
        <row r="30">
          <cell r="O30">
            <v>1.79</v>
          </cell>
        </row>
      </sheetData>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oleObject" Target="../embeddings/oleObject1.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4.bin"/><Relationship Id="rId4" Type="http://schemas.openxmlformats.org/officeDocument/2006/relationships/oleObject" Target="../embeddings/oleObject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hyperlink" Target="mailto:A@,A3,B3,C3,D2,D3,E3" TargetMode="Externa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sheetPr>
    <tabColor rgb="FFFF0000"/>
  </sheetPr>
  <dimension ref="A1:K42"/>
  <sheetViews>
    <sheetView defaultGridColor="0" topLeftCell="A25" colorId="22" zoomScale="85" zoomScaleNormal="85" workbookViewId="0">
      <selection activeCell="B32" sqref="B32"/>
    </sheetView>
  </sheetViews>
  <sheetFormatPr defaultRowHeight="12.75"/>
  <cols>
    <col min="1" max="1" width="3.28515625" style="821" customWidth="1"/>
    <col min="2" max="2" width="4.7109375" style="821" customWidth="1"/>
    <col min="3" max="3" width="9.5703125" style="821" customWidth="1"/>
    <col min="4" max="4" width="9.85546875" style="821" customWidth="1"/>
    <col min="5" max="5" width="17.7109375" style="821" customWidth="1"/>
    <col min="6" max="6" width="5" style="822" customWidth="1"/>
    <col min="7" max="7" width="15.140625" style="821" customWidth="1"/>
    <col min="8" max="8" width="13" style="821" customWidth="1"/>
    <col min="9" max="9" width="4.85546875" style="821" customWidth="1"/>
    <col min="10" max="10" width="12.42578125" style="821" customWidth="1"/>
    <col min="11" max="11" width="3.5703125" style="821" customWidth="1"/>
    <col min="12" max="12" width="5.42578125" style="821" customWidth="1"/>
    <col min="13" max="16384" width="9.140625" style="821"/>
  </cols>
  <sheetData>
    <row r="1" spans="1:11" s="820" customFormat="1" ht="13.5" customHeight="1">
      <c r="A1" s="1248" t="s">
        <v>1841</v>
      </c>
      <c r="B1" s="1243" t="s">
        <v>1842</v>
      </c>
      <c r="C1" s="1243"/>
      <c r="D1" s="1243"/>
      <c r="E1" s="1243"/>
      <c r="F1" s="1243"/>
      <c r="G1" s="1243"/>
      <c r="H1" s="1243"/>
      <c r="I1" s="1243"/>
      <c r="J1" s="1243"/>
      <c r="K1" s="1249" t="s">
        <v>1843</v>
      </c>
    </row>
    <row r="2" spans="1:11" ht="12.75" customHeight="1">
      <c r="A2" s="1248"/>
      <c r="K2" s="1249"/>
    </row>
    <row r="3" spans="1:11">
      <c r="A3" s="1248"/>
      <c r="K3" s="1249"/>
    </row>
    <row r="4" spans="1:11">
      <c r="A4" s="1248"/>
      <c r="K4" s="1249"/>
    </row>
    <row r="5" spans="1:11">
      <c r="A5" s="1248"/>
      <c r="K5" s="1249"/>
    </row>
    <row r="6" spans="1:11">
      <c r="A6" s="1248"/>
      <c r="K6" s="1249"/>
    </row>
    <row r="7" spans="1:11">
      <c r="A7" s="1248"/>
      <c r="K7" s="1249"/>
    </row>
    <row r="8" spans="1:11">
      <c r="A8" s="1248"/>
      <c r="K8" s="1249"/>
    </row>
    <row r="9" spans="1:11">
      <c r="A9" s="1248"/>
      <c r="K9" s="1249"/>
    </row>
    <row r="10" spans="1:11">
      <c r="A10" s="1248"/>
      <c r="K10" s="1249"/>
    </row>
    <row r="11" spans="1:11">
      <c r="A11" s="1248"/>
      <c r="K11" s="1249"/>
    </row>
    <row r="12" spans="1:11">
      <c r="A12" s="1248"/>
      <c r="E12" s="822"/>
      <c r="G12" s="822"/>
      <c r="K12" s="1249"/>
    </row>
    <row r="13" spans="1:11">
      <c r="A13" s="1248"/>
      <c r="K13" s="1249"/>
    </row>
    <row r="14" spans="1:11">
      <c r="A14" s="1248"/>
      <c r="K14" s="1249"/>
    </row>
    <row r="15" spans="1:11">
      <c r="A15" s="1248"/>
      <c r="K15" s="1249"/>
    </row>
    <row r="16" spans="1:11">
      <c r="A16" s="1248"/>
      <c r="K16" s="1249"/>
    </row>
    <row r="17" spans="1:11">
      <c r="A17" s="1248"/>
      <c r="K17" s="1249"/>
    </row>
    <row r="18" spans="1:11" ht="24" customHeight="1">
      <c r="A18" s="1248"/>
      <c r="B18" s="1250" t="s">
        <v>1844</v>
      </c>
      <c r="C18" s="1247"/>
      <c r="D18" s="1247"/>
      <c r="E18" s="1247"/>
      <c r="F18" s="1247"/>
      <c r="G18" s="1247"/>
      <c r="H18" s="1247"/>
      <c r="I18" s="1247"/>
      <c r="J18" s="1247"/>
      <c r="K18" s="1249"/>
    </row>
    <row r="19" spans="1:11" ht="24" customHeight="1">
      <c r="A19" s="1248"/>
      <c r="C19" s="823"/>
      <c r="D19" s="823"/>
      <c r="E19" s="823"/>
      <c r="F19" s="823"/>
      <c r="G19" s="823"/>
      <c r="H19" s="823"/>
      <c r="I19" s="823"/>
      <c r="K19" s="1249"/>
    </row>
    <row r="20" spans="1:11" ht="20.25">
      <c r="A20" s="1248"/>
      <c r="B20" s="1251" t="s">
        <v>1845</v>
      </c>
      <c r="C20" s="1252"/>
      <c r="D20" s="1252"/>
      <c r="E20" s="1252"/>
      <c r="F20" s="1252"/>
      <c r="G20" s="1252"/>
      <c r="H20" s="1252"/>
      <c r="I20" s="1252"/>
      <c r="J20" s="1252"/>
      <c r="K20" s="1249"/>
    </row>
    <row r="21" spans="1:11" ht="10.5" customHeight="1">
      <c r="A21" s="1248"/>
      <c r="C21" s="824"/>
      <c r="D21" s="824"/>
      <c r="E21" s="824"/>
      <c r="F21" s="825"/>
      <c r="G21" s="824"/>
      <c r="H21" s="824"/>
      <c r="I21" s="824"/>
      <c r="K21" s="1249"/>
    </row>
    <row r="22" spans="1:11" ht="11.25" customHeight="1">
      <c r="A22" s="1248"/>
      <c r="C22" s="824"/>
      <c r="D22" s="824"/>
      <c r="E22" s="824"/>
      <c r="F22" s="825"/>
      <c r="G22" s="824"/>
      <c r="H22" s="824"/>
      <c r="I22" s="824"/>
      <c r="K22" s="1249"/>
    </row>
    <row r="23" spans="1:11" ht="111.75" customHeight="1">
      <c r="A23" s="1248"/>
      <c r="C23" s="1253" t="s">
        <v>1846</v>
      </c>
      <c r="D23" s="1253"/>
      <c r="E23" s="1253"/>
      <c r="F23" s="826" t="s">
        <v>789</v>
      </c>
      <c r="G23" s="1255" t="str">
        <f>'lead 1'!C2</f>
        <v>Constrution of Bharat Nirman Seva Kendra (BNSK) Grama Panchayat building in Gayamvaripalli  GP of H.M.Padu Mandal</v>
      </c>
      <c r="H23" s="1256"/>
      <c r="I23" s="1256"/>
      <c r="J23" s="1256"/>
      <c r="K23" s="1249"/>
    </row>
    <row r="24" spans="1:11" ht="15" customHeight="1">
      <c r="A24" s="1248"/>
      <c r="C24" s="827"/>
      <c r="D24" s="827"/>
      <c r="E24" s="827"/>
      <c r="F24" s="826"/>
      <c r="G24" s="828"/>
      <c r="H24" s="828"/>
      <c r="I24" s="828"/>
      <c r="K24" s="1249"/>
    </row>
    <row r="25" spans="1:11" ht="33" customHeight="1">
      <c r="A25" s="1248"/>
      <c r="C25" s="1245" t="s">
        <v>1847</v>
      </c>
      <c r="D25" s="1245"/>
      <c r="E25" s="1245"/>
      <c r="F25" s="829" t="s">
        <v>789</v>
      </c>
      <c r="G25" s="1257" t="str">
        <f>'lead 1'!K4</f>
        <v>17.00 Lakhs</v>
      </c>
      <c r="H25" s="1258"/>
      <c r="I25" s="1258"/>
      <c r="K25" s="1249"/>
    </row>
    <row r="26" spans="1:11" ht="21.75" customHeight="1">
      <c r="A26" s="1248"/>
      <c r="C26" s="830"/>
      <c r="D26" s="830"/>
      <c r="E26" s="830"/>
      <c r="F26" s="829"/>
      <c r="G26" s="831"/>
      <c r="H26" s="828"/>
      <c r="I26" s="828"/>
      <c r="K26" s="1249"/>
    </row>
    <row r="27" spans="1:11" ht="17.25" customHeight="1">
      <c r="A27" s="1248"/>
      <c r="C27" s="1245" t="s">
        <v>1848</v>
      </c>
      <c r="D27" s="1245"/>
      <c r="E27" s="1245"/>
      <c r="F27" s="829" t="s">
        <v>789</v>
      </c>
      <c r="G27" s="1244" t="s">
        <v>1849</v>
      </c>
      <c r="H27" s="1244"/>
      <c r="I27" s="1244"/>
      <c r="J27" s="1244"/>
      <c r="K27" s="1249"/>
    </row>
    <row r="28" spans="1:11" ht="21.75" customHeight="1">
      <c r="A28" s="1248"/>
      <c r="C28" s="830"/>
      <c r="D28" s="830"/>
      <c r="E28" s="830"/>
      <c r="F28" s="829"/>
      <c r="G28" s="828"/>
      <c r="H28" s="828"/>
      <c r="I28" s="828"/>
      <c r="K28" s="1249"/>
    </row>
    <row r="29" spans="1:11" ht="18">
      <c r="A29" s="1248"/>
      <c r="C29" s="1245" t="s">
        <v>1850</v>
      </c>
      <c r="D29" s="1245"/>
      <c r="E29" s="1245"/>
      <c r="F29" s="829" t="s">
        <v>789</v>
      </c>
      <c r="G29" s="1246" t="s">
        <v>1857</v>
      </c>
      <c r="H29" s="1246"/>
      <c r="I29" s="1246"/>
      <c r="K29" s="1249"/>
    </row>
    <row r="30" spans="1:11" ht="20.25" customHeight="1">
      <c r="A30" s="1248"/>
      <c r="C30" s="830"/>
      <c r="D30" s="830"/>
      <c r="E30" s="830"/>
      <c r="F30" s="829"/>
      <c r="G30" s="832"/>
      <c r="H30" s="832"/>
      <c r="I30" s="832"/>
      <c r="K30" s="1249"/>
    </row>
    <row r="31" spans="1:11" ht="32.25" customHeight="1">
      <c r="A31" s="1248"/>
      <c r="C31" s="1245" t="s">
        <v>1851</v>
      </c>
      <c r="D31" s="1245"/>
      <c r="E31" s="1245"/>
      <c r="F31" s="829" t="s">
        <v>789</v>
      </c>
      <c r="G31" s="1246" t="s">
        <v>1858</v>
      </c>
      <c r="H31" s="1246"/>
      <c r="I31" s="1246"/>
      <c r="J31" s="1247"/>
      <c r="K31" s="1249"/>
    </row>
    <row r="32" spans="1:11" ht="23.25" customHeight="1">
      <c r="A32" s="1248"/>
      <c r="C32" s="830"/>
      <c r="D32" s="830"/>
      <c r="E32" s="830"/>
      <c r="F32" s="829"/>
      <c r="G32" s="832"/>
      <c r="H32" s="832"/>
      <c r="I32" s="832"/>
      <c r="K32" s="1249"/>
    </row>
    <row r="33" spans="1:11" ht="20.25">
      <c r="A33" s="1248"/>
      <c r="B33" s="833"/>
      <c r="C33" s="1245" t="s">
        <v>1852</v>
      </c>
      <c r="D33" s="1245"/>
      <c r="E33" s="1245"/>
      <c r="F33" s="829" t="s">
        <v>789</v>
      </c>
      <c r="G33" s="1246" t="s">
        <v>1176</v>
      </c>
      <c r="H33" s="1246"/>
      <c r="I33" s="1246"/>
      <c r="J33" s="833"/>
      <c r="K33" s="1249"/>
    </row>
    <row r="34" spans="1:11" ht="21.75" customHeight="1">
      <c r="A34" s="1248"/>
      <c r="B34" s="833"/>
      <c r="C34" s="830"/>
      <c r="D34" s="830"/>
      <c r="E34" s="830"/>
      <c r="F34" s="829"/>
      <c r="G34" s="832"/>
      <c r="H34" s="832"/>
      <c r="I34" s="832"/>
      <c r="J34" s="833"/>
      <c r="K34" s="1249"/>
    </row>
    <row r="35" spans="1:11" ht="20.25">
      <c r="A35" s="1248"/>
      <c r="B35" s="833"/>
      <c r="C35" s="1245" t="s">
        <v>1853</v>
      </c>
      <c r="D35" s="1245"/>
      <c r="E35" s="1245"/>
      <c r="F35" s="829" t="s">
        <v>789</v>
      </c>
      <c r="G35" s="1246" t="s">
        <v>1854</v>
      </c>
      <c r="H35" s="1246"/>
      <c r="I35" s="1246"/>
      <c r="J35" s="833"/>
      <c r="K35" s="1249"/>
    </row>
    <row r="36" spans="1:11" ht="24.75" customHeight="1">
      <c r="A36" s="1248"/>
      <c r="B36" s="833"/>
      <c r="C36" s="830"/>
      <c r="D36" s="830"/>
      <c r="E36" s="830"/>
      <c r="F36" s="829"/>
      <c r="G36" s="832"/>
      <c r="H36" s="832"/>
      <c r="I36" s="832"/>
      <c r="J36" s="833"/>
      <c r="K36" s="1249"/>
    </row>
    <row r="37" spans="1:11" ht="20.25">
      <c r="A37" s="1248"/>
      <c r="B37" s="833"/>
      <c r="C37" s="1245" t="s">
        <v>1855</v>
      </c>
      <c r="D37" s="1245"/>
      <c r="E37" s="1245"/>
      <c r="F37" s="829" t="s">
        <v>789</v>
      </c>
      <c r="G37" s="1246" t="s">
        <v>1856</v>
      </c>
      <c r="H37" s="1246"/>
      <c r="I37" s="1246"/>
      <c r="J37" s="833"/>
      <c r="K37" s="1249"/>
    </row>
    <row r="38" spans="1:11" ht="20.25">
      <c r="A38" s="1248"/>
      <c r="B38" s="833"/>
      <c r="C38" s="830"/>
      <c r="D38" s="830"/>
      <c r="E38" s="830"/>
      <c r="F38" s="829"/>
      <c r="G38" s="832"/>
      <c r="H38" s="832"/>
      <c r="I38" s="832"/>
      <c r="J38" s="833"/>
      <c r="K38" s="1249"/>
    </row>
    <row r="39" spans="1:11" ht="23.25">
      <c r="A39" s="1248"/>
      <c r="C39" s="1254"/>
      <c r="D39" s="1254"/>
      <c r="E39" s="1254"/>
      <c r="F39" s="1254"/>
      <c r="G39" s="1254"/>
      <c r="H39" s="1254"/>
      <c r="I39" s="1254"/>
      <c r="K39" s="1249"/>
    </row>
    <row r="40" spans="1:11">
      <c r="A40" s="1248"/>
      <c r="K40" s="1249"/>
    </row>
    <row r="41" spans="1:11" s="820" customFormat="1" ht="14.25">
      <c r="A41" s="1243" t="s">
        <v>1843</v>
      </c>
      <c r="B41" s="1243"/>
      <c r="C41" s="1243"/>
      <c r="D41" s="1243"/>
      <c r="E41" s="1243"/>
      <c r="F41" s="1243"/>
      <c r="G41" s="1243"/>
      <c r="H41" s="1243"/>
      <c r="I41" s="1243"/>
      <c r="J41" s="1243"/>
      <c r="K41" s="1243"/>
    </row>
    <row r="42" spans="1:11" s="820" customFormat="1">
      <c r="A42" s="834"/>
      <c r="B42" s="834"/>
      <c r="C42" s="834"/>
      <c r="D42" s="834"/>
      <c r="E42" s="834"/>
      <c r="F42" s="834"/>
      <c r="G42" s="834"/>
      <c r="H42" s="834"/>
      <c r="I42" s="834"/>
      <c r="J42" s="834"/>
      <c r="K42" s="834"/>
    </row>
  </sheetData>
  <mergeCells count="23">
    <mergeCell ref="C25:E25"/>
    <mergeCell ref="C35:E35"/>
    <mergeCell ref="G35:I35"/>
    <mergeCell ref="C37:E37"/>
    <mergeCell ref="G37:I37"/>
    <mergeCell ref="G25:I25"/>
    <mergeCell ref="C27:E27"/>
    <mergeCell ref="A41:K41"/>
    <mergeCell ref="G27:J27"/>
    <mergeCell ref="C29:E29"/>
    <mergeCell ref="G29:I29"/>
    <mergeCell ref="C31:E31"/>
    <mergeCell ref="G31:J31"/>
    <mergeCell ref="C33:E33"/>
    <mergeCell ref="G33:I33"/>
    <mergeCell ref="A1:A40"/>
    <mergeCell ref="B1:J1"/>
    <mergeCell ref="K1:K40"/>
    <mergeCell ref="B18:J18"/>
    <mergeCell ref="B20:J20"/>
    <mergeCell ref="C23:E23"/>
    <mergeCell ref="C39:I39"/>
    <mergeCell ref="G23:J23"/>
  </mergeCells>
  <pageMargins left="0.39" right="0.17" top="0.56999999999999995" bottom="0.28999999999999998" header="0.35" footer="0.17"/>
  <pageSetup paperSize="9" orientation="portrait" verticalDpi="300" r:id="rId1"/>
  <headerFooter alignWithMargins="0"/>
  <rowBreaks count="1" manualBreakCount="1">
    <brk id="41" max="16383" man="1"/>
  </rowBreaks>
  <drawing r:id="rId2"/>
</worksheet>
</file>

<file path=xl/worksheets/sheet2.xml><?xml version="1.0" encoding="utf-8"?>
<worksheet xmlns="http://schemas.openxmlformats.org/spreadsheetml/2006/main" xmlns:r="http://schemas.openxmlformats.org/officeDocument/2006/relationships">
  <dimension ref="A2:J28"/>
  <sheetViews>
    <sheetView topLeftCell="A10" workbookViewId="0">
      <selection activeCell="D20" sqref="D20:J20"/>
    </sheetView>
  </sheetViews>
  <sheetFormatPr defaultRowHeight="15"/>
  <cols>
    <col min="1" max="1" width="7.7109375" style="9" customWidth="1"/>
    <col min="2" max="2" width="10.28515625" style="9" customWidth="1"/>
    <col min="3" max="3" width="2" style="9" customWidth="1"/>
    <col min="4" max="5" width="9.140625" style="9"/>
    <col min="6" max="6" width="6.85546875" style="9" customWidth="1"/>
    <col min="7" max="7" width="11.5703125" style="9" customWidth="1"/>
    <col min="8" max="8" width="10.42578125" style="9" customWidth="1"/>
    <col min="9" max="9" width="10.7109375" style="9" customWidth="1"/>
    <col min="10" max="10" width="27.5703125" style="9" customWidth="1"/>
    <col min="11" max="16384" width="9.140625" style="9"/>
  </cols>
  <sheetData>
    <row r="2" spans="7:9" ht="19.5">
      <c r="G2" s="1259" t="s">
        <v>109</v>
      </c>
      <c r="H2" s="1259"/>
      <c r="I2" s="464" t="s">
        <v>1176</v>
      </c>
    </row>
    <row r="3" spans="7:9" ht="19.5">
      <c r="G3" s="1259" t="s">
        <v>110</v>
      </c>
      <c r="H3" s="1259"/>
      <c r="I3" s="464" t="s">
        <v>1176</v>
      </c>
    </row>
    <row r="4" spans="7:9" ht="19.5">
      <c r="G4" s="1259" t="s">
        <v>111</v>
      </c>
      <c r="H4" s="1259"/>
      <c r="I4" s="464" t="s">
        <v>1142</v>
      </c>
    </row>
    <row r="5" spans="7:9" ht="19.5">
      <c r="G5" s="464" t="s">
        <v>861</v>
      </c>
      <c r="H5" s="464"/>
      <c r="I5" s="464" t="s">
        <v>1141</v>
      </c>
    </row>
    <row r="11" spans="7:9" ht="15" customHeight="1"/>
    <row r="18" spans="1:10" ht="27">
      <c r="B18" s="360"/>
      <c r="C18" s="360"/>
      <c r="D18" s="360"/>
      <c r="E18" s="360" t="s">
        <v>93</v>
      </c>
      <c r="F18" s="360"/>
      <c r="G18" s="360"/>
      <c r="H18" s="360"/>
      <c r="I18" s="360"/>
      <c r="J18" s="360"/>
    </row>
    <row r="20" spans="1:10" ht="45" customHeight="1">
      <c r="A20" s="1260" t="s">
        <v>87</v>
      </c>
      <c r="B20" s="1260"/>
      <c r="C20" s="463" t="s">
        <v>789</v>
      </c>
      <c r="D20" s="1260" t="str">
        <f xml:space="preserve"> CONCATENATE("CONSTRUCTION OF NEW  SACHIVALAYAM IN  ",I5, "(V)-II   IN   ",I4," (M)")</f>
        <v>CONSTRUCTION OF NEW  SACHIVALAYAM IN  SALIPETA(V)-II   IN   GUDLUR (M)</v>
      </c>
      <c r="E20" s="1260"/>
      <c r="F20" s="1260"/>
      <c r="G20" s="1260"/>
      <c r="H20" s="1260"/>
      <c r="I20" s="1260"/>
      <c r="J20" s="1260"/>
    </row>
    <row r="21" spans="1:10" ht="16.5">
      <c r="D21" s="8"/>
      <c r="E21" s="8"/>
      <c r="F21" s="8"/>
      <c r="G21" s="8"/>
      <c r="H21" s="8"/>
      <c r="I21" s="8"/>
      <c r="J21" s="8"/>
    </row>
    <row r="22" spans="1:10" ht="19.5">
      <c r="G22" s="464" t="s">
        <v>272</v>
      </c>
      <c r="H22" s="465">
        <v>35</v>
      </c>
      <c r="I22" s="464" t="s">
        <v>273</v>
      </c>
    </row>
    <row r="24" spans="1:10" ht="19.5">
      <c r="A24" s="466" t="s">
        <v>366</v>
      </c>
      <c r="B24" s="464" t="s">
        <v>862</v>
      </c>
      <c r="C24" s="8"/>
    </row>
    <row r="25" spans="1:10" ht="16.5">
      <c r="B25" s="8"/>
      <c r="C25" s="8"/>
    </row>
    <row r="26" spans="1:10" ht="21.75" customHeight="1">
      <c r="A26" s="358"/>
      <c r="B26" s="357"/>
      <c r="C26" s="357"/>
      <c r="D26" s="357"/>
      <c r="E26" s="357"/>
      <c r="F26" s="357"/>
      <c r="G26" s="357"/>
      <c r="H26" s="357"/>
      <c r="I26" s="357"/>
      <c r="J26" s="357"/>
    </row>
    <row r="28" spans="1:10" ht="16.5">
      <c r="A28" s="8"/>
    </row>
  </sheetData>
  <mergeCells count="5">
    <mergeCell ref="G2:H2"/>
    <mergeCell ref="G3:H3"/>
    <mergeCell ref="G4:H4"/>
    <mergeCell ref="D20:J20"/>
    <mergeCell ref="A20:B20"/>
  </mergeCells>
  <phoneticPr fontId="4" type="noConversion"/>
  <pageMargins left="0.42" right="0.5" top="1" bottom="0.75" header="0.5" footer="0.5"/>
  <pageSetup paperSize="9" scale="89" orientation="portrait" horizontalDpi="4294967294" verticalDpi="300" r:id="rId1"/>
  <headerFooter alignWithMargins="0"/>
</worksheet>
</file>

<file path=xl/worksheets/sheet3.xml><?xml version="1.0" encoding="utf-8"?>
<worksheet xmlns="http://schemas.openxmlformats.org/spreadsheetml/2006/main" xmlns:r="http://schemas.openxmlformats.org/officeDocument/2006/relationships">
  <dimension ref="B6:Q57"/>
  <sheetViews>
    <sheetView topLeftCell="A34" workbookViewId="0">
      <selection activeCell="J30" sqref="J30"/>
    </sheetView>
  </sheetViews>
  <sheetFormatPr defaultRowHeight="12.75"/>
  <cols>
    <col min="1" max="1" width="6.85546875" style="571" customWidth="1"/>
    <col min="2" max="2" width="1.140625" style="571" customWidth="1"/>
    <col min="3" max="3" width="1.5703125" style="571" customWidth="1"/>
    <col min="4" max="4" width="3.7109375" style="571" customWidth="1"/>
    <col min="5" max="5" width="4.140625" style="571" customWidth="1"/>
    <col min="6" max="6" width="21" style="571" customWidth="1"/>
    <col min="7" max="7" width="5.7109375" style="571" customWidth="1"/>
    <col min="8" max="8" width="4.7109375" style="571" customWidth="1"/>
    <col min="9" max="9" width="31.85546875" style="571" customWidth="1"/>
    <col min="10" max="10" width="6.28515625" style="571" customWidth="1"/>
    <col min="11" max="11" width="1.7109375" style="571" customWidth="1"/>
    <col min="12" max="16384" width="9.140625" style="571"/>
  </cols>
  <sheetData>
    <row r="6" spans="3:11" ht="9.75" customHeight="1">
      <c r="C6" s="572"/>
      <c r="D6" s="572"/>
      <c r="E6" s="572"/>
      <c r="F6" s="572"/>
      <c r="G6" s="572"/>
      <c r="H6" s="572"/>
      <c r="I6" s="572"/>
      <c r="J6" s="572"/>
    </row>
    <row r="7" spans="3:11">
      <c r="C7" s="572"/>
      <c r="D7" s="573"/>
      <c r="E7" s="573"/>
      <c r="F7" s="573"/>
      <c r="G7" s="573"/>
      <c r="H7" s="573"/>
      <c r="I7" s="573"/>
      <c r="J7" s="573"/>
    </row>
    <row r="8" spans="3:11" ht="18.75">
      <c r="C8" s="572"/>
      <c r="D8" s="573"/>
      <c r="E8" s="573"/>
      <c r="F8" s="573"/>
      <c r="G8" s="584" t="s">
        <v>109</v>
      </c>
      <c r="H8" s="585" t="s">
        <v>1340</v>
      </c>
      <c r="I8" s="573"/>
      <c r="J8" s="573"/>
    </row>
    <row r="9" spans="3:11" ht="18.75">
      <c r="C9" s="572"/>
      <c r="D9" s="573"/>
      <c r="E9" s="573"/>
      <c r="F9" s="573"/>
      <c r="G9" s="574" t="s">
        <v>861</v>
      </c>
      <c r="H9" s="585" t="s">
        <v>1343</v>
      </c>
      <c r="I9" s="573"/>
      <c r="J9" s="573"/>
      <c r="K9" s="575"/>
    </row>
    <row r="10" spans="3:11" ht="18.75">
      <c r="C10" s="572"/>
      <c r="D10" s="573"/>
      <c r="E10" s="573"/>
      <c r="F10" s="573"/>
      <c r="G10" s="584" t="s">
        <v>1339</v>
      </c>
      <c r="H10" s="585" t="s">
        <v>1340</v>
      </c>
      <c r="I10" s="583"/>
      <c r="J10" s="573"/>
      <c r="K10" s="575"/>
    </row>
    <row r="11" spans="3:11" ht="15.75">
      <c r="C11" s="572"/>
      <c r="D11" s="573"/>
      <c r="E11" s="573"/>
      <c r="F11" s="573"/>
      <c r="G11" s="574" t="str">
        <f>IF([2]Check_Slip!$D$9&gt;2,"Subdivision :Repalle","")</f>
        <v/>
      </c>
      <c r="H11" s="573"/>
      <c r="I11" s="573"/>
      <c r="J11" s="573"/>
      <c r="K11" s="575"/>
    </row>
    <row r="12" spans="3:11" ht="15.75">
      <c r="C12" s="572"/>
      <c r="D12" s="573"/>
      <c r="E12" s="573"/>
      <c r="F12" s="573"/>
      <c r="G12" s="574" t="str">
        <f>IF([2]Check_Slip!$D$9&gt;10,"Division :Tenali","")</f>
        <v/>
      </c>
      <c r="H12" s="573"/>
      <c r="I12" s="573"/>
      <c r="J12" s="573"/>
      <c r="K12" s="575"/>
    </row>
    <row r="13" spans="3:11">
      <c r="C13" s="572"/>
      <c r="D13" s="573"/>
      <c r="E13" s="573"/>
      <c r="F13" s="573"/>
      <c r="G13" s="573"/>
      <c r="H13" s="573"/>
      <c r="I13" s="573"/>
      <c r="J13" s="573"/>
      <c r="K13" s="575"/>
    </row>
    <row r="14" spans="3:11">
      <c r="C14" s="572"/>
      <c r="D14" s="573"/>
      <c r="E14" s="573"/>
      <c r="F14" s="573"/>
      <c r="G14" s="573"/>
      <c r="H14" s="573"/>
      <c r="I14" s="573"/>
      <c r="J14" s="573"/>
      <c r="K14" s="575"/>
    </row>
    <row r="15" spans="3:11">
      <c r="C15" s="572"/>
      <c r="D15" s="573"/>
      <c r="E15" s="573"/>
      <c r="F15" s="573"/>
      <c r="G15" s="573"/>
      <c r="H15" s="573"/>
      <c r="I15" s="573"/>
      <c r="J15" s="573"/>
      <c r="K15" s="575"/>
    </row>
    <row r="16" spans="3:11">
      <c r="C16" s="572"/>
      <c r="D16" s="573"/>
      <c r="E16" s="573"/>
      <c r="F16" s="573"/>
      <c r="G16" s="573"/>
      <c r="H16" s="573"/>
      <c r="I16" s="573"/>
      <c r="J16" s="573"/>
      <c r="K16" s="575"/>
    </row>
    <row r="17" spans="3:17">
      <c r="C17" s="572"/>
      <c r="D17" s="573"/>
      <c r="E17" s="573"/>
      <c r="F17" s="573"/>
      <c r="G17" s="573"/>
      <c r="H17" s="573"/>
      <c r="I17" s="573"/>
      <c r="J17" s="573"/>
      <c r="K17" s="575"/>
    </row>
    <row r="18" spans="3:17">
      <c r="C18" s="572"/>
      <c r="D18" s="573"/>
      <c r="E18" s="573"/>
      <c r="F18" s="573"/>
      <c r="G18" s="573"/>
      <c r="H18" s="573"/>
      <c r="I18" s="573"/>
      <c r="J18" s="573"/>
      <c r="K18" s="575"/>
    </row>
    <row r="19" spans="3:17">
      <c r="C19" s="572"/>
      <c r="D19" s="573"/>
      <c r="E19" s="573"/>
      <c r="F19" s="573"/>
      <c r="G19" s="573"/>
      <c r="H19" s="573"/>
      <c r="I19" s="573"/>
      <c r="J19" s="573"/>
      <c r="K19" s="575"/>
    </row>
    <row r="20" spans="3:17">
      <c r="C20" s="572"/>
      <c r="D20" s="573"/>
      <c r="E20" s="573"/>
      <c r="F20" s="573"/>
      <c r="G20" s="573"/>
      <c r="H20" s="573"/>
      <c r="I20" s="573"/>
      <c r="J20" s="573"/>
      <c r="K20" s="575"/>
    </row>
    <row r="21" spans="3:17">
      <c r="C21" s="572"/>
      <c r="D21" s="573"/>
      <c r="E21" s="573"/>
      <c r="F21" s="573"/>
      <c r="G21" s="573"/>
      <c r="H21" s="573"/>
      <c r="I21" s="573"/>
      <c r="J21" s="573"/>
      <c r="K21" s="575"/>
    </row>
    <row r="22" spans="3:17">
      <c r="C22" s="572"/>
      <c r="D22" s="573"/>
      <c r="E22" s="573"/>
      <c r="F22" s="573"/>
      <c r="G22" s="573"/>
      <c r="H22" s="573"/>
      <c r="I22" s="573"/>
      <c r="J22" s="573"/>
      <c r="K22" s="575"/>
    </row>
    <row r="23" spans="3:17">
      <c r="C23" s="572"/>
      <c r="D23" s="573"/>
      <c r="E23" s="573"/>
      <c r="F23" s="573"/>
      <c r="G23" s="573"/>
      <c r="H23" s="573"/>
      <c r="I23" s="573"/>
      <c r="J23" s="573"/>
      <c r="K23" s="575"/>
    </row>
    <row r="24" spans="3:17">
      <c r="C24" s="572"/>
      <c r="D24" s="573"/>
      <c r="E24" s="573"/>
      <c r="F24" s="573"/>
      <c r="G24" s="573"/>
      <c r="H24" s="573"/>
      <c r="I24" s="573"/>
      <c r="J24" s="573"/>
      <c r="K24" s="575"/>
    </row>
    <row r="25" spans="3:17">
      <c r="C25" s="572"/>
      <c r="D25" s="573"/>
      <c r="E25" s="573"/>
      <c r="F25" s="573"/>
      <c r="G25" s="573"/>
      <c r="H25" s="573"/>
      <c r="I25" s="573"/>
      <c r="J25" s="573"/>
      <c r="K25" s="575"/>
    </row>
    <row r="26" spans="3:17" ht="17.25">
      <c r="C26" s="572"/>
      <c r="D26" s="573"/>
      <c r="E26" s="573"/>
      <c r="F26" s="576"/>
      <c r="G26" s="573"/>
      <c r="H26" s="573"/>
      <c r="I26" s="573"/>
      <c r="J26" s="573"/>
      <c r="K26" s="575"/>
    </row>
    <row r="27" spans="3:17" ht="17.25">
      <c r="C27" s="572"/>
      <c r="D27" s="573"/>
      <c r="E27" s="573"/>
      <c r="F27" s="576"/>
      <c r="G27" s="573"/>
      <c r="H27" s="573"/>
      <c r="I27" s="573"/>
      <c r="J27" s="573"/>
      <c r="K27" s="575"/>
    </row>
    <row r="28" spans="3:17" ht="13.5" thickBot="1">
      <c r="C28" s="572"/>
      <c r="D28" s="573"/>
      <c r="E28" s="573"/>
      <c r="F28" s="573"/>
      <c r="G28" s="573"/>
      <c r="H28" s="573"/>
      <c r="I28" s="573"/>
      <c r="J28" s="573"/>
      <c r="K28" s="575"/>
    </row>
    <row r="29" spans="3:17" ht="26.25" customHeight="1" thickTop="1">
      <c r="C29" s="572"/>
      <c r="D29" s="573"/>
      <c r="E29" s="573"/>
      <c r="F29" s="1262" t="s">
        <v>1341</v>
      </c>
      <c r="G29" s="1262"/>
      <c r="H29" s="1262"/>
      <c r="I29" s="1262"/>
      <c r="J29" s="573"/>
      <c r="K29" s="575"/>
      <c r="N29" s="1262" t="s">
        <v>1336</v>
      </c>
      <c r="O29" s="1263"/>
      <c r="P29" s="1263"/>
      <c r="Q29" s="1263"/>
    </row>
    <row r="30" spans="3:17" s="589" customFormat="1" ht="26.25" customHeight="1">
      <c r="C30" s="590"/>
      <c r="D30" s="591"/>
      <c r="E30" s="591"/>
      <c r="F30" s="588" t="str">
        <f>H9</f>
        <v>Salipeta</v>
      </c>
      <c r="G30" s="587" t="s">
        <v>1342</v>
      </c>
      <c r="H30" s="587" t="s">
        <v>1344</v>
      </c>
      <c r="I30" s="587" t="str">
        <f>H10</f>
        <v>Kandukur</v>
      </c>
      <c r="J30" s="587" t="s">
        <v>1345</v>
      </c>
      <c r="K30" s="592"/>
      <c r="N30" s="1264"/>
      <c r="O30" s="1264"/>
      <c r="P30" s="1264"/>
      <c r="Q30" s="1264"/>
    </row>
    <row r="31" spans="3:17" ht="14.25" customHeight="1" thickBot="1">
      <c r="C31" s="572"/>
      <c r="D31" s="573"/>
      <c r="E31" s="573"/>
      <c r="F31" s="586"/>
      <c r="G31" s="586"/>
      <c r="H31" s="586"/>
      <c r="I31" s="586"/>
      <c r="J31" s="573"/>
      <c r="K31" s="575"/>
      <c r="N31" s="1265"/>
      <c r="O31" s="1265"/>
      <c r="P31" s="1265"/>
      <c r="Q31" s="1265"/>
    </row>
    <row r="32" spans="3:17" ht="13.5" thickTop="1">
      <c r="C32" s="572"/>
      <c r="D32" s="573"/>
      <c r="E32" s="573"/>
      <c r="F32" s="573"/>
      <c r="G32" s="573"/>
      <c r="H32" s="573"/>
      <c r="I32" s="573"/>
      <c r="J32" s="573"/>
      <c r="K32" s="575"/>
    </row>
    <row r="33" spans="3:11">
      <c r="C33" s="572"/>
      <c r="D33" s="573"/>
      <c r="E33" s="573"/>
      <c r="F33" s="573"/>
      <c r="G33" s="573"/>
      <c r="H33" s="573"/>
      <c r="I33" s="573"/>
      <c r="J33" s="573"/>
      <c r="K33" s="575"/>
    </row>
    <row r="34" spans="3:11" ht="19.5">
      <c r="C34" s="572"/>
      <c r="D34" s="573"/>
      <c r="E34" s="573"/>
      <c r="F34" s="573"/>
      <c r="G34" s="577" t="s">
        <v>1337</v>
      </c>
      <c r="H34" s="578">
        <v>35</v>
      </c>
      <c r="I34" s="579" t="s">
        <v>273</v>
      </c>
      <c r="K34" s="575"/>
    </row>
    <row r="35" spans="3:11">
      <c r="C35" s="572"/>
      <c r="D35" s="573"/>
      <c r="E35" s="573"/>
      <c r="F35" s="573"/>
      <c r="G35" s="573"/>
      <c r="H35" s="573"/>
      <c r="I35" s="573"/>
      <c r="J35" s="573"/>
      <c r="K35" s="575"/>
    </row>
    <row r="36" spans="3:11" ht="19.5">
      <c r="C36" s="572"/>
      <c r="D36" s="573"/>
      <c r="E36" s="573"/>
      <c r="F36" s="573"/>
      <c r="G36" s="577" t="s">
        <v>366</v>
      </c>
      <c r="H36" s="1261" t="s">
        <v>1338</v>
      </c>
      <c r="I36" s="1261"/>
      <c r="J36" s="1261"/>
      <c r="K36" s="575"/>
    </row>
    <row r="37" spans="3:11">
      <c r="C37" s="572"/>
      <c r="D37" s="573"/>
      <c r="E37" s="573"/>
      <c r="F37" s="580"/>
      <c r="G37" s="581"/>
      <c r="H37" s="573"/>
      <c r="I37" s="573"/>
      <c r="J37" s="573"/>
      <c r="K37" s="575"/>
    </row>
    <row r="38" spans="3:11">
      <c r="C38" s="572"/>
      <c r="D38" s="573"/>
      <c r="E38" s="573"/>
      <c r="F38" s="573"/>
      <c r="G38" s="573"/>
      <c r="H38" s="573"/>
      <c r="I38" s="573"/>
      <c r="J38" s="573"/>
      <c r="K38" s="575"/>
    </row>
    <row r="39" spans="3:11">
      <c r="C39" s="572"/>
      <c r="D39" s="573"/>
      <c r="E39" s="573"/>
      <c r="F39" s="573"/>
      <c r="G39" s="573"/>
      <c r="H39" s="573"/>
      <c r="I39" s="573"/>
      <c r="J39" s="573"/>
      <c r="K39" s="575"/>
    </row>
    <row r="40" spans="3:11">
      <c r="C40" s="572"/>
      <c r="D40" s="573"/>
      <c r="E40" s="573"/>
      <c r="F40" s="573"/>
      <c r="G40" s="573"/>
      <c r="H40" s="573"/>
      <c r="I40" s="573"/>
      <c r="J40" s="573"/>
      <c r="K40" s="575"/>
    </row>
    <row r="41" spans="3:11">
      <c r="C41" s="572"/>
      <c r="D41" s="573"/>
      <c r="E41" s="573"/>
      <c r="F41" s="573"/>
      <c r="G41" s="573"/>
      <c r="H41" s="573"/>
      <c r="I41" s="573"/>
      <c r="J41" s="573"/>
      <c r="K41" s="575"/>
    </row>
    <row r="42" spans="3:11">
      <c r="C42" s="572"/>
      <c r="D42" s="573"/>
      <c r="E42" s="573"/>
      <c r="F42" s="573"/>
      <c r="G42" s="573"/>
      <c r="H42" s="573"/>
      <c r="I42" s="573"/>
      <c r="J42" s="573"/>
      <c r="K42" s="575"/>
    </row>
    <row r="43" spans="3:11">
      <c r="C43" s="572"/>
      <c r="D43" s="573"/>
      <c r="E43" s="573"/>
      <c r="F43" s="573"/>
      <c r="G43" s="573"/>
      <c r="H43" s="573"/>
      <c r="I43" s="573"/>
      <c r="J43" s="573"/>
      <c r="K43" s="575"/>
    </row>
    <row r="44" spans="3:11">
      <c r="C44" s="572"/>
      <c r="D44" s="573"/>
      <c r="E44" s="573"/>
      <c r="F44" s="573"/>
      <c r="G44" s="573"/>
      <c r="H44" s="573"/>
      <c r="I44" s="573"/>
      <c r="J44" s="573"/>
      <c r="K44" s="575"/>
    </row>
    <row r="45" spans="3:11">
      <c r="C45" s="572"/>
      <c r="D45" s="573"/>
      <c r="E45" s="573"/>
      <c r="F45" s="573"/>
      <c r="G45" s="573"/>
      <c r="H45" s="573"/>
      <c r="I45" s="573"/>
      <c r="J45" s="573"/>
      <c r="K45" s="575"/>
    </row>
    <row r="46" spans="3:11">
      <c r="C46" s="572"/>
      <c r="D46" s="573"/>
      <c r="E46" s="573"/>
      <c r="F46" s="573"/>
      <c r="G46" s="573"/>
      <c r="H46" s="573"/>
      <c r="I46" s="573"/>
      <c r="J46" s="573"/>
      <c r="K46" s="575"/>
    </row>
    <row r="47" spans="3:11">
      <c r="C47" s="572"/>
      <c r="D47" s="573"/>
      <c r="E47" s="573"/>
      <c r="F47" s="573"/>
      <c r="G47" s="573"/>
      <c r="H47" s="573"/>
      <c r="I47" s="573"/>
      <c r="J47" s="573"/>
      <c r="K47" s="575"/>
    </row>
    <row r="48" spans="3:11">
      <c r="C48" s="572"/>
      <c r="D48" s="573"/>
      <c r="E48" s="573"/>
      <c r="F48" s="573"/>
      <c r="G48" s="573"/>
      <c r="H48" s="573"/>
      <c r="I48" s="573"/>
      <c r="J48" s="573"/>
      <c r="K48" s="575"/>
    </row>
    <row r="49" spans="2:11" ht="9.75" customHeight="1">
      <c r="C49" s="572"/>
      <c r="D49" s="573"/>
      <c r="E49" s="573"/>
      <c r="F49" s="573"/>
      <c r="G49" s="573"/>
      <c r="H49" s="573"/>
      <c r="I49" s="573"/>
      <c r="J49" s="573"/>
      <c r="K49" s="575"/>
    </row>
    <row r="50" spans="2:11">
      <c r="C50" s="575"/>
      <c r="K50" s="575"/>
    </row>
    <row r="51" spans="2:11">
      <c r="C51" s="575"/>
      <c r="K51" s="575"/>
    </row>
    <row r="52" spans="2:11">
      <c r="C52" s="575"/>
      <c r="K52" s="575"/>
    </row>
    <row r="53" spans="2:11">
      <c r="C53" s="575"/>
      <c r="K53" s="575"/>
    </row>
    <row r="54" spans="2:11">
      <c r="C54" s="575"/>
      <c r="K54" s="575"/>
    </row>
    <row r="55" spans="2:11" ht="6" customHeight="1">
      <c r="C55" s="575"/>
      <c r="K55" s="575"/>
    </row>
    <row r="56" spans="2:11" ht="7.5" customHeight="1">
      <c r="C56" s="575"/>
      <c r="D56" s="575"/>
      <c r="E56" s="575"/>
      <c r="F56" s="575"/>
      <c r="G56" s="575"/>
      <c r="H56" s="575"/>
      <c r="I56" s="575"/>
      <c r="J56" s="575"/>
      <c r="K56" s="575"/>
    </row>
    <row r="57" spans="2:11">
      <c r="B57" s="582"/>
    </row>
  </sheetData>
  <mergeCells count="3">
    <mergeCell ref="H36:J36"/>
    <mergeCell ref="N29:Q31"/>
    <mergeCell ref="F29:I29"/>
  </mergeCells>
  <pageMargins left="0.7" right="0.7" top="0.75" bottom="0.75" header="0.3" footer="0.3"/>
  <pageSetup paperSize="9" orientation="portrait" verticalDpi="0" r:id="rId1"/>
  <drawing r:id="rId2"/>
  <legacyDrawing r:id="rId3"/>
  <oleObjects>
    <oleObject progId="Imaging.Document" shapeId="1025" r:id="rId4"/>
  </oleObjects>
</worksheet>
</file>

<file path=xl/worksheets/sheet4.xml><?xml version="1.0" encoding="utf-8"?>
<worksheet xmlns="http://schemas.openxmlformats.org/spreadsheetml/2006/main" xmlns:r="http://schemas.openxmlformats.org/officeDocument/2006/relationships">
  <dimension ref="C4:AD54"/>
  <sheetViews>
    <sheetView topLeftCell="A28" workbookViewId="0">
      <selection activeCell="AI37" sqref="AI37"/>
    </sheetView>
  </sheetViews>
  <sheetFormatPr defaultRowHeight="12.75"/>
  <cols>
    <col min="1" max="35" width="2.7109375" customWidth="1"/>
  </cols>
  <sheetData>
    <row r="4" spans="3:30">
      <c r="C4" s="1266"/>
      <c r="D4" s="1266"/>
      <c r="E4" s="1266"/>
      <c r="F4" s="1266"/>
      <c r="G4" s="1266"/>
      <c r="H4" s="1266"/>
      <c r="I4" s="1266"/>
      <c r="J4" s="1266"/>
      <c r="K4" s="1266"/>
      <c r="L4" s="1266"/>
      <c r="M4" s="1266"/>
      <c r="N4" s="1266"/>
      <c r="O4" s="1266"/>
      <c r="P4" s="1266"/>
      <c r="Q4" s="1266"/>
      <c r="R4" s="1266"/>
      <c r="S4" s="1266"/>
      <c r="T4" s="1266"/>
      <c r="U4" s="1266"/>
      <c r="V4" s="1266"/>
      <c r="W4" s="1266"/>
      <c r="X4" s="1266"/>
      <c r="Y4" s="1266"/>
      <c r="Z4" s="1266"/>
      <c r="AA4" s="1266"/>
      <c r="AB4" s="1266"/>
      <c r="AC4" s="1266"/>
      <c r="AD4" s="1266"/>
    </row>
    <row r="5" spans="3:30">
      <c r="C5" s="1266"/>
      <c r="AD5" s="1266"/>
    </row>
    <row r="6" spans="3:30" ht="12.75" customHeight="1">
      <c r="C6" s="1266"/>
      <c r="U6" s="584" t="s">
        <v>109</v>
      </c>
      <c r="V6" s="584" t="s">
        <v>789</v>
      </c>
      <c r="W6" s="585" t="s">
        <v>1340</v>
      </c>
      <c r="AD6" s="1266"/>
    </row>
    <row r="7" spans="3:30" ht="12.75" customHeight="1">
      <c r="C7" s="1266"/>
      <c r="AD7" s="1266"/>
    </row>
    <row r="8" spans="3:30" ht="12.75" customHeight="1">
      <c r="C8" s="1266"/>
      <c r="U8" s="574" t="s">
        <v>861</v>
      </c>
      <c r="V8" s="584" t="s">
        <v>789</v>
      </c>
      <c r="W8" s="585" t="s">
        <v>1343</v>
      </c>
      <c r="AD8" s="1266"/>
    </row>
    <row r="9" spans="3:30" ht="12.75" customHeight="1">
      <c r="C9" s="1266"/>
      <c r="AD9" s="1266"/>
    </row>
    <row r="10" spans="3:30" ht="12.75" customHeight="1">
      <c r="C10" s="1266"/>
      <c r="U10" s="584" t="s">
        <v>1346</v>
      </c>
      <c r="V10" s="584" t="s">
        <v>789</v>
      </c>
      <c r="W10" s="585" t="s">
        <v>1367</v>
      </c>
      <c r="AD10" s="1266"/>
    </row>
    <row r="11" spans="3:30" ht="12.75" customHeight="1">
      <c r="C11" s="1266"/>
      <c r="AD11" s="1266"/>
    </row>
    <row r="12" spans="3:30">
      <c r="C12" s="1266"/>
      <c r="AD12" s="1266"/>
    </row>
    <row r="13" spans="3:30">
      <c r="C13" s="1266"/>
      <c r="AD13" s="1266"/>
    </row>
    <row r="14" spans="3:30">
      <c r="C14" s="1266"/>
      <c r="AD14" s="1266"/>
    </row>
    <row r="15" spans="3:30">
      <c r="C15" s="1266"/>
      <c r="AD15" s="1266"/>
    </row>
    <row r="16" spans="3:30">
      <c r="C16" s="1266"/>
      <c r="AD16" s="1266"/>
    </row>
    <row r="17" spans="3:30">
      <c r="C17" s="1266"/>
      <c r="AD17" s="1266"/>
    </row>
    <row r="18" spans="3:30">
      <c r="C18" s="1266"/>
      <c r="AD18" s="1266"/>
    </row>
    <row r="19" spans="3:30">
      <c r="C19" s="1266"/>
      <c r="AD19" s="1266"/>
    </row>
    <row r="20" spans="3:30">
      <c r="C20" s="1266"/>
      <c r="AD20" s="1266"/>
    </row>
    <row r="21" spans="3:30">
      <c r="C21" s="1266"/>
      <c r="AD21" s="1266"/>
    </row>
    <row r="22" spans="3:30">
      <c r="C22" s="1266"/>
      <c r="AD22" s="1266"/>
    </row>
    <row r="23" spans="3:30">
      <c r="C23" s="1266"/>
      <c r="AD23" s="1266"/>
    </row>
    <row r="24" spans="3:30">
      <c r="C24" s="1266"/>
      <c r="AD24" s="1266"/>
    </row>
    <row r="25" spans="3:30">
      <c r="C25" s="1266"/>
      <c r="AD25" s="1266"/>
    </row>
    <row r="26" spans="3:30">
      <c r="C26" s="1266"/>
      <c r="AD26" s="1266"/>
    </row>
    <row r="27" spans="3:30">
      <c r="C27" s="1266"/>
      <c r="AD27" s="1266"/>
    </row>
    <row r="28" spans="3:30">
      <c r="C28" s="1266"/>
      <c r="AD28" s="1266"/>
    </row>
    <row r="29" spans="3:30">
      <c r="C29" s="1266"/>
      <c r="AD29" s="1266"/>
    </row>
    <row r="30" spans="3:30">
      <c r="C30" s="1266"/>
      <c r="AD30" s="1266"/>
    </row>
    <row r="31" spans="3:30" ht="20.25">
      <c r="C31" s="1266"/>
      <c r="G31" s="593" t="s">
        <v>1341</v>
      </c>
      <c r="AD31" s="1266"/>
    </row>
    <row r="32" spans="3:30">
      <c r="C32" s="1266"/>
      <c r="AD32" s="1266"/>
    </row>
    <row r="33" spans="3:30" ht="20.25">
      <c r="C33" s="1266"/>
      <c r="J33" s="593" t="str">
        <f>W8</f>
        <v>Salipeta</v>
      </c>
      <c r="O33" s="593" t="s">
        <v>1347</v>
      </c>
      <c r="Q33" s="593" t="s">
        <v>1348</v>
      </c>
      <c r="S33" s="593" t="str">
        <f>W10</f>
        <v>Gudlur</v>
      </c>
      <c r="Y33" s="593" t="s">
        <v>1345</v>
      </c>
      <c r="AD33" s="1266"/>
    </row>
    <row r="34" spans="3:30">
      <c r="C34" s="1266"/>
      <c r="AD34" s="1266"/>
    </row>
    <row r="35" spans="3:30">
      <c r="C35" s="1266"/>
      <c r="AD35" s="1266"/>
    </row>
    <row r="36" spans="3:30" ht="12.75" customHeight="1">
      <c r="C36" s="1266"/>
      <c r="R36" s="595"/>
      <c r="AD36" s="1266"/>
    </row>
    <row r="37" spans="3:30">
      <c r="C37" s="1266"/>
      <c r="AD37" s="1266"/>
    </row>
    <row r="38" spans="3:30">
      <c r="C38" s="1266"/>
      <c r="AD38" s="1266"/>
    </row>
    <row r="39" spans="3:30">
      <c r="C39" s="1266"/>
      <c r="AD39" s="1266"/>
    </row>
    <row r="40" spans="3:30" ht="19.5">
      <c r="C40" s="1266"/>
      <c r="G40" s="594" t="s">
        <v>1349</v>
      </c>
      <c r="R40" s="595" t="s">
        <v>789</v>
      </c>
      <c r="S40" s="594" t="s">
        <v>1410</v>
      </c>
      <c r="AD40" s="1266"/>
    </row>
    <row r="41" spans="3:30">
      <c r="C41" s="1266"/>
      <c r="AD41" s="1266"/>
    </row>
    <row r="42" spans="3:30" ht="19.5">
      <c r="C42" s="1266"/>
      <c r="G42" s="594" t="s">
        <v>1350</v>
      </c>
      <c r="R42" s="595" t="s">
        <v>789</v>
      </c>
      <c r="S42" s="594" t="s">
        <v>1351</v>
      </c>
      <c r="AD42" s="1266"/>
    </row>
    <row r="43" spans="3:30">
      <c r="C43" s="1266"/>
      <c r="AD43" s="1266"/>
    </row>
    <row r="44" spans="3:30">
      <c r="C44" s="1266"/>
      <c r="AD44" s="1266"/>
    </row>
    <row r="45" spans="3:30">
      <c r="C45" s="1266"/>
      <c r="AD45" s="1266"/>
    </row>
    <row r="46" spans="3:30">
      <c r="C46" s="1266"/>
      <c r="AD46" s="1266"/>
    </row>
    <row r="47" spans="3:30">
      <c r="C47" s="1266"/>
      <c r="AD47" s="1266"/>
    </row>
    <row r="48" spans="3:30">
      <c r="C48" s="1266"/>
      <c r="AD48" s="1266"/>
    </row>
    <row r="49" spans="3:30">
      <c r="C49" s="1266"/>
      <c r="AD49" s="1266"/>
    </row>
    <row r="50" spans="3:30">
      <c r="C50" s="1266"/>
      <c r="AD50" s="1266"/>
    </row>
    <row r="51" spans="3:30">
      <c r="C51" s="1266"/>
      <c r="AD51" s="1266"/>
    </row>
    <row r="52" spans="3:30">
      <c r="C52" s="1266"/>
      <c r="AD52" s="1266"/>
    </row>
    <row r="53" spans="3:30">
      <c r="C53" s="1266"/>
      <c r="AD53" s="1266"/>
    </row>
    <row r="54" spans="3:30">
      <c r="C54" s="1266"/>
      <c r="D54" s="1266"/>
      <c r="E54" s="1266"/>
      <c r="F54" s="1266"/>
      <c r="G54" s="1266"/>
      <c r="H54" s="1266"/>
      <c r="I54" s="1266"/>
      <c r="J54" s="1266"/>
      <c r="K54" s="1266"/>
      <c r="L54" s="1266"/>
      <c r="M54" s="1266"/>
      <c r="N54" s="1266"/>
      <c r="O54" s="1266"/>
      <c r="P54" s="1266"/>
      <c r="Q54" s="1266"/>
      <c r="R54" s="1266"/>
      <c r="S54" s="1266"/>
      <c r="T54" s="1266"/>
      <c r="U54" s="1266"/>
      <c r="V54" s="1266"/>
      <c r="W54" s="1266"/>
      <c r="X54" s="1266"/>
      <c r="Y54" s="1266"/>
      <c r="Z54" s="1266"/>
      <c r="AA54" s="1266"/>
      <c r="AB54" s="1266"/>
      <c r="AC54" s="1266"/>
      <c r="AD54" s="1266"/>
    </row>
  </sheetData>
  <mergeCells count="4">
    <mergeCell ref="C4:AD4"/>
    <mergeCell ref="C5:C54"/>
    <mergeCell ref="D54:AD54"/>
    <mergeCell ref="AD5:AD53"/>
  </mergeCells>
  <pageMargins left="0.7" right="0.7" top="0.75" bottom="0.75" header="0.3" footer="0.3"/>
  <pageSetup paperSize="9" orientation="portrait" verticalDpi="0" r:id="rId1"/>
  <drawing r:id="rId2"/>
  <legacyDrawing r:id="rId3"/>
  <oleObjects>
    <oleObject progId="Imaging.Document" shapeId="2049" r:id="rId4"/>
  </oleObjects>
</worksheet>
</file>

<file path=xl/worksheets/sheet5.xml><?xml version="1.0" encoding="utf-8"?>
<worksheet xmlns="http://schemas.openxmlformats.org/spreadsheetml/2006/main" xmlns:r="http://schemas.openxmlformats.org/officeDocument/2006/relationships">
  <dimension ref="A1:L39"/>
  <sheetViews>
    <sheetView view="pageBreakPreview" zoomScale="115" zoomScaleNormal="130" zoomScaleSheetLayoutView="115" workbookViewId="0">
      <selection activeCell="B32" sqref="B32"/>
    </sheetView>
  </sheetViews>
  <sheetFormatPr defaultRowHeight="12.75"/>
  <cols>
    <col min="1" max="1" width="5.140625" customWidth="1"/>
    <col min="6" max="6" width="3.42578125" customWidth="1"/>
    <col min="8" max="8" width="3.28515625" customWidth="1"/>
    <col min="10" max="10" width="2.85546875" customWidth="1"/>
    <col min="12" max="12" width="10.140625" customWidth="1"/>
  </cols>
  <sheetData>
    <row r="1" spans="1:12" ht="19.5" customHeight="1">
      <c r="A1" s="1274" t="s">
        <v>634</v>
      </c>
      <c r="B1" s="1274"/>
      <c r="C1" s="1274"/>
      <c r="D1" s="1274"/>
      <c r="E1" s="1274"/>
      <c r="F1" s="1274"/>
      <c r="G1" s="1274"/>
      <c r="H1" s="1274"/>
      <c r="I1" s="1274"/>
      <c r="J1" s="1274"/>
      <c r="K1" s="1274"/>
      <c r="L1" s="1274"/>
    </row>
    <row r="2" spans="1:12" ht="22.5" customHeight="1">
      <c r="C2" s="1268" t="s">
        <v>635</v>
      </c>
      <c r="D2" s="1268"/>
      <c r="E2" s="1268"/>
      <c r="F2" s="1268"/>
      <c r="G2" s="1268"/>
      <c r="H2" s="1268"/>
      <c r="I2" s="1268"/>
      <c r="J2" s="1268"/>
      <c r="K2" s="1268"/>
      <c r="L2" s="1268"/>
    </row>
    <row r="3" spans="1:12" ht="28.5" customHeight="1">
      <c r="B3" s="1273" t="str">
        <f>'lead 1'!C2</f>
        <v>Constrution of Bharat Nirman Seva Kendra (BNSK) Grama Panchayat building in Gayamvaripalli  GP of H.M.Padu Mandal</v>
      </c>
      <c r="C3" s="1273"/>
      <c r="D3" s="1273"/>
      <c r="E3" s="1273"/>
      <c r="F3" s="1273"/>
      <c r="G3" s="1273"/>
      <c r="H3" s="1273"/>
      <c r="I3" s="1273"/>
      <c r="J3" s="1273"/>
      <c r="K3" s="1273"/>
      <c r="L3" s="1273"/>
    </row>
    <row r="4" spans="1:12">
      <c r="F4" t="str">
        <f>'Title page'!G22</f>
        <v>Est Cost</v>
      </c>
      <c r="G4" s="3" t="str">
        <f>'lead 1'!K4</f>
        <v>17.00 Lakhs</v>
      </c>
    </row>
    <row r="5" spans="1:12" ht="78" customHeight="1">
      <c r="B5" s="1269" t="s">
        <v>2064</v>
      </c>
      <c r="C5" s="1270"/>
      <c r="D5" s="1270"/>
      <c r="E5" s="1270"/>
      <c r="F5" s="1270"/>
      <c r="G5" s="1270"/>
      <c r="H5" s="1270"/>
      <c r="I5" s="1270"/>
      <c r="J5" s="1270"/>
      <c r="K5" s="1270"/>
      <c r="L5" s="1270"/>
    </row>
    <row r="6" spans="1:12" ht="18" customHeight="1">
      <c r="B6" s="1273" t="s">
        <v>1324</v>
      </c>
      <c r="C6" s="1273"/>
      <c r="D6" s="1273"/>
      <c r="E6" s="1273"/>
      <c r="F6" s="1273"/>
      <c r="G6" s="1273"/>
      <c r="H6" s="1273"/>
      <c r="I6" s="1273"/>
      <c r="J6" s="1273"/>
      <c r="K6" s="1273"/>
      <c r="L6" s="1273"/>
    </row>
    <row r="7" spans="1:12" ht="12.75" customHeight="1">
      <c r="B7" s="1272" t="s">
        <v>1325</v>
      </c>
      <c r="C7" s="1272"/>
      <c r="D7" s="1272"/>
      <c r="E7" s="1272"/>
      <c r="F7" s="1272"/>
      <c r="G7" s="1272"/>
      <c r="H7" s="1272"/>
      <c r="I7" s="1272"/>
      <c r="J7" s="1272"/>
      <c r="K7" s="1272"/>
      <c r="L7" s="1272"/>
    </row>
    <row r="8" spans="1:12" ht="12.75" customHeight="1">
      <c r="B8" s="1272" t="s">
        <v>1353</v>
      </c>
      <c r="C8" s="1272"/>
      <c r="D8" s="1272"/>
      <c r="E8" s="1272"/>
      <c r="F8" s="1272"/>
      <c r="G8" s="1272"/>
      <c r="H8" s="1272"/>
      <c r="I8" s="1272"/>
      <c r="J8" s="1272"/>
      <c r="K8" s="1272"/>
      <c r="L8" s="1272"/>
    </row>
    <row r="9" spans="1:12" ht="25.5" customHeight="1">
      <c r="B9" s="1272" t="s">
        <v>1352</v>
      </c>
      <c r="C9" s="1272"/>
      <c r="D9" s="1272"/>
      <c r="E9" s="1272"/>
      <c r="F9" s="1272"/>
      <c r="G9" s="1272"/>
      <c r="H9" s="1272"/>
      <c r="I9" s="1272"/>
      <c r="J9" s="1272"/>
      <c r="K9" s="1272"/>
      <c r="L9" s="1272"/>
    </row>
    <row r="10" spans="1:12" ht="39" customHeight="1">
      <c r="B10" s="1271" t="s">
        <v>2065</v>
      </c>
      <c r="C10" s="1272"/>
      <c r="D10" s="1272"/>
      <c r="E10" s="1272"/>
      <c r="F10" s="1272"/>
      <c r="G10" s="1272"/>
      <c r="H10" s="1272"/>
      <c r="I10" s="1272"/>
      <c r="J10" s="1272"/>
      <c r="K10" s="1272"/>
      <c r="L10" s="1272"/>
    </row>
    <row r="11" spans="1:12" ht="28.5" customHeight="1">
      <c r="B11" s="1272" t="s">
        <v>1326</v>
      </c>
      <c r="C11" s="1272"/>
      <c r="D11" s="1272"/>
      <c r="E11" s="1272"/>
      <c r="F11" s="1272"/>
      <c r="G11" s="1272"/>
      <c r="H11" s="1272"/>
      <c r="I11" s="1272"/>
      <c r="J11" s="1272"/>
      <c r="K11" s="1272"/>
      <c r="L11" s="1272"/>
    </row>
    <row r="12" spans="1:12" ht="27" customHeight="1">
      <c r="B12" s="1272" t="s">
        <v>1327</v>
      </c>
      <c r="C12" s="1272"/>
      <c r="D12" s="1272"/>
      <c r="E12" s="1272"/>
      <c r="F12" s="1272"/>
      <c r="G12" s="1272"/>
      <c r="H12" s="1272"/>
      <c r="I12" s="1272"/>
      <c r="J12" s="1272"/>
      <c r="K12" s="1272"/>
      <c r="L12" s="1272"/>
    </row>
    <row r="13" spans="1:12" ht="27" hidden="1" customHeight="1">
      <c r="B13" s="1272" t="s">
        <v>1328</v>
      </c>
      <c r="C13" s="1272"/>
      <c r="D13" s="1272"/>
      <c r="E13" s="1272"/>
      <c r="F13" s="1272"/>
      <c r="G13" s="1272"/>
      <c r="H13" s="1272"/>
      <c r="I13" s="1272"/>
      <c r="J13" s="1272"/>
      <c r="K13" s="1272"/>
      <c r="L13" s="1272"/>
    </row>
    <row r="14" spans="1:12" ht="27.75" customHeight="1">
      <c r="B14" s="1271" t="s">
        <v>2066</v>
      </c>
      <c r="C14" s="1272"/>
      <c r="D14" s="1272"/>
      <c r="E14" s="1272"/>
      <c r="F14" s="1272"/>
      <c r="G14" s="1272"/>
      <c r="H14" s="1272"/>
      <c r="I14" s="1272"/>
      <c r="J14" s="1272"/>
      <c r="K14" s="1272"/>
      <c r="L14" s="1272"/>
    </row>
    <row r="15" spans="1:12" ht="27" customHeight="1">
      <c r="B15" s="1271" t="s">
        <v>2067</v>
      </c>
      <c r="C15" s="1272"/>
      <c r="D15" s="1272"/>
      <c r="E15" s="1272"/>
      <c r="F15" s="1272"/>
      <c r="G15" s="1272"/>
      <c r="H15" s="1272"/>
      <c r="I15" s="1272"/>
      <c r="J15" s="1272"/>
      <c r="K15" s="1272"/>
      <c r="L15" s="1272"/>
    </row>
    <row r="16" spans="1:12" ht="27.75" customHeight="1">
      <c r="B16" s="1271" t="s">
        <v>2068</v>
      </c>
      <c r="C16" s="1272"/>
      <c r="D16" s="1272"/>
      <c r="E16" s="1272"/>
      <c r="F16" s="1272"/>
      <c r="G16" s="1272"/>
      <c r="H16" s="1272"/>
      <c r="I16" s="1272"/>
      <c r="J16" s="1272"/>
      <c r="K16" s="1272"/>
      <c r="L16" s="1272"/>
    </row>
    <row r="17" spans="2:12" ht="39" customHeight="1">
      <c r="B17" s="1271" t="s">
        <v>2069</v>
      </c>
      <c r="C17" s="1272"/>
      <c r="D17" s="1272"/>
      <c r="E17" s="1272"/>
      <c r="F17" s="1272"/>
      <c r="G17" s="1272"/>
      <c r="H17" s="1272"/>
      <c r="I17" s="1272"/>
      <c r="J17" s="1272"/>
      <c r="K17" s="1272"/>
      <c r="L17" s="1272"/>
    </row>
    <row r="18" spans="2:12" ht="26.25" customHeight="1">
      <c r="B18" s="1271" t="s">
        <v>2070</v>
      </c>
      <c r="C18" s="1272"/>
      <c r="D18" s="1272"/>
      <c r="E18" s="1272"/>
      <c r="F18" s="1272"/>
      <c r="G18" s="1272"/>
      <c r="H18" s="1272"/>
      <c r="I18" s="1272"/>
      <c r="J18" s="1272"/>
      <c r="K18" s="1272"/>
      <c r="L18" s="1272"/>
    </row>
    <row r="19" spans="2:12" ht="26.25" hidden="1" customHeight="1">
      <c r="B19" s="1272" t="s">
        <v>1329</v>
      </c>
      <c r="C19" s="1272"/>
      <c r="D19" s="1272"/>
      <c r="E19" s="1272"/>
      <c r="F19" s="1272"/>
      <c r="G19" s="1272"/>
      <c r="H19" s="1272"/>
      <c r="I19" s="1272"/>
      <c r="J19" s="1272"/>
      <c r="K19" s="1272"/>
      <c r="L19" s="1272"/>
    </row>
    <row r="20" spans="2:12" ht="26.25" hidden="1" customHeight="1">
      <c r="B20" s="1272" t="s">
        <v>1330</v>
      </c>
      <c r="C20" s="1272"/>
      <c r="D20" s="1272"/>
      <c r="E20" s="1272"/>
      <c r="F20" s="1272"/>
      <c r="G20" s="1272"/>
      <c r="H20" s="1272"/>
      <c r="I20" s="1272"/>
      <c r="J20" s="1272"/>
      <c r="K20" s="1272"/>
      <c r="L20" s="1272"/>
    </row>
    <row r="21" spans="2:12" ht="26.25" hidden="1" customHeight="1">
      <c r="B21" s="1272" t="s">
        <v>1331</v>
      </c>
      <c r="C21" s="1272"/>
      <c r="D21" s="1272"/>
      <c r="E21" s="1272"/>
      <c r="F21" s="1272"/>
      <c r="G21" s="1272"/>
      <c r="H21" s="1272"/>
      <c r="I21" s="1272"/>
      <c r="J21" s="1272"/>
      <c r="K21" s="1272"/>
      <c r="L21" s="1272"/>
    </row>
    <row r="22" spans="2:12" ht="26.25" customHeight="1">
      <c r="B22" s="1271" t="s">
        <v>2071</v>
      </c>
      <c r="C22" s="1272"/>
      <c r="D22" s="1272"/>
      <c r="E22" s="1272"/>
      <c r="F22" s="1272"/>
      <c r="G22" s="1272"/>
      <c r="H22" s="1272"/>
      <c r="I22" s="1272"/>
      <c r="J22" s="1272"/>
      <c r="K22" s="1272"/>
      <c r="L22" s="1272"/>
    </row>
    <row r="23" spans="2:12" ht="26.25" hidden="1" customHeight="1">
      <c r="B23" s="1272" t="s">
        <v>1333</v>
      </c>
      <c r="C23" s="1272"/>
      <c r="D23" s="1272"/>
      <c r="E23" s="1272"/>
      <c r="F23" s="1272"/>
      <c r="G23" s="1272"/>
      <c r="H23" s="1272"/>
      <c r="I23" s="1272"/>
      <c r="J23" s="1272"/>
      <c r="K23" s="1272"/>
      <c r="L23" s="1272"/>
    </row>
    <row r="24" spans="2:12" ht="26.25" hidden="1" customHeight="1">
      <c r="B24" s="1272" t="s">
        <v>1334</v>
      </c>
      <c r="C24" s="1272"/>
      <c r="D24" s="1272"/>
      <c r="E24" s="1272"/>
      <c r="F24" s="1272"/>
      <c r="G24" s="1272"/>
      <c r="H24" s="1272"/>
      <c r="I24" s="1272"/>
      <c r="J24" s="1272"/>
      <c r="K24" s="1272"/>
      <c r="L24" s="1272"/>
    </row>
    <row r="25" spans="2:12" ht="26.25" customHeight="1">
      <c r="B25" s="1271" t="s">
        <v>2072</v>
      </c>
      <c r="C25" s="1272"/>
      <c r="D25" s="1272"/>
      <c r="E25" s="1272"/>
      <c r="F25" s="1272"/>
      <c r="G25" s="1272"/>
      <c r="H25" s="1272"/>
      <c r="I25" s="1272"/>
      <c r="J25" s="1272"/>
      <c r="K25" s="1272"/>
      <c r="L25" s="1272"/>
    </row>
    <row r="26" spans="2:12" ht="26.25" customHeight="1">
      <c r="B26" s="1271" t="s">
        <v>2073</v>
      </c>
      <c r="C26" s="1272"/>
      <c r="D26" s="1272"/>
      <c r="E26" s="1272"/>
      <c r="F26" s="1272"/>
      <c r="G26" s="1272"/>
      <c r="H26" s="1272"/>
      <c r="I26" s="1272"/>
      <c r="J26" s="1272"/>
      <c r="K26" s="1272"/>
      <c r="L26" s="1272"/>
    </row>
    <row r="27" spans="2:12" ht="26.25" customHeight="1">
      <c r="B27" s="1271" t="s">
        <v>2074</v>
      </c>
      <c r="C27" s="1272"/>
      <c r="D27" s="1272"/>
      <c r="E27" s="1272"/>
      <c r="F27" s="1272"/>
      <c r="G27" s="1272"/>
      <c r="H27" s="1272"/>
      <c r="I27" s="1272"/>
      <c r="J27" s="1272"/>
      <c r="K27" s="1272"/>
      <c r="L27" s="1272"/>
    </row>
    <row r="28" spans="2:12" ht="12.75" customHeight="1">
      <c r="B28" s="1271" t="s">
        <v>2075</v>
      </c>
      <c r="C28" s="1272"/>
      <c r="D28" s="1272"/>
      <c r="E28" s="1272"/>
      <c r="F28" s="1272"/>
      <c r="G28" s="1272"/>
      <c r="H28" s="1272"/>
      <c r="I28" s="1272"/>
      <c r="J28" s="1272"/>
      <c r="K28" s="1272"/>
      <c r="L28" s="1272"/>
    </row>
    <row r="29" spans="2:12" ht="12.75" customHeight="1">
      <c r="B29" s="1271" t="s">
        <v>2076</v>
      </c>
      <c r="C29" s="1272"/>
      <c r="D29" s="1272"/>
      <c r="E29" s="1272"/>
      <c r="F29" s="1272"/>
      <c r="G29" s="1272"/>
      <c r="H29" s="1272"/>
      <c r="I29" s="1272"/>
      <c r="J29" s="1272"/>
      <c r="K29" s="1272"/>
      <c r="L29" s="1272"/>
    </row>
    <row r="30" spans="2:12" ht="12.75" customHeight="1">
      <c r="B30" s="1276" t="s">
        <v>2077</v>
      </c>
      <c r="C30" s="1276"/>
      <c r="D30" s="1276"/>
      <c r="E30" s="1276"/>
      <c r="F30" s="1276"/>
      <c r="G30" s="1276"/>
      <c r="H30" s="1276"/>
      <c r="I30" s="1276"/>
      <c r="J30" s="1276"/>
      <c r="K30" s="1276"/>
      <c r="L30" s="1276"/>
    </row>
    <row r="31" spans="2:12" ht="12.75" customHeight="1">
      <c r="B31" s="1276" t="s">
        <v>2078</v>
      </c>
      <c r="C31" s="1276"/>
      <c r="D31" s="1276"/>
      <c r="E31" s="1276"/>
      <c r="F31" s="1276"/>
      <c r="G31" s="1276"/>
      <c r="H31" s="1276"/>
      <c r="I31" s="1276"/>
      <c r="J31" s="1276"/>
      <c r="K31" s="1276"/>
      <c r="L31" s="1276"/>
    </row>
    <row r="32" spans="2:12" ht="26.25" customHeight="1">
      <c r="B32" s="179"/>
    </row>
    <row r="33" spans="2:12" ht="27.75" customHeight="1">
      <c r="B33" s="1275" t="s">
        <v>1335</v>
      </c>
      <c r="C33" s="1275"/>
      <c r="D33" s="1275"/>
      <c r="E33" s="1275"/>
      <c r="F33" s="1275"/>
      <c r="G33" s="1275"/>
      <c r="H33" s="1275"/>
      <c r="I33" s="1275"/>
      <c r="J33" s="1275"/>
      <c r="K33" s="1275"/>
      <c r="L33" s="1275"/>
    </row>
    <row r="36" spans="2:12">
      <c r="C36" s="795"/>
      <c r="D36" s="795"/>
      <c r="E36" s="797" t="str">
        <f>'lead 1'!I37</f>
        <v>Deputy Executive Engineer</v>
      </c>
      <c r="F36" s="795"/>
      <c r="K36" s="797" t="str">
        <f>'lead 1'!L37</f>
        <v>Assistant Engineer</v>
      </c>
    </row>
    <row r="37" spans="2:12">
      <c r="C37" s="280"/>
      <c r="D37" s="280"/>
      <c r="E37" s="797" t="str">
        <f>'lead 1'!I38</f>
        <v>PRI Sub Division</v>
      </c>
      <c r="F37" s="280"/>
      <c r="G37" s="1267"/>
      <c r="H37" s="1267"/>
      <c r="I37" s="1267"/>
      <c r="K37" s="797" t="str">
        <f>'lead 1'!L38</f>
        <v>Mandal Praja parishad</v>
      </c>
    </row>
    <row r="38" spans="2:12">
      <c r="C38" s="280"/>
      <c r="D38" s="280"/>
      <c r="E38" s="797" t="str">
        <f>'lead 1'!I39</f>
        <v>Kanigiri</v>
      </c>
      <c r="F38" s="280"/>
      <c r="G38" s="280"/>
      <c r="H38" s="280"/>
      <c r="I38" s="280"/>
      <c r="K38" s="797" t="str">
        <f>'lead 1'!L39</f>
        <v>H.M.Padu</v>
      </c>
    </row>
    <row r="39" spans="2:12">
      <c r="C39" s="795"/>
      <c r="D39" s="795"/>
      <c r="E39" s="795"/>
      <c r="F39" s="795"/>
    </row>
  </sheetData>
  <mergeCells count="32">
    <mergeCell ref="B33:L33"/>
    <mergeCell ref="B28:L28"/>
    <mergeCell ref="B29:L29"/>
    <mergeCell ref="B30:L30"/>
    <mergeCell ref="B31:L31"/>
    <mergeCell ref="A1:L1"/>
    <mergeCell ref="B22:L22"/>
    <mergeCell ref="B23:L23"/>
    <mergeCell ref="B24:L24"/>
    <mergeCell ref="B25:L25"/>
    <mergeCell ref="B13:L13"/>
    <mergeCell ref="B14:L14"/>
    <mergeCell ref="B15:L15"/>
    <mergeCell ref="B16:L16"/>
    <mergeCell ref="B17:L17"/>
    <mergeCell ref="B3:L3"/>
    <mergeCell ref="G37:I37"/>
    <mergeCell ref="C2:L2"/>
    <mergeCell ref="B5:L5"/>
    <mergeCell ref="B18:L18"/>
    <mergeCell ref="B19:L19"/>
    <mergeCell ref="B20:L20"/>
    <mergeCell ref="B21:L21"/>
    <mergeCell ref="B6:L6"/>
    <mergeCell ref="B7:L7"/>
    <mergeCell ref="B8:L8"/>
    <mergeCell ref="B9:L9"/>
    <mergeCell ref="B10:L10"/>
    <mergeCell ref="B11:L11"/>
    <mergeCell ref="B26:L26"/>
    <mergeCell ref="B27:L27"/>
    <mergeCell ref="B12:L12"/>
  </mergeCells>
  <pageMargins left="0.7" right="0.7" top="0.75" bottom="0.75" header="0.3" footer="0.3"/>
  <pageSetup paperSize="9" orientation="portrait" verticalDpi="300" r:id="rId1"/>
</worksheet>
</file>

<file path=xl/worksheets/sheet6.xml><?xml version="1.0" encoding="utf-8"?>
<worksheet xmlns="http://schemas.openxmlformats.org/spreadsheetml/2006/main" xmlns:r="http://schemas.openxmlformats.org/officeDocument/2006/relationships">
  <sheetPr>
    <tabColor rgb="FFFF0000"/>
  </sheetPr>
  <dimension ref="A1:K47"/>
  <sheetViews>
    <sheetView view="pageBreakPreview" topLeftCell="A3" zoomScaleNormal="85" zoomScaleSheetLayoutView="100" workbookViewId="0">
      <selection activeCell="F13" sqref="F13"/>
    </sheetView>
  </sheetViews>
  <sheetFormatPr defaultRowHeight="12.75"/>
  <cols>
    <col min="1" max="1" width="4.7109375" style="906" customWidth="1"/>
    <col min="2" max="2" width="7.140625" style="907" customWidth="1"/>
    <col min="3" max="3" width="28" style="876" customWidth="1"/>
    <col min="4" max="4" width="6.7109375" style="876" customWidth="1"/>
    <col min="5" max="5" width="7.7109375" style="876" customWidth="1"/>
    <col min="6" max="6" width="10" style="876" customWidth="1"/>
    <col min="7" max="7" width="10.140625" style="876" bestFit="1" customWidth="1"/>
    <col min="8" max="8" width="11.7109375" style="876" customWidth="1"/>
    <col min="9" max="9" width="13" style="876" customWidth="1"/>
    <col min="10" max="10" width="12.85546875" style="876" customWidth="1"/>
    <col min="11" max="11" width="15.28515625" style="876" customWidth="1"/>
    <col min="12" max="16384" width="9.140625" style="876"/>
  </cols>
  <sheetData>
    <row r="1" spans="1:9" ht="18.75">
      <c r="A1" s="1277" t="s">
        <v>1881</v>
      </c>
      <c r="B1" s="1277"/>
      <c r="C1" s="1277"/>
      <c r="D1" s="1277"/>
      <c r="E1" s="1277"/>
      <c r="F1" s="1277"/>
      <c r="G1" s="1277"/>
      <c r="H1" s="1277"/>
      <c r="I1" s="1277"/>
    </row>
    <row r="2" spans="1:9" ht="30" customHeight="1">
      <c r="A2" s="1278" t="str">
        <f>'lead 1'!B2&amp;'lead 1'!C2</f>
        <v>Name of the Work: Constrution of Bharat Nirman Seva Kendra (BNSK) Grama Panchayat building in Gayamvaripalli  GP of H.M.Padu Mandal</v>
      </c>
      <c r="B2" s="1278"/>
      <c r="C2" s="1278"/>
      <c r="D2" s="1278"/>
      <c r="E2" s="1278"/>
      <c r="F2" s="1278"/>
      <c r="G2" s="1278"/>
      <c r="H2" s="1278"/>
      <c r="I2" s="1278"/>
    </row>
    <row r="3" spans="1:9" ht="15" customHeight="1">
      <c r="A3" s="877"/>
      <c r="B3" s="877"/>
      <c r="C3" s="878" t="s">
        <v>1882</v>
      </c>
      <c r="D3" s="877" t="s">
        <v>789</v>
      </c>
      <c r="E3" s="879" t="s">
        <v>1883</v>
      </c>
      <c r="F3" s="880"/>
      <c r="G3" s="880"/>
      <c r="H3" s="880"/>
      <c r="I3" s="877"/>
    </row>
    <row r="4" spans="1:9" ht="15" customHeight="1">
      <c r="A4" s="877"/>
      <c r="B4" s="877"/>
      <c r="C4" s="878" t="s">
        <v>1884</v>
      </c>
      <c r="D4" s="877" t="s">
        <v>789</v>
      </c>
      <c r="E4" s="1279"/>
      <c r="F4" s="1279"/>
      <c r="G4" s="1279"/>
      <c r="H4" s="877"/>
      <c r="I4" s="877"/>
    </row>
    <row r="5" spans="1:9" ht="15" customHeight="1">
      <c r="A5" s="877"/>
      <c r="B5" s="877"/>
      <c r="C5" s="878" t="s">
        <v>1885</v>
      </c>
      <c r="D5" s="877" t="s">
        <v>789</v>
      </c>
      <c r="E5" s="879" t="s">
        <v>2079</v>
      </c>
      <c r="F5" s="877"/>
      <c r="G5" s="877"/>
      <c r="H5" s="877"/>
      <c r="I5" s="877"/>
    </row>
    <row r="6" spans="1:9" ht="15" customHeight="1">
      <c r="A6" s="877"/>
      <c r="B6" s="877"/>
      <c r="C6" s="878" t="s">
        <v>1886</v>
      </c>
      <c r="D6" s="877" t="s">
        <v>789</v>
      </c>
      <c r="E6" s="880"/>
      <c r="F6" s="877"/>
      <c r="G6" s="877"/>
      <c r="H6" s="877"/>
      <c r="I6" s="877"/>
    </row>
    <row r="7" spans="1:9" ht="17.25" customHeight="1">
      <c r="A7" s="877"/>
      <c r="B7" s="877"/>
      <c r="C7" s="877"/>
      <c r="D7" s="881" t="s">
        <v>2080</v>
      </c>
      <c r="E7" s="877"/>
      <c r="F7" s="877"/>
      <c r="G7" s="877"/>
      <c r="H7" s="877"/>
      <c r="I7" s="877"/>
    </row>
    <row r="8" spans="1:9" ht="17.25" customHeight="1">
      <c r="A8" s="877"/>
      <c r="B8" s="877"/>
      <c r="C8" s="877"/>
      <c r="D8" s="881" t="s">
        <v>1887</v>
      </c>
      <c r="E8" s="877"/>
      <c r="F8" s="877"/>
      <c r="G8" s="877"/>
      <c r="H8" s="877"/>
      <c r="I8" s="877"/>
    </row>
    <row r="9" spans="1:9" ht="18" customHeight="1">
      <c r="A9" s="877"/>
      <c r="B9" s="877"/>
      <c r="C9" s="877" t="s">
        <v>1888</v>
      </c>
      <c r="D9" s="877"/>
      <c r="E9" s="877"/>
      <c r="F9" s="877"/>
      <c r="G9" s="877"/>
      <c r="H9" s="877"/>
      <c r="I9" s="877"/>
    </row>
    <row r="10" spans="1:9">
      <c r="A10" s="877"/>
      <c r="B10" s="877"/>
      <c r="C10" s="877" t="s">
        <v>1889</v>
      </c>
      <c r="D10" s="877" t="s">
        <v>789</v>
      </c>
      <c r="E10" s="879" t="s">
        <v>1890</v>
      </c>
      <c r="F10" s="880"/>
      <c r="G10" s="877"/>
      <c r="H10" s="877"/>
      <c r="I10" s="877"/>
    </row>
    <row r="11" spans="1:9">
      <c r="A11" s="877"/>
      <c r="B11" s="877"/>
      <c r="C11" s="877" t="s">
        <v>1891</v>
      </c>
      <c r="D11" s="877" t="s">
        <v>789</v>
      </c>
      <c r="E11" s="879" t="s">
        <v>1826</v>
      </c>
      <c r="F11" s="877"/>
      <c r="G11" s="877"/>
      <c r="H11" s="877"/>
      <c r="I11" s="877"/>
    </row>
    <row r="12" spans="1:9">
      <c r="A12" s="877"/>
      <c r="B12" s="877"/>
      <c r="C12" s="877" t="s">
        <v>1892</v>
      </c>
      <c r="D12" s="877" t="s">
        <v>789</v>
      </c>
      <c r="E12" s="879" t="s">
        <v>1829</v>
      </c>
      <c r="F12" s="877"/>
      <c r="G12" s="877"/>
      <c r="H12" s="877"/>
      <c r="I12" s="877"/>
    </row>
    <row r="13" spans="1:9">
      <c r="A13" s="877"/>
      <c r="B13" s="877"/>
      <c r="C13" s="877" t="s">
        <v>1893</v>
      </c>
      <c r="D13" s="877" t="s">
        <v>789</v>
      </c>
      <c r="E13" s="879" t="s">
        <v>2092</v>
      </c>
      <c r="F13" s="877"/>
      <c r="G13" s="877"/>
      <c r="H13" s="877"/>
      <c r="I13" s="877"/>
    </row>
    <row r="14" spans="1:9" ht="24" customHeight="1">
      <c r="A14" s="877"/>
      <c r="B14" s="877"/>
      <c r="C14" s="877"/>
      <c r="D14" s="877"/>
      <c r="E14" s="877"/>
      <c r="F14" s="877"/>
      <c r="G14" s="877"/>
      <c r="H14" s="877"/>
      <c r="I14" s="877"/>
    </row>
    <row r="15" spans="1:9" s="883" customFormat="1" ht="48" customHeight="1">
      <c r="A15" s="882" t="s">
        <v>383</v>
      </c>
      <c r="B15" s="882" t="s">
        <v>823</v>
      </c>
      <c r="C15" s="882" t="s">
        <v>1894</v>
      </c>
      <c r="D15" s="882" t="s">
        <v>386</v>
      </c>
      <c r="E15" s="882" t="s">
        <v>156</v>
      </c>
      <c r="F15" s="882" t="s">
        <v>101</v>
      </c>
      <c r="G15" s="882" t="s">
        <v>1895</v>
      </c>
      <c r="H15" s="882" t="s">
        <v>1896</v>
      </c>
      <c r="I15" s="882" t="s">
        <v>1897</v>
      </c>
    </row>
    <row r="16" spans="1:9" s="883" customFormat="1" ht="14.25" customHeight="1">
      <c r="A16" s="884">
        <v>1</v>
      </c>
      <c r="B16" s="882">
        <v>2</v>
      </c>
      <c r="C16" s="882">
        <v>3</v>
      </c>
      <c r="D16" s="882">
        <v>4</v>
      </c>
      <c r="E16" s="882">
        <v>5</v>
      </c>
      <c r="F16" s="882">
        <v>6</v>
      </c>
      <c r="G16" s="882">
        <v>7</v>
      </c>
      <c r="H16" s="882">
        <v>8</v>
      </c>
      <c r="I16" s="882">
        <v>9</v>
      </c>
    </row>
    <row r="17" spans="1:11" s="889" customFormat="1" ht="15">
      <c r="A17" s="885"/>
      <c r="B17" s="885"/>
      <c r="C17" s="886"/>
      <c r="D17" s="887"/>
      <c r="E17" s="887"/>
      <c r="F17" s="887"/>
      <c r="G17" s="887"/>
      <c r="H17" s="887"/>
      <c r="I17" s="887"/>
      <c r="J17" s="888">
        <f>'ground floor'!K28+'ground floor'!K32+'ground floor'!K54</f>
        <v>10169</v>
      </c>
      <c r="K17" s="889">
        <f>J17/205</f>
        <v>49.604878048780485</v>
      </c>
    </row>
    <row r="18" spans="1:11" s="889" customFormat="1" ht="30">
      <c r="A18" s="885">
        <v>1</v>
      </c>
      <c r="B18" s="885">
        <v>34816</v>
      </c>
      <c r="C18" s="886" t="s">
        <v>1898</v>
      </c>
      <c r="D18" s="890" t="s">
        <v>827</v>
      </c>
      <c r="E18" s="891">
        <f>ROUND(K17,0)</f>
        <v>50</v>
      </c>
      <c r="F18" s="890">
        <v>205</v>
      </c>
      <c r="G18" s="890">
        <f>ROUND(E18*F18,0)</f>
        <v>10250</v>
      </c>
      <c r="H18" s="892"/>
      <c r="I18" s="891">
        <f>SUM(G18:H18)</f>
        <v>10250</v>
      </c>
    </row>
    <row r="19" spans="1:11" s="889" customFormat="1" ht="15">
      <c r="A19" s="885"/>
      <c r="B19" s="885"/>
      <c r="C19" s="886"/>
      <c r="D19" s="890"/>
      <c r="E19" s="893"/>
      <c r="F19" s="890"/>
      <c r="G19" s="894"/>
      <c r="H19" s="890"/>
      <c r="I19" s="890"/>
    </row>
    <row r="20" spans="1:11" s="889" customFormat="1" ht="15">
      <c r="A20" s="885">
        <v>2</v>
      </c>
      <c r="B20" s="885">
        <v>34817</v>
      </c>
      <c r="C20" s="886" t="s">
        <v>1899</v>
      </c>
      <c r="D20" s="890" t="s">
        <v>1880</v>
      </c>
      <c r="E20" s="891">
        <f>SEIG!V37</f>
        <v>560.41</v>
      </c>
      <c r="F20" s="890">
        <f>'lead 1'!M8/1000*50</f>
        <v>215</v>
      </c>
      <c r="G20" s="890"/>
      <c r="H20" s="892">
        <f>ROUND(F20*E20/1,0)</f>
        <v>120488</v>
      </c>
      <c r="I20" s="891">
        <f>SUM(G20:H20)</f>
        <v>120488</v>
      </c>
    </row>
    <row r="21" spans="1:11" s="889" customFormat="1" ht="15">
      <c r="A21" s="885"/>
      <c r="B21" s="885"/>
      <c r="C21" s="886"/>
      <c r="D21" s="890"/>
      <c r="E21" s="891"/>
      <c r="F21" s="891"/>
      <c r="G21" s="895"/>
      <c r="H21" s="892"/>
      <c r="I21" s="891"/>
    </row>
    <row r="22" spans="1:11" s="889" customFormat="1" ht="15">
      <c r="A22" s="885">
        <v>3</v>
      </c>
      <c r="B22" s="885">
        <v>34818</v>
      </c>
      <c r="C22" s="886" t="s">
        <v>1900</v>
      </c>
      <c r="D22" s="890" t="s">
        <v>161</v>
      </c>
      <c r="E22" s="891">
        <f>SEIG!J35</f>
        <v>49.1</v>
      </c>
      <c r="F22" s="891">
        <f>'lead 1'!M14</f>
        <v>1334.4</v>
      </c>
      <c r="G22" s="896"/>
      <c r="H22" s="892">
        <f>ROUND(F22*E22/1,0)</f>
        <v>65519</v>
      </c>
      <c r="I22" s="891">
        <f>SUM(G22:H22)</f>
        <v>65519</v>
      </c>
    </row>
    <row r="23" spans="1:11" s="889" customFormat="1" ht="15">
      <c r="A23" s="885"/>
      <c r="B23" s="885"/>
      <c r="C23" s="886"/>
      <c r="D23" s="890"/>
      <c r="E23" s="891"/>
      <c r="F23" s="891"/>
      <c r="G23" s="896"/>
      <c r="H23" s="892"/>
      <c r="I23" s="891"/>
    </row>
    <row r="24" spans="1:11" s="889" customFormat="1" ht="15">
      <c r="A24" s="885">
        <v>4</v>
      </c>
      <c r="B24" s="885">
        <v>34819</v>
      </c>
      <c r="C24" s="886" t="s">
        <v>1901</v>
      </c>
      <c r="D24" s="890" t="s">
        <v>161</v>
      </c>
      <c r="E24" s="891">
        <f>SEIG!L35</f>
        <v>24.41</v>
      </c>
      <c r="F24" s="891">
        <f>'lead 1'!M12</f>
        <v>1549.4</v>
      </c>
      <c r="G24" s="896"/>
      <c r="H24" s="892">
        <f>ROUND(F24*E24/1,0)</f>
        <v>37821</v>
      </c>
      <c r="I24" s="891">
        <f>SUM(G24:H24)</f>
        <v>37821</v>
      </c>
    </row>
    <row r="25" spans="1:11" s="889" customFormat="1" ht="15">
      <c r="A25" s="885"/>
      <c r="B25" s="885"/>
      <c r="C25" s="886"/>
      <c r="D25" s="890"/>
      <c r="E25" s="891"/>
      <c r="F25" s="891"/>
      <c r="G25" s="896"/>
      <c r="H25" s="892"/>
      <c r="I25" s="891"/>
    </row>
    <row r="26" spans="1:11" s="889" customFormat="1" ht="15">
      <c r="A26" s="885">
        <v>5</v>
      </c>
      <c r="B26" s="885">
        <v>34822</v>
      </c>
      <c r="C26" s="886" t="s">
        <v>1928</v>
      </c>
      <c r="D26" s="890" t="s">
        <v>161</v>
      </c>
      <c r="E26" s="891">
        <f>SEIG!R35</f>
        <v>41.24</v>
      </c>
      <c r="F26" s="891">
        <f>data1!F13</f>
        <v>1460.5600000000002</v>
      </c>
      <c r="G26" s="891"/>
      <c r="H26" s="892">
        <f>ROUND(F26*E26/1,0)</f>
        <v>60233</v>
      </c>
      <c r="I26" s="891">
        <f>SUM(G26:H26)</f>
        <v>60233</v>
      </c>
    </row>
    <row r="27" spans="1:11" s="889" customFormat="1" ht="15">
      <c r="A27" s="885"/>
      <c r="B27" s="885"/>
      <c r="C27" s="886"/>
      <c r="D27" s="890"/>
      <c r="E27" s="891"/>
      <c r="F27" s="891"/>
      <c r="G27" s="891"/>
      <c r="H27" s="892"/>
      <c r="I27" s="891"/>
    </row>
    <row r="28" spans="1:11" s="889" customFormat="1" ht="30">
      <c r="A28" s="885">
        <v>5</v>
      </c>
      <c r="B28" s="885">
        <v>34824</v>
      </c>
      <c r="C28" s="886" t="s">
        <v>1902</v>
      </c>
      <c r="D28" s="890" t="s">
        <v>161</v>
      </c>
      <c r="E28" s="891">
        <f>SEIG!P35</f>
        <v>18.68</v>
      </c>
      <c r="F28" s="891">
        <f>'lead 1'!M16</f>
        <v>1479.2</v>
      </c>
      <c r="G28" s="891"/>
      <c r="H28" s="892">
        <f>ROUND(F28*E28/1,0)</f>
        <v>27631</v>
      </c>
      <c r="I28" s="891">
        <f>SUM(G28:H28)</f>
        <v>27631</v>
      </c>
    </row>
    <row r="29" spans="1:11" s="889" customFormat="1" ht="15">
      <c r="A29" s="885"/>
      <c r="B29" s="885"/>
      <c r="C29" s="886"/>
      <c r="D29" s="890"/>
      <c r="E29" s="891"/>
      <c r="F29" s="891"/>
      <c r="G29" s="891"/>
      <c r="H29" s="892"/>
      <c r="I29" s="891"/>
    </row>
    <row r="30" spans="1:11" s="889" customFormat="1" ht="15">
      <c r="A30" s="885">
        <v>6</v>
      </c>
      <c r="B30" s="885">
        <v>34825</v>
      </c>
      <c r="C30" s="886" t="s">
        <v>1903</v>
      </c>
      <c r="D30" s="890" t="s">
        <v>1667</v>
      </c>
      <c r="E30" s="891">
        <v>1</v>
      </c>
      <c r="F30" s="897">
        <f>J30-K30</f>
        <v>956043</v>
      </c>
      <c r="G30" s="891"/>
      <c r="H30" s="892">
        <f>ROUND(F30*E30/1,0)</f>
        <v>956043</v>
      </c>
      <c r="I30" s="891">
        <f>SUM(G30:H30)</f>
        <v>956043</v>
      </c>
      <c r="J30" s="888">
        <f>abstract!D15</f>
        <v>1526843</v>
      </c>
      <c r="K30" s="888">
        <f>I18+I20+I22+I24+I26+I28+I32+I34</f>
        <v>570800</v>
      </c>
    </row>
    <row r="31" spans="1:11" s="889" customFormat="1" ht="15">
      <c r="A31" s="885"/>
      <c r="B31" s="885"/>
      <c r="C31" s="886"/>
      <c r="D31" s="890"/>
      <c r="E31" s="891"/>
      <c r="F31" s="897"/>
      <c r="G31" s="891"/>
      <c r="H31" s="892"/>
      <c r="I31" s="891"/>
    </row>
    <row r="32" spans="1:11" s="889" customFormat="1" ht="15">
      <c r="A32" s="885">
        <v>7</v>
      </c>
      <c r="B32" s="885">
        <v>30832</v>
      </c>
      <c r="C32" s="886" t="s">
        <v>1904</v>
      </c>
      <c r="D32" s="890" t="s">
        <v>161</v>
      </c>
      <c r="E32" s="891">
        <f>SEIG!N35</f>
        <v>29.97</v>
      </c>
      <c r="F32" s="891">
        <f>'lead 1'!M13</f>
        <v>1469.4</v>
      </c>
      <c r="G32" s="896"/>
      <c r="H32" s="892">
        <f>ROUND(F32*E32/1,0)</f>
        <v>44038</v>
      </c>
      <c r="I32" s="891">
        <f>SUM(G32:H32)</f>
        <v>44038</v>
      </c>
    </row>
    <row r="33" spans="1:11" s="889" customFormat="1" ht="15">
      <c r="A33" s="885"/>
      <c r="B33" s="885"/>
      <c r="C33" s="886"/>
      <c r="D33" s="890"/>
      <c r="E33" s="891"/>
      <c r="F33" s="897"/>
      <c r="G33" s="891"/>
      <c r="H33" s="892"/>
      <c r="I33" s="891"/>
    </row>
    <row r="34" spans="1:11" s="889" customFormat="1" ht="30">
      <c r="A34" s="885">
        <v>8</v>
      </c>
      <c r="B34" s="885">
        <v>35253</v>
      </c>
      <c r="C34" s="886" t="s">
        <v>1905</v>
      </c>
      <c r="D34" s="890" t="s">
        <v>604</v>
      </c>
      <c r="E34" s="891">
        <f>SEIG!W37</f>
        <v>4</v>
      </c>
      <c r="F34" s="891">
        <f>'lead 1'!M9</f>
        <v>38500</v>
      </c>
      <c r="G34" s="896"/>
      <c r="H34" s="892">
        <f>'ground floor'!K404+'ground floor'!K407+'first floor'!K257</f>
        <v>204820</v>
      </c>
      <c r="I34" s="891">
        <f>SUM(G34:H34)</f>
        <v>204820</v>
      </c>
    </row>
    <row r="35" spans="1:11" s="889" customFormat="1" ht="15">
      <c r="A35" s="885"/>
      <c r="B35" s="885"/>
      <c r="C35" s="886"/>
      <c r="D35" s="890"/>
      <c r="E35" s="891"/>
      <c r="F35" s="898"/>
      <c r="G35" s="896"/>
      <c r="H35" s="892"/>
      <c r="I35" s="891"/>
    </row>
    <row r="36" spans="1:11" s="889" customFormat="1" ht="15">
      <c r="A36" s="885"/>
      <c r="B36" s="885"/>
      <c r="C36" s="899"/>
      <c r="D36" s="890"/>
      <c r="E36" s="890"/>
      <c r="F36" s="890"/>
      <c r="G36" s="887"/>
      <c r="H36" s="894"/>
      <c r="I36" s="891">
        <f>SUM(I17:I34)</f>
        <v>1526843</v>
      </c>
      <c r="J36" s="888">
        <f>I36+I37+I39+I38</f>
        <v>1696400</v>
      </c>
    </row>
    <row r="37" spans="1:11" s="889" customFormat="1" ht="18" customHeight="1">
      <c r="A37" s="885">
        <v>9</v>
      </c>
      <c r="B37" s="885"/>
      <c r="C37" s="887" t="s">
        <v>1906</v>
      </c>
      <c r="D37" s="890"/>
      <c r="E37" s="900">
        <f>I36-I18</f>
        <v>1516593</v>
      </c>
      <c r="F37" s="887" t="s">
        <v>1907</v>
      </c>
      <c r="G37" s="891"/>
      <c r="H37" s="890"/>
      <c r="I37" s="890">
        <f>ROUND(E37*0.5%,0)</f>
        <v>7583</v>
      </c>
    </row>
    <row r="38" spans="1:11" s="889" customFormat="1" ht="30">
      <c r="A38" s="885">
        <v>10</v>
      </c>
      <c r="B38" s="885">
        <v>34829</v>
      </c>
      <c r="C38" s="886" t="s">
        <v>1929</v>
      </c>
      <c r="D38" s="890" t="s">
        <v>1667</v>
      </c>
      <c r="E38" s="891">
        <v>1</v>
      </c>
      <c r="F38" s="897">
        <f>abstract!D16+abstract!D21</f>
        <v>144517</v>
      </c>
      <c r="G38" s="891"/>
      <c r="H38" s="892">
        <f>ROUND(F38*E38/1,0)</f>
        <v>144517</v>
      </c>
      <c r="I38" s="891">
        <f>SUM(G38:H38)</f>
        <v>144517</v>
      </c>
      <c r="J38" s="888">
        <f>[3]abstract!M22</f>
        <v>0</v>
      </c>
    </row>
    <row r="39" spans="1:11" s="889" customFormat="1" ht="18" customHeight="1">
      <c r="A39" s="885">
        <v>11</v>
      </c>
      <c r="B39" s="885">
        <v>34827</v>
      </c>
      <c r="C39" s="887" t="s">
        <v>850</v>
      </c>
      <c r="D39" s="890"/>
      <c r="E39" s="887"/>
      <c r="F39" s="887"/>
      <c r="G39" s="891"/>
      <c r="H39" s="890"/>
      <c r="I39" s="890">
        <f>abstract!D18</f>
        <v>17457</v>
      </c>
    </row>
    <row r="40" spans="1:11" s="889" customFormat="1" ht="18" customHeight="1">
      <c r="A40" s="885">
        <v>12</v>
      </c>
      <c r="B40" s="885">
        <v>34146</v>
      </c>
      <c r="C40" s="887" t="s">
        <v>1908</v>
      </c>
      <c r="D40" s="890"/>
      <c r="E40" s="887"/>
      <c r="F40" s="887"/>
      <c r="G40" s="891"/>
      <c r="H40" s="890"/>
      <c r="I40" s="890">
        <f>abstract!D20</f>
        <v>3600</v>
      </c>
    </row>
    <row r="41" spans="1:11" ht="15">
      <c r="A41" s="885"/>
      <c r="B41" s="901"/>
      <c r="C41" s="902"/>
      <c r="D41" s="902"/>
      <c r="E41" s="902"/>
      <c r="F41" s="902"/>
      <c r="G41" s="903"/>
      <c r="H41" s="903"/>
      <c r="I41" s="904">
        <f>SUM(I36:I40)</f>
        <v>1700000</v>
      </c>
      <c r="J41" s="905"/>
      <c r="K41" s="905">
        <f>J41-I41</f>
        <v>-1700000</v>
      </c>
    </row>
    <row r="45" spans="1:11">
      <c r="D45" s="906" t="str">
        <f>'lead 1'!I37</f>
        <v>Deputy Executive Engineer</v>
      </c>
      <c r="E45" s="906"/>
      <c r="G45" s="908"/>
      <c r="H45" s="909" t="str">
        <f>'lead 1'!L37</f>
        <v>Assistant Engineer</v>
      </c>
    </row>
    <row r="46" spans="1:11">
      <c r="D46" s="906" t="str">
        <f>'lead 1'!I38</f>
        <v>PRI Sub Division</v>
      </c>
      <c r="E46" s="910"/>
      <c r="G46" s="908"/>
      <c r="H46" s="909" t="str">
        <f>'lead 1'!L38</f>
        <v>Mandal Praja parishad</v>
      </c>
    </row>
    <row r="47" spans="1:11">
      <c r="D47" s="906" t="str">
        <f>'lead 1'!I39</f>
        <v>Kanigiri</v>
      </c>
      <c r="E47" s="910"/>
      <c r="F47" s="910"/>
      <c r="G47" s="883"/>
      <c r="H47" s="909" t="str">
        <f>'lead 1'!L39</f>
        <v>H.M.Padu</v>
      </c>
    </row>
  </sheetData>
  <mergeCells count="3">
    <mergeCell ref="A1:I1"/>
    <mergeCell ref="A2:I2"/>
    <mergeCell ref="E4:G4"/>
  </mergeCells>
  <printOptions horizontalCentered="1"/>
  <pageMargins left="0.38" right="0.16" top="0.22" bottom="0.26" header="0.22" footer="0.3"/>
  <pageSetup paperSize="9" orientation="portrait" r:id="rId1"/>
</worksheet>
</file>

<file path=xl/worksheets/sheet7.xml><?xml version="1.0" encoding="utf-8"?>
<worksheet xmlns="http://schemas.openxmlformats.org/spreadsheetml/2006/main" xmlns:r="http://schemas.openxmlformats.org/officeDocument/2006/relationships">
  <sheetPr>
    <tabColor rgb="FFFF0000"/>
  </sheetPr>
  <dimension ref="A1:P63"/>
  <sheetViews>
    <sheetView topLeftCell="A19" workbookViewId="0">
      <selection activeCell="G44" sqref="G44"/>
    </sheetView>
  </sheetViews>
  <sheetFormatPr defaultRowHeight="12.75"/>
  <cols>
    <col min="1" max="1" width="5.28515625" style="385" customWidth="1"/>
    <col min="2" max="2" width="30.42578125" style="385" customWidth="1"/>
    <col min="3" max="3" width="5" style="385" customWidth="1"/>
    <col min="4" max="4" width="7.28515625" style="385" customWidth="1"/>
    <col min="5" max="5" width="10.85546875" style="385" customWidth="1"/>
    <col min="6" max="6" width="7.140625" style="385" customWidth="1"/>
    <col min="7" max="7" width="10.140625" style="385" customWidth="1"/>
    <col min="8" max="8" width="12.28515625" style="385" customWidth="1"/>
    <col min="9" max="11" width="0" style="385" hidden="1" customWidth="1"/>
    <col min="12" max="12" width="15" style="385" hidden="1" customWidth="1"/>
    <col min="13" max="16384" width="9.140625" style="385"/>
  </cols>
  <sheetData>
    <row r="1" spans="1:8">
      <c r="A1" s="1283" t="s">
        <v>802</v>
      </c>
      <c r="B1" s="1283"/>
      <c r="C1" s="1283"/>
      <c r="D1" s="1283"/>
      <c r="E1" s="1283"/>
      <c r="F1" s="1283"/>
      <c r="G1" s="1283"/>
      <c r="H1" s="1283"/>
    </row>
    <row r="2" spans="1:8">
      <c r="A2" s="1284" t="str">
        <f>'Title page'!D20</f>
        <v>CONSTRUCTION OF NEW  SACHIVALAYAM IN  SALIPETA(V)-II   IN   GUDLUR (M)</v>
      </c>
      <c r="B2" s="1284"/>
      <c r="C2" s="1284"/>
      <c r="D2" s="1284"/>
      <c r="E2" s="1284"/>
      <c r="F2" s="1284"/>
      <c r="G2" s="1284"/>
      <c r="H2" s="1284"/>
    </row>
    <row r="3" spans="1:8">
      <c r="A3" s="385" t="s">
        <v>803</v>
      </c>
    </row>
    <row r="4" spans="1:8">
      <c r="A4" s="1285" t="s">
        <v>804</v>
      </c>
      <c r="B4" s="1285"/>
      <c r="C4" s="1285"/>
      <c r="D4" s="1285"/>
      <c r="E4" s="1285"/>
      <c r="F4" s="1285"/>
      <c r="G4" s="1285"/>
      <c r="H4" s="1285"/>
    </row>
    <row r="5" spans="1:8">
      <c r="A5" s="1285" t="s">
        <v>1372</v>
      </c>
      <c r="B5" s="1285"/>
      <c r="C5" s="1285"/>
      <c r="D5" s="1285"/>
      <c r="E5" s="1285"/>
      <c r="F5" s="1285"/>
      <c r="G5" s="1285"/>
      <c r="H5" s="1285"/>
    </row>
    <row r="6" spans="1:8">
      <c r="A6" s="1285" t="s">
        <v>805</v>
      </c>
      <c r="B6" s="1285"/>
      <c r="C6" s="1285"/>
      <c r="D6" s="1285"/>
      <c r="E6" s="1285"/>
      <c r="F6" s="1285"/>
      <c r="G6" s="1285"/>
      <c r="H6" s="1285"/>
    </row>
    <row r="7" spans="1:8">
      <c r="A7" s="1285" t="s">
        <v>806</v>
      </c>
      <c r="B7" s="1285"/>
      <c r="C7" s="1285"/>
      <c r="D7" s="1285"/>
      <c r="E7" s="1285"/>
      <c r="F7" s="1285"/>
      <c r="G7" s="1285"/>
      <c r="H7" s="1285"/>
    </row>
    <row r="8" spans="1:8">
      <c r="A8" s="1281" t="s">
        <v>807</v>
      </c>
      <c r="B8" s="1281"/>
      <c r="C8" s="1281"/>
      <c r="D8" s="1281"/>
      <c r="E8" s="1281"/>
      <c r="F8" s="1281"/>
      <c r="G8" s="1281"/>
      <c r="H8" s="1281"/>
    </row>
    <row r="9" spans="1:8">
      <c r="A9" s="386" t="s">
        <v>808</v>
      </c>
    </row>
    <row r="10" spans="1:8">
      <c r="B10" s="408" t="s">
        <v>809</v>
      </c>
      <c r="D10" s="387"/>
      <c r="E10" s="387"/>
      <c r="G10" s="408" t="str">
        <f>'Title page'!I2</f>
        <v>KANDUKUR</v>
      </c>
    </row>
    <row r="11" spans="1:8">
      <c r="B11" s="408" t="s">
        <v>810</v>
      </c>
      <c r="D11" s="387"/>
      <c r="E11" s="387"/>
      <c r="F11" s="387"/>
      <c r="G11" s="408" t="str">
        <f>'Title page'!I4</f>
        <v>GUDLUR</v>
      </c>
      <c r="H11" s="387"/>
    </row>
    <row r="12" spans="1:8">
      <c r="B12" s="408" t="s">
        <v>811</v>
      </c>
      <c r="D12" s="409"/>
      <c r="E12" s="409"/>
      <c r="F12" s="409"/>
      <c r="G12" s="408" t="str">
        <f>'Title page'!I5</f>
        <v>SALIPETA</v>
      </c>
      <c r="H12" s="409"/>
    </row>
    <row r="13" spans="1:8">
      <c r="B13" s="408" t="s">
        <v>812</v>
      </c>
      <c r="D13" s="387"/>
      <c r="E13" s="387"/>
      <c r="F13" s="387"/>
      <c r="G13" s="408" t="str">
        <f>G12</f>
        <v>SALIPETA</v>
      </c>
      <c r="H13" s="387"/>
    </row>
    <row r="14" spans="1:8">
      <c r="A14" s="388">
        <v>1</v>
      </c>
      <c r="B14" s="389" t="s">
        <v>813</v>
      </c>
      <c r="C14" s="389"/>
      <c r="D14" s="389"/>
      <c r="E14" s="389"/>
      <c r="F14" s="389"/>
      <c r="G14" s="389"/>
      <c r="H14" s="389"/>
    </row>
    <row r="15" spans="1:8">
      <c r="A15" s="388">
        <v>2</v>
      </c>
      <c r="B15" s="389" t="s">
        <v>814</v>
      </c>
      <c r="C15" s="390"/>
      <c r="D15" s="389"/>
      <c r="E15" s="389"/>
      <c r="F15" s="389"/>
      <c r="G15" s="389"/>
      <c r="H15" s="389"/>
    </row>
    <row r="16" spans="1:8">
      <c r="A16" s="388">
        <v>3</v>
      </c>
      <c r="B16" s="389" t="s">
        <v>815</v>
      </c>
      <c r="D16" s="389"/>
      <c r="F16" s="391"/>
      <c r="G16" s="389"/>
      <c r="H16" s="389"/>
    </row>
    <row r="17" spans="1:14">
      <c r="A17" s="388">
        <v>4</v>
      </c>
      <c r="B17" s="389" t="s">
        <v>838</v>
      </c>
      <c r="D17" s="389"/>
      <c r="F17" s="391"/>
      <c r="G17" s="389"/>
      <c r="H17" s="389"/>
    </row>
    <row r="18" spans="1:14">
      <c r="A18" s="388">
        <v>5</v>
      </c>
      <c r="B18" s="389" t="s">
        <v>837</v>
      </c>
      <c r="C18" s="391"/>
      <c r="D18" s="389"/>
      <c r="F18" s="389"/>
      <c r="G18" s="389"/>
      <c r="H18" s="389"/>
    </row>
    <row r="19" spans="1:14">
      <c r="A19" s="388"/>
      <c r="B19" s="389" t="s">
        <v>816</v>
      </c>
      <c r="D19" s="389"/>
      <c r="F19" s="391"/>
      <c r="G19" s="389"/>
      <c r="H19" s="389"/>
    </row>
    <row r="20" spans="1:14">
      <c r="A20" s="388">
        <v>6</v>
      </c>
      <c r="B20" s="389" t="s">
        <v>817</v>
      </c>
      <c r="F20" s="389"/>
      <c r="G20" s="389"/>
      <c r="H20" s="389"/>
    </row>
    <row r="21" spans="1:14">
      <c r="A21" s="388">
        <v>7</v>
      </c>
      <c r="B21" s="389" t="s">
        <v>818</v>
      </c>
      <c r="C21" s="392"/>
      <c r="D21" s="389"/>
      <c r="E21" s="389"/>
      <c r="F21" s="389"/>
      <c r="G21" s="389"/>
      <c r="H21" s="389"/>
    </row>
    <row r="22" spans="1:14">
      <c r="B22" s="1282" t="s">
        <v>819</v>
      </c>
      <c r="C22" s="1282"/>
      <c r="D22" s="1282"/>
      <c r="E22" s="1282"/>
      <c r="F22" s="1282"/>
      <c r="G22" s="1282"/>
      <c r="H22" s="1282"/>
    </row>
    <row r="23" spans="1:14">
      <c r="A23" s="1286" t="s">
        <v>820</v>
      </c>
      <c r="B23" s="1286"/>
      <c r="C23" s="1286"/>
      <c r="D23" s="1286"/>
      <c r="E23" s="1286"/>
      <c r="F23" s="1286"/>
      <c r="G23" s="1286"/>
      <c r="H23" s="1286"/>
    </row>
    <row r="25" spans="1:14" ht="25.5">
      <c r="A25" s="1280" t="s">
        <v>821</v>
      </c>
      <c r="B25" s="1280" t="s">
        <v>822</v>
      </c>
      <c r="C25" s="1280" t="s">
        <v>155</v>
      </c>
      <c r="D25" s="1280" t="s">
        <v>823</v>
      </c>
      <c r="E25" s="1280" t="s">
        <v>100</v>
      </c>
      <c r="F25" s="1280" t="s">
        <v>155</v>
      </c>
      <c r="G25" s="393" t="s">
        <v>824</v>
      </c>
      <c r="H25" s="393" t="s">
        <v>102</v>
      </c>
      <c r="I25" s="1280" t="s">
        <v>100</v>
      </c>
      <c r="J25" s="1280" t="s">
        <v>155</v>
      </c>
      <c r="K25" s="441" t="s">
        <v>824</v>
      </c>
      <c r="L25" s="441" t="s">
        <v>102</v>
      </c>
    </row>
    <row r="26" spans="1:14">
      <c r="A26" s="1280"/>
      <c r="B26" s="1280"/>
      <c r="C26" s="1280"/>
      <c r="D26" s="1280"/>
      <c r="E26" s="1280"/>
      <c r="F26" s="1280"/>
      <c r="G26" s="393" t="s">
        <v>825</v>
      </c>
      <c r="H26" s="393" t="s">
        <v>826</v>
      </c>
      <c r="I26" s="1280"/>
      <c r="J26" s="1280"/>
      <c r="K26" s="441" t="s">
        <v>825</v>
      </c>
      <c r="L26" s="441" t="s">
        <v>826</v>
      </c>
    </row>
    <row r="27" spans="1:14" ht="25.5" customHeight="1">
      <c r="A27" s="394">
        <v>1</v>
      </c>
      <c r="B27" s="395" t="s">
        <v>839</v>
      </c>
      <c r="C27" s="395" t="s">
        <v>827</v>
      </c>
      <c r="D27" s="395">
        <v>34816</v>
      </c>
      <c r="E27" s="396">
        <f>'ground floor'!L410/G27</f>
        <v>48.194312796208528</v>
      </c>
      <c r="F27" s="396" t="s">
        <v>827</v>
      </c>
      <c r="G27" s="396">
        <v>211</v>
      </c>
      <c r="H27" s="397">
        <f>ROUND(E27*G27,0)</f>
        <v>10169</v>
      </c>
      <c r="I27" s="396" t="e">
        <f>L27/K27</f>
        <v>#REF!</v>
      </c>
      <c r="J27" s="396" t="s">
        <v>827</v>
      </c>
      <c r="K27" s="396">
        <v>211</v>
      </c>
      <c r="L27" s="397" t="e">
        <f>'ground floor'!#REF!</f>
        <v>#REF!</v>
      </c>
    </row>
    <row r="28" spans="1:14" ht="25.5" customHeight="1">
      <c r="A28" s="394">
        <v>2</v>
      </c>
      <c r="B28" s="395" t="s">
        <v>840</v>
      </c>
      <c r="C28" s="395" t="s">
        <v>828</v>
      </c>
      <c r="D28" s="395">
        <v>34817</v>
      </c>
      <c r="E28" s="396">
        <f>H28/G28</f>
        <v>533.57674418604654</v>
      </c>
      <c r="F28" s="396" t="s">
        <v>828</v>
      </c>
      <c r="G28" s="396">
        <f>ROUND(('lead 1'!M8/1000)*50,2)</f>
        <v>215</v>
      </c>
      <c r="H28" s="397">
        <f>ROUND('ground floor'!M410+'first floor'!M274,0)</f>
        <v>114719</v>
      </c>
      <c r="I28" s="396">
        <f>L28/K28</f>
        <v>308.56914666666671</v>
      </c>
      <c r="J28" s="396" t="s">
        <v>828</v>
      </c>
      <c r="K28" s="396">
        <v>187.5</v>
      </c>
      <c r="L28" s="397">
        <f>seignorage!N28*'lead 1'!M8/1000</f>
        <v>57856.715000000011</v>
      </c>
    </row>
    <row r="29" spans="1:14" ht="25.5" customHeight="1">
      <c r="A29" s="393">
        <v>3</v>
      </c>
      <c r="B29" s="410" t="s">
        <v>841</v>
      </c>
      <c r="C29" s="410" t="s">
        <v>112</v>
      </c>
      <c r="D29" s="410">
        <v>34818</v>
      </c>
      <c r="E29" s="396">
        <f>H29/G29</f>
        <v>52.043615107913666</v>
      </c>
      <c r="F29" s="396" t="s">
        <v>829</v>
      </c>
      <c r="G29" s="396">
        <f>'lead 1'!M14</f>
        <v>1334.4</v>
      </c>
      <c r="H29" s="397">
        <f>ROUND('ground floor'!N410+'first floor'!N274,0)</f>
        <v>69447</v>
      </c>
      <c r="I29" s="396">
        <f>seignorage!K28</f>
        <v>49.1</v>
      </c>
      <c r="J29" s="396" t="s">
        <v>829</v>
      </c>
      <c r="K29" s="396">
        <f>'lead 1'!M14</f>
        <v>1334.4</v>
      </c>
      <c r="L29" s="397">
        <f>ROUND(K29*I29,0)</f>
        <v>65519</v>
      </c>
    </row>
    <row r="30" spans="1:14" ht="25.5" customHeight="1">
      <c r="A30" s="394">
        <v>4</v>
      </c>
      <c r="B30" s="395" t="s">
        <v>977</v>
      </c>
      <c r="C30" s="395" t="s">
        <v>112</v>
      </c>
      <c r="D30" s="395">
        <v>34819</v>
      </c>
      <c r="E30" s="396">
        <f>H30/G30</f>
        <v>13.237382212469342</v>
      </c>
      <c r="F30" s="396" t="s">
        <v>830</v>
      </c>
      <c r="G30" s="396">
        <f>'lead 1'!M12</f>
        <v>1549.4</v>
      </c>
      <c r="H30" s="397">
        <f>ROUND('ground floor'!O410+'first floor'!O274,0)</f>
        <v>20510</v>
      </c>
      <c r="I30" s="396">
        <f>seignorage!L28</f>
        <v>13.09</v>
      </c>
      <c r="J30" s="396" t="s">
        <v>830</v>
      </c>
      <c r="K30" s="396">
        <f>'lead 1'!M12</f>
        <v>1549.4</v>
      </c>
      <c r="L30" s="397">
        <f>ROUND(K30*I30,0)</f>
        <v>20282</v>
      </c>
      <c r="N30" s="447"/>
    </row>
    <row r="31" spans="1:14" ht="51.75" customHeight="1">
      <c r="A31" s="393">
        <v>5</v>
      </c>
      <c r="B31" s="410" t="s">
        <v>842</v>
      </c>
      <c r="C31" s="410" t="s">
        <v>112</v>
      </c>
      <c r="D31" s="410">
        <v>34820</v>
      </c>
      <c r="E31" s="396"/>
      <c r="F31" s="396"/>
      <c r="G31" s="396"/>
      <c r="H31" s="397"/>
      <c r="I31" s="396"/>
      <c r="J31" s="396"/>
      <c r="K31" s="396"/>
      <c r="L31" s="397"/>
    </row>
    <row r="32" spans="1:14" ht="48" customHeight="1">
      <c r="A32" s="393">
        <v>6</v>
      </c>
      <c r="B32" s="410" t="s">
        <v>843</v>
      </c>
      <c r="C32" s="410" t="s">
        <v>112</v>
      </c>
      <c r="D32" s="410">
        <v>34821</v>
      </c>
      <c r="E32" s="396"/>
      <c r="F32" s="396"/>
      <c r="G32" s="396"/>
      <c r="H32" s="397"/>
      <c r="I32" s="396"/>
      <c r="J32" s="396"/>
      <c r="K32" s="396"/>
      <c r="L32" s="397"/>
    </row>
    <row r="33" spans="1:16" s="472" customFormat="1" ht="48" customHeight="1">
      <c r="A33" s="468">
        <v>5</v>
      </c>
      <c r="B33" s="469" t="s">
        <v>844</v>
      </c>
      <c r="C33" s="469" t="s">
        <v>112</v>
      </c>
      <c r="D33" s="469">
        <v>34822</v>
      </c>
      <c r="E33" s="470">
        <f>H33/G33</f>
        <v>41.238976830804617</v>
      </c>
      <c r="F33" s="470" t="s">
        <v>830</v>
      </c>
      <c r="G33" s="470">
        <f>data1!F13</f>
        <v>1460.5600000000002</v>
      </c>
      <c r="H33" s="471">
        <f>ROUND('ground floor'!Q410+'first floor'!Q274,0)</f>
        <v>60232</v>
      </c>
      <c r="I33" s="470">
        <f>seignorage!F30</f>
        <v>18.409999999999997</v>
      </c>
      <c r="J33" s="470" t="s">
        <v>830</v>
      </c>
      <c r="K33" s="470">
        <f>data1!F13</f>
        <v>1460.5600000000002</v>
      </c>
      <c r="L33" s="471">
        <f>ROUND(K33*I33,0)</f>
        <v>26889</v>
      </c>
    </row>
    <row r="34" spans="1:16" ht="40.5" customHeight="1">
      <c r="A34" s="394">
        <v>5</v>
      </c>
      <c r="B34" s="399" t="s">
        <v>845</v>
      </c>
      <c r="C34" s="395" t="s">
        <v>112</v>
      </c>
      <c r="D34" s="395">
        <v>34823</v>
      </c>
      <c r="E34" s="396"/>
      <c r="F34" s="396"/>
      <c r="G34" s="396"/>
      <c r="H34" s="397"/>
      <c r="I34" s="396"/>
      <c r="J34" s="396"/>
      <c r="K34" s="396"/>
      <c r="L34" s="397"/>
    </row>
    <row r="35" spans="1:16" s="472" customFormat="1" ht="24" customHeight="1">
      <c r="A35" s="473">
        <v>6</v>
      </c>
      <c r="B35" s="474" t="s">
        <v>846</v>
      </c>
      <c r="C35" s="474" t="s">
        <v>112</v>
      </c>
      <c r="D35" s="474">
        <v>34824</v>
      </c>
      <c r="E35" s="470">
        <f>H35/G35</f>
        <v>18.683747971876688</v>
      </c>
      <c r="F35" s="470" t="s">
        <v>830</v>
      </c>
      <c r="G35" s="470">
        <f>'lead 1'!M16</f>
        <v>1479.2</v>
      </c>
      <c r="H35" s="471">
        <f>ROUND('ground floor'!R410,0)</f>
        <v>27637</v>
      </c>
      <c r="I35" s="470">
        <f>seignorage!F31</f>
        <v>18.68</v>
      </c>
      <c r="J35" s="470" t="s">
        <v>830</v>
      </c>
      <c r="K35" s="470">
        <f>'lead 1'!M16</f>
        <v>1479.2</v>
      </c>
      <c r="L35" s="471">
        <f>ROUND(K35*I35,0)</f>
        <v>27631</v>
      </c>
    </row>
    <row r="36" spans="1:16" ht="25.5">
      <c r="A36" s="1280">
        <v>10</v>
      </c>
      <c r="B36" s="410" t="s">
        <v>851</v>
      </c>
      <c r="C36" s="410" t="s">
        <v>831</v>
      </c>
      <c r="D36" s="410">
        <v>34828</v>
      </c>
      <c r="E36" s="412"/>
      <c r="F36" s="412"/>
      <c r="G36" s="412"/>
      <c r="H36" s="397"/>
      <c r="I36" s="412"/>
      <c r="J36" s="412"/>
      <c r="K36" s="412"/>
      <c r="L36" s="397"/>
    </row>
    <row r="37" spans="1:16" ht="25.5">
      <c r="A37" s="1280"/>
      <c r="B37" s="410" t="s">
        <v>832</v>
      </c>
      <c r="C37" s="410" t="s">
        <v>831</v>
      </c>
      <c r="D37" s="410">
        <v>34828</v>
      </c>
      <c r="E37" s="412"/>
      <c r="F37" s="412"/>
      <c r="G37" s="412"/>
      <c r="H37" s="397"/>
      <c r="I37" s="412"/>
      <c r="J37" s="412"/>
      <c r="K37" s="412"/>
      <c r="L37" s="397"/>
    </row>
    <row r="38" spans="1:16" ht="25.5">
      <c r="A38" s="1280"/>
      <c r="B38" s="410" t="s">
        <v>833</v>
      </c>
      <c r="C38" s="410" t="s">
        <v>831</v>
      </c>
      <c r="D38" s="410">
        <v>34828</v>
      </c>
      <c r="E38" s="412"/>
      <c r="F38" s="412"/>
      <c r="G38" s="412"/>
      <c r="H38" s="397"/>
      <c r="I38" s="412"/>
      <c r="J38" s="412"/>
      <c r="K38" s="412"/>
      <c r="L38" s="397"/>
    </row>
    <row r="39" spans="1:16" ht="25.5">
      <c r="A39" s="393">
        <v>11</v>
      </c>
      <c r="B39" s="410" t="s">
        <v>853</v>
      </c>
      <c r="C39" s="410" t="s">
        <v>831</v>
      </c>
      <c r="D39" s="410">
        <v>34831</v>
      </c>
      <c r="E39" s="396"/>
      <c r="F39" s="396"/>
      <c r="G39" s="396"/>
      <c r="H39" s="397"/>
      <c r="I39" s="396"/>
      <c r="J39" s="396"/>
      <c r="K39" s="396"/>
      <c r="L39" s="397"/>
    </row>
    <row r="40" spans="1:16" ht="25.5">
      <c r="A40" s="393"/>
      <c r="B40" s="410" t="s">
        <v>832</v>
      </c>
      <c r="C40" s="410" t="s">
        <v>831</v>
      </c>
      <c r="D40" s="410">
        <v>34831</v>
      </c>
      <c r="E40" s="396"/>
      <c r="F40" s="396"/>
      <c r="G40" s="396"/>
      <c r="H40" s="397"/>
      <c r="I40" s="396"/>
      <c r="J40" s="396"/>
      <c r="K40" s="396"/>
      <c r="L40" s="397"/>
    </row>
    <row r="41" spans="1:16" ht="25.5">
      <c r="A41" s="393"/>
      <c r="B41" s="410" t="s">
        <v>833</v>
      </c>
      <c r="C41" s="410" t="s">
        <v>831</v>
      </c>
      <c r="D41" s="410">
        <v>34831</v>
      </c>
      <c r="E41" s="396"/>
      <c r="F41" s="396"/>
      <c r="G41" s="396"/>
      <c r="H41" s="397"/>
      <c r="I41" s="396"/>
      <c r="J41" s="396"/>
      <c r="K41" s="396"/>
      <c r="L41" s="397"/>
    </row>
    <row r="42" spans="1:16" s="472" customFormat="1" ht="67.5" customHeight="1">
      <c r="A42" s="468">
        <v>7</v>
      </c>
      <c r="B42" s="475" t="s">
        <v>847</v>
      </c>
      <c r="C42" s="469" t="s">
        <v>438</v>
      </c>
      <c r="D42" s="469">
        <v>34825</v>
      </c>
      <c r="E42" s="470"/>
      <c r="F42" s="470"/>
      <c r="G42" s="470"/>
      <c r="H42" s="471">
        <f>ROUND('ground floor'!T410+'first floor'!T274,0)</f>
        <v>900371</v>
      </c>
      <c r="I42" s="470"/>
      <c r="J42" s="470"/>
      <c r="K42" s="470"/>
      <c r="L42" s="471">
        <f>'ground floor'!T410+'first floor'!T274</f>
        <v>900370.97</v>
      </c>
    </row>
    <row r="43" spans="1:16" s="472" customFormat="1" ht="67.5" customHeight="1">
      <c r="A43" s="468"/>
      <c r="B43" s="475" t="s">
        <v>1323</v>
      </c>
      <c r="C43" s="469"/>
      <c r="D43" s="469"/>
      <c r="E43" s="470"/>
      <c r="F43" s="470"/>
      <c r="G43" s="470"/>
      <c r="H43" s="471">
        <f>abstract!D19</f>
        <v>0</v>
      </c>
      <c r="I43" s="470"/>
      <c r="J43" s="470"/>
      <c r="K43" s="470"/>
      <c r="L43" s="471"/>
    </row>
    <row r="44" spans="1:16" ht="19.5" customHeight="1">
      <c r="A44" s="393"/>
      <c r="B44" s="411" t="s">
        <v>854</v>
      </c>
      <c r="C44" s="410"/>
      <c r="D44" s="410">
        <v>34832</v>
      </c>
      <c r="E44" s="396">
        <f>H44/G44</f>
        <v>42.720323741007192</v>
      </c>
      <c r="F44" s="396" t="s">
        <v>830</v>
      </c>
      <c r="G44" s="396">
        <f>'lead 1'!M14</f>
        <v>1334.4</v>
      </c>
      <c r="H44" s="397">
        <f>ROUND('ground floor'!P410+'first floor'!P274,0)</f>
        <v>57006</v>
      </c>
      <c r="I44" s="396">
        <f>seignorage!F32</f>
        <v>26.929999999999996</v>
      </c>
      <c r="J44" s="396" t="s">
        <v>830</v>
      </c>
      <c r="K44" s="396">
        <f>'lead 1'!M14</f>
        <v>1334.4</v>
      </c>
      <c r="L44" s="397">
        <f>ROUND(K44*I44,0)</f>
        <v>35935</v>
      </c>
    </row>
    <row r="45" spans="1:16" ht="19.5" customHeight="1">
      <c r="A45" s="393"/>
      <c r="B45" s="411" t="s">
        <v>855</v>
      </c>
      <c r="C45" s="410"/>
      <c r="D45" s="410">
        <v>35253</v>
      </c>
      <c r="E45" s="396">
        <f>+('ground floor'!I407+'first floor'!I257)/1000</f>
        <v>4</v>
      </c>
      <c r="F45" s="396" t="s">
        <v>945</v>
      </c>
      <c r="G45" s="396">
        <f>'lead 1'!M9</f>
        <v>38500</v>
      </c>
      <c r="H45" s="397">
        <f>'ground floor'!S410+'first floor'!S274</f>
        <v>161700</v>
      </c>
      <c r="I45" s="396">
        <f>'ground floor'!I407+'first floor'!I257</f>
        <v>4000</v>
      </c>
      <c r="J45" s="396" t="s">
        <v>945</v>
      </c>
      <c r="K45" s="396">
        <f>'lead 1'!M9*1.05</f>
        <v>40425</v>
      </c>
      <c r="L45" s="397">
        <f>ROUND((K45*I45)/1000,2)</f>
        <v>161700</v>
      </c>
      <c r="P45" s="467"/>
    </row>
    <row r="46" spans="1:16" ht="19.5" customHeight="1">
      <c r="A46" s="393"/>
      <c r="B46" s="411" t="s">
        <v>856</v>
      </c>
      <c r="C46" s="410"/>
      <c r="D46" s="410">
        <v>35270</v>
      </c>
      <c r="E46" s="396"/>
      <c r="F46" s="396"/>
      <c r="G46" s="396"/>
      <c r="H46" s="397"/>
      <c r="I46" s="396"/>
      <c r="J46" s="396"/>
      <c r="K46" s="396"/>
      <c r="L46" s="397"/>
    </row>
    <row r="47" spans="1:16" ht="27.75" customHeight="1">
      <c r="A47" s="393"/>
      <c r="B47" s="411" t="s">
        <v>857</v>
      </c>
      <c r="C47" s="410"/>
      <c r="D47" s="410">
        <v>34146</v>
      </c>
      <c r="E47" s="396"/>
      <c r="F47" s="396"/>
      <c r="G47" s="396"/>
      <c r="H47" s="397"/>
      <c r="I47" s="396"/>
      <c r="J47" s="396"/>
      <c r="K47" s="396"/>
      <c r="L47" s="397"/>
    </row>
    <row r="48" spans="1:16" ht="27.75" customHeight="1">
      <c r="A48" s="393"/>
      <c r="B48" s="411" t="s">
        <v>858</v>
      </c>
      <c r="C48" s="410"/>
      <c r="D48" s="410">
        <v>34461</v>
      </c>
      <c r="E48" s="396"/>
      <c r="F48" s="396"/>
      <c r="G48" s="396"/>
      <c r="H48" s="397"/>
      <c r="I48" s="396"/>
      <c r="J48" s="396"/>
      <c r="K48" s="396"/>
      <c r="L48" s="397"/>
    </row>
    <row r="49" spans="1:14">
      <c r="A49" s="394">
        <v>8</v>
      </c>
      <c r="B49" s="398" t="s">
        <v>848</v>
      </c>
      <c r="C49" s="395" t="s">
        <v>438</v>
      </c>
      <c r="D49" s="395"/>
      <c r="E49" s="396"/>
      <c r="F49" s="396"/>
      <c r="G49" s="396"/>
      <c r="H49" s="397">
        <f>+abstract!D16</f>
        <v>130655</v>
      </c>
      <c r="I49" s="396"/>
      <c r="J49" s="396"/>
      <c r="K49" s="396"/>
      <c r="L49" s="397"/>
    </row>
    <row r="50" spans="1:14">
      <c r="A50" s="393">
        <v>9</v>
      </c>
      <c r="B50" s="410" t="s">
        <v>849</v>
      </c>
      <c r="C50" s="410" t="s">
        <v>438</v>
      </c>
      <c r="D50" s="410">
        <v>34826</v>
      </c>
      <c r="E50" s="396"/>
      <c r="F50" s="396"/>
      <c r="G50" s="396"/>
      <c r="H50" s="397">
        <f>abstract!D17</f>
        <v>7583</v>
      </c>
      <c r="I50" s="396"/>
      <c r="J50" s="396"/>
      <c r="K50" s="396"/>
      <c r="L50" s="397">
        <f>abstract!H17</f>
        <v>0</v>
      </c>
    </row>
    <row r="51" spans="1:14">
      <c r="A51" s="393">
        <v>10</v>
      </c>
      <c r="B51" s="410" t="s">
        <v>850</v>
      </c>
      <c r="C51" s="410" t="s">
        <v>438</v>
      </c>
      <c r="D51" s="410">
        <v>34827</v>
      </c>
      <c r="E51" s="396"/>
      <c r="F51" s="396"/>
      <c r="G51" s="396"/>
      <c r="H51" s="397">
        <f>seignorage!J36</f>
        <v>8525</v>
      </c>
      <c r="I51" s="396"/>
      <c r="J51" s="396"/>
      <c r="K51" s="396"/>
      <c r="L51" s="397">
        <f>seignorage!J36</f>
        <v>8525</v>
      </c>
    </row>
    <row r="52" spans="1:14" ht="25.5">
      <c r="A52" s="394">
        <v>11</v>
      </c>
      <c r="B52" s="398" t="s">
        <v>834</v>
      </c>
      <c r="C52" s="395"/>
      <c r="D52" s="395"/>
      <c r="E52" s="396"/>
      <c r="F52" s="396"/>
      <c r="G52" s="396"/>
      <c r="H52" s="397"/>
      <c r="I52" s="396"/>
      <c r="J52" s="396"/>
      <c r="K52" s="396"/>
      <c r="L52" s="397"/>
    </row>
    <row r="53" spans="1:14" ht="25.5">
      <c r="A53" s="393">
        <v>12</v>
      </c>
      <c r="B53" s="410" t="s">
        <v>852</v>
      </c>
      <c r="C53" s="410" t="s">
        <v>438</v>
      </c>
      <c r="D53" s="410">
        <v>34829</v>
      </c>
      <c r="E53" s="396"/>
      <c r="F53" s="396"/>
      <c r="G53" s="396"/>
      <c r="H53" s="397">
        <f>H54-SUM(H27:H52)</f>
        <v>1931446</v>
      </c>
      <c r="I53" s="396"/>
      <c r="J53" s="396"/>
      <c r="K53" s="396"/>
      <c r="L53" s="397">
        <v>78866.22</v>
      </c>
      <c r="N53" s="447">
        <f>abstract!D21</f>
        <v>13862</v>
      </c>
    </row>
    <row r="54" spans="1:14" s="389" customFormat="1">
      <c r="A54" s="400"/>
      <c r="B54" s="401" t="s">
        <v>835</v>
      </c>
      <c r="C54" s="402"/>
      <c r="D54" s="403"/>
      <c r="E54" s="404"/>
      <c r="F54" s="404"/>
      <c r="G54" s="404"/>
      <c r="H54" s="405">
        <v>3500000</v>
      </c>
      <c r="I54" s="404"/>
      <c r="J54" s="404"/>
      <c r="K54" s="404"/>
      <c r="L54" s="405" t="e">
        <f>SUM(L27:L53)</f>
        <v>#REF!</v>
      </c>
    </row>
    <row r="55" spans="1:14">
      <c r="H55" s="447"/>
      <c r="L55" s="447" t="e">
        <f>L54-3500000</f>
        <v>#REF!</v>
      </c>
    </row>
    <row r="58" spans="1:14">
      <c r="B58" s="406" t="s">
        <v>836</v>
      </c>
      <c r="E58" s="407"/>
      <c r="F58" s="407"/>
      <c r="G58" s="407" t="s">
        <v>860</v>
      </c>
      <c r="H58" s="407"/>
      <c r="J58" s="407"/>
      <c r="K58" s="407"/>
    </row>
    <row r="59" spans="1:14">
      <c r="B59" s="406" t="s">
        <v>1369</v>
      </c>
      <c r="E59" s="407"/>
      <c r="F59" s="407"/>
      <c r="G59" s="407" t="s">
        <v>1370</v>
      </c>
      <c r="H59" s="407"/>
      <c r="J59" s="407"/>
      <c r="K59" s="407"/>
    </row>
    <row r="63" spans="1:14">
      <c r="N63" s="447">
        <f>abstract!D19</f>
        <v>0</v>
      </c>
    </row>
  </sheetData>
  <mergeCells count="18">
    <mergeCell ref="A36:A38"/>
    <mergeCell ref="A23:H23"/>
    <mergeCell ref="A25:A26"/>
    <mergeCell ref="B25:B26"/>
    <mergeCell ref="C25:C26"/>
    <mergeCell ref="D25:D26"/>
    <mergeCell ref="E25:E26"/>
    <mergeCell ref="F25:F26"/>
    <mergeCell ref="I25:I26"/>
    <mergeCell ref="J25:J26"/>
    <mergeCell ref="A8:H8"/>
    <mergeCell ref="B22:H22"/>
    <mergeCell ref="A1:H1"/>
    <mergeCell ref="A2:H2"/>
    <mergeCell ref="A4:H4"/>
    <mergeCell ref="A5:H5"/>
    <mergeCell ref="A6:H6"/>
    <mergeCell ref="A7:H7"/>
  </mergeCells>
  <pageMargins left="0.7" right="0.7" top="0.75" bottom="0.75" header="0.3" footer="0.3"/>
  <pageSetup paperSize="9" orientation="portrait" horizontalDpi="300" verticalDpi="300" r:id="rId1"/>
</worksheet>
</file>

<file path=xl/worksheets/sheet8.xml><?xml version="1.0" encoding="utf-8"?>
<worksheet xmlns="http://schemas.openxmlformats.org/spreadsheetml/2006/main" xmlns:r="http://schemas.openxmlformats.org/officeDocument/2006/relationships">
  <dimension ref="A1:H29"/>
  <sheetViews>
    <sheetView view="pageBreakPreview" topLeftCell="A6" zoomScale="115" zoomScaleSheetLayoutView="115" workbookViewId="0">
      <selection activeCell="B32" sqref="B32"/>
    </sheetView>
  </sheetViews>
  <sheetFormatPr defaultRowHeight="12.75"/>
  <cols>
    <col min="1" max="1" width="6.28515625" style="543" customWidth="1"/>
    <col min="2" max="2" width="49" customWidth="1"/>
    <col min="3" max="3" width="15.7109375" customWidth="1"/>
    <col min="4" max="4" width="12.140625" customWidth="1"/>
    <col min="5" max="5" width="10.5703125" bestFit="1" customWidth="1"/>
  </cols>
  <sheetData>
    <row r="1" spans="1:4" ht="22.5">
      <c r="A1" s="1288" t="s">
        <v>726</v>
      </c>
      <c r="B1" s="1288"/>
      <c r="C1" s="1288"/>
      <c r="D1" s="1288"/>
    </row>
    <row r="2" spans="1:4" ht="39.75" customHeight="1">
      <c r="A2" s="1287" t="str">
        <f>'lead 1'!B2&amp;'lead 1'!C2</f>
        <v>Name of the Work: Constrution of Bharat Nirman Seva Kendra (BNSK) Grama Panchayat building in Gayamvaripalli  GP of H.M.Padu Mandal</v>
      </c>
      <c r="B2" s="1287"/>
      <c r="C2" s="1287"/>
      <c r="D2" s="1287"/>
    </row>
    <row r="3" spans="1:4" ht="22.5" customHeight="1">
      <c r="A3" s="570"/>
      <c r="B3" s="570"/>
      <c r="C3" s="570"/>
      <c r="D3" s="570"/>
    </row>
    <row r="4" spans="1:4">
      <c r="B4" s="484" t="str">
        <f>'Title page'!G22</f>
        <v>Est Cost</v>
      </c>
      <c r="C4" s="800" t="str">
        <f>'lead 1'!K4</f>
        <v>17.00 Lakhs</v>
      </c>
      <c r="D4" s="340"/>
    </row>
    <row r="6" spans="1:4" s="4" customFormat="1" ht="19.5" customHeight="1">
      <c r="A6" s="806" t="s">
        <v>383</v>
      </c>
      <c r="B6" s="807" t="s">
        <v>716</v>
      </c>
      <c r="C6" s="813"/>
      <c r="D6" s="806" t="s">
        <v>272</v>
      </c>
    </row>
    <row r="7" spans="1:4" ht="19.5" customHeight="1">
      <c r="A7" s="802">
        <v>1</v>
      </c>
      <c r="B7" s="808">
        <v>2</v>
      </c>
      <c r="C7" s="814"/>
      <c r="D7" s="802">
        <v>3</v>
      </c>
    </row>
    <row r="8" spans="1:4" s="4" customFormat="1" ht="25.5" customHeight="1">
      <c r="A8" s="803">
        <v>1</v>
      </c>
      <c r="B8" s="809" t="s">
        <v>717</v>
      </c>
      <c r="C8" s="815"/>
      <c r="D8" s="804">
        <f>'ground floor'!K411</f>
        <v>1471734</v>
      </c>
    </row>
    <row r="9" spans="1:4" s="4" customFormat="1" ht="25.5" hidden="1" customHeight="1">
      <c r="A9" s="803">
        <v>2</v>
      </c>
      <c r="B9" s="809" t="s">
        <v>718</v>
      </c>
      <c r="C9" s="815"/>
      <c r="D9" s="804">
        <f>'first floor'!K275</f>
        <v>0</v>
      </c>
    </row>
    <row r="10" spans="1:4" s="4" customFormat="1" ht="25.5" hidden="1" customHeight="1">
      <c r="A10" s="803">
        <v>3</v>
      </c>
      <c r="B10" s="810" t="s">
        <v>1407</v>
      </c>
      <c r="C10" s="816"/>
      <c r="D10" s="804">
        <f>Store!I269</f>
        <v>0</v>
      </c>
    </row>
    <row r="11" spans="1:4" s="4" customFormat="1" ht="25.5" hidden="1" customHeight="1">
      <c r="A11" s="803">
        <v>3</v>
      </c>
      <c r="B11" s="810" t="s">
        <v>723</v>
      </c>
      <c r="C11" s="816"/>
      <c r="D11" s="804"/>
    </row>
    <row r="12" spans="1:4" s="4" customFormat="1" ht="25.5" hidden="1" customHeight="1">
      <c r="A12" s="803">
        <v>4</v>
      </c>
      <c r="B12" s="809" t="s">
        <v>724</v>
      </c>
      <c r="C12" s="815"/>
      <c r="D12" s="804"/>
    </row>
    <row r="13" spans="1:4" s="4" customFormat="1" ht="25.5" customHeight="1">
      <c r="A13" s="803">
        <v>2</v>
      </c>
      <c r="B13" s="809" t="s">
        <v>1839</v>
      </c>
      <c r="C13" s="815"/>
      <c r="D13" s="804">
        <f>'Ele Estimate'!F52</f>
        <v>55109</v>
      </c>
    </row>
    <row r="14" spans="1:4" s="4" customFormat="1" ht="25.5" hidden="1" customHeight="1">
      <c r="A14" s="803">
        <v>6</v>
      </c>
      <c r="B14" s="809" t="s">
        <v>725</v>
      </c>
      <c r="C14" s="815"/>
      <c r="D14" s="804"/>
    </row>
    <row r="15" spans="1:4" s="4" customFormat="1" ht="25.5" customHeight="1">
      <c r="A15" s="803"/>
      <c r="B15" s="811" t="s">
        <v>585</v>
      </c>
      <c r="C15" s="817"/>
      <c r="D15" s="805">
        <f>SUM(D8:D14)</f>
        <v>1526843</v>
      </c>
    </row>
    <row r="16" spans="1:4" s="4" customFormat="1" ht="25.5" customHeight="1">
      <c r="A16" s="803">
        <v>3</v>
      </c>
      <c r="B16" s="933" t="s">
        <v>1924</v>
      </c>
      <c r="C16" s="816"/>
      <c r="D16" s="804">
        <f>ROUND('GST Sheet'!G37,0)</f>
        <v>130655</v>
      </c>
    </row>
    <row r="17" spans="1:8" s="4" customFormat="1" ht="25.5" customHeight="1">
      <c r="A17" s="803">
        <v>4</v>
      </c>
      <c r="B17" s="933" t="s">
        <v>1931</v>
      </c>
      <c r="C17" s="815"/>
      <c r="D17" s="804">
        <f>INPUT!I37</f>
        <v>7583</v>
      </c>
    </row>
    <row r="18" spans="1:8" s="4" customFormat="1" ht="25.5" customHeight="1">
      <c r="A18" s="803">
        <v>5</v>
      </c>
      <c r="B18" s="809" t="s">
        <v>719</v>
      </c>
      <c r="C18" s="815"/>
      <c r="D18" s="804">
        <f>SEIG!L38</f>
        <v>17457</v>
      </c>
    </row>
    <row r="19" spans="1:8" s="4" customFormat="1" ht="25.5" hidden="1" customHeight="1">
      <c r="A19" s="803">
        <v>7</v>
      </c>
      <c r="B19" s="810" t="s">
        <v>1838</v>
      </c>
      <c r="C19" s="816"/>
      <c r="D19" s="804"/>
    </row>
    <row r="20" spans="1:8" s="4" customFormat="1" ht="25.5" customHeight="1">
      <c r="A20" s="803">
        <v>6</v>
      </c>
      <c r="B20" s="933" t="s">
        <v>1930</v>
      </c>
      <c r="C20" s="815"/>
      <c r="D20" s="804">
        <v>3600</v>
      </c>
    </row>
    <row r="21" spans="1:8" s="4" customFormat="1" ht="24.75" customHeight="1">
      <c r="A21" s="803">
        <v>7</v>
      </c>
      <c r="B21" s="812" t="s">
        <v>1837</v>
      </c>
      <c r="C21" s="818"/>
      <c r="D21" s="804">
        <f>E21</f>
        <v>13862</v>
      </c>
      <c r="E21" s="567">
        <f>E22-D15-D16-D17-D18-D20</f>
        <v>13862</v>
      </c>
    </row>
    <row r="22" spans="1:8" s="4" customFormat="1" ht="21" customHeight="1">
      <c r="A22" s="803"/>
      <c r="B22" s="809"/>
      <c r="C22" s="815"/>
      <c r="D22" s="805">
        <f>SUM(D15:D21)</f>
        <v>1700000</v>
      </c>
      <c r="E22" s="4">
        <v>1700000</v>
      </c>
    </row>
    <row r="23" spans="1:8" s="4" customFormat="1">
      <c r="A23" s="568"/>
    </row>
    <row r="24" spans="1:8" s="4" customFormat="1">
      <c r="A24" s="568"/>
    </row>
    <row r="27" spans="1:8">
      <c r="B27" s="279" t="str">
        <f>'lead 1'!I37</f>
        <v>Deputy Executive Engineer</v>
      </c>
      <c r="C27" s="279" t="str">
        <f>'lead 1'!L37</f>
        <v>Assistant Engineer</v>
      </c>
      <c r="D27" s="345"/>
      <c r="H27" s="7"/>
    </row>
    <row r="28" spans="1:8">
      <c r="B28" s="279" t="str">
        <f>'lead 1'!I38</f>
        <v>PRI Sub Division</v>
      </c>
      <c r="C28" s="279" t="str">
        <f>'lead 1'!L38</f>
        <v>Mandal Praja parishad</v>
      </c>
      <c r="D28" s="345"/>
    </row>
    <row r="29" spans="1:8">
      <c r="B29" s="279" t="str">
        <f>'lead 1'!I39</f>
        <v>Kanigiri</v>
      </c>
      <c r="C29" s="279" t="str">
        <f>'lead 1'!L39</f>
        <v>H.M.Padu</v>
      </c>
    </row>
  </sheetData>
  <mergeCells count="2">
    <mergeCell ref="A2:D2"/>
    <mergeCell ref="A1:D1"/>
  </mergeCell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sheetPr>
    <tabColor rgb="FF00B0F0"/>
  </sheetPr>
  <dimension ref="A1:V420"/>
  <sheetViews>
    <sheetView showZeros="0" view="pageBreakPreview" topLeftCell="A257" zoomScale="130" zoomScaleSheetLayoutView="130" workbookViewId="0">
      <selection activeCell="B32" sqref="B32"/>
    </sheetView>
  </sheetViews>
  <sheetFormatPr defaultRowHeight="12.75"/>
  <cols>
    <col min="1" max="1" width="3" style="959" customWidth="1"/>
    <col min="2" max="2" width="29.140625" style="959" customWidth="1"/>
    <col min="3" max="3" width="3.42578125" style="959" customWidth="1"/>
    <col min="4" max="4" width="2.85546875" style="1162" customWidth="1"/>
    <col min="5" max="5" width="3.140625" style="1089" customWidth="1"/>
    <col min="6" max="6" width="6.42578125" style="959" customWidth="1"/>
    <col min="7" max="7" width="7.5703125" style="959" customWidth="1"/>
    <col min="8" max="8" width="7.140625" style="959" customWidth="1"/>
    <col min="9" max="9" width="9.140625" style="999"/>
    <col min="10" max="10" width="8.5703125" style="959" customWidth="1"/>
    <col min="11" max="11" width="9.5703125" style="959" customWidth="1"/>
    <col min="12" max="12" width="8.140625" style="959" customWidth="1"/>
    <col min="13" max="13" width="7.85546875" style="959" customWidth="1"/>
    <col min="14" max="14" width="5.7109375" style="959" customWidth="1"/>
    <col min="15" max="15" width="6.7109375" style="959" customWidth="1"/>
    <col min="16" max="16" width="8" style="959" customWidth="1"/>
    <col min="17" max="17" width="7.85546875" style="959" customWidth="1"/>
    <col min="18" max="16384" width="9.140625" style="959"/>
  </cols>
  <sheetData>
    <row r="1" spans="1:21" s="948" customFormat="1" ht="16.5">
      <c r="A1" s="1296" t="s">
        <v>93</v>
      </c>
      <c r="B1" s="1296"/>
      <c r="C1" s="1296"/>
      <c r="D1" s="1296"/>
      <c r="E1" s="1296"/>
      <c r="F1" s="1296"/>
      <c r="G1" s="1296"/>
      <c r="H1" s="1296"/>
      <c r="I1" s="1296"/>
      <c r="J1" s="1296"/>
      <c r="K1" s="1296"/>
    </row>
    <row r="2" spans="1:21" s="948" customFormat="1" ht="37.5" customHeight="1">
      <c r="A2" s="1306" t="str">
        <f>'lead 1'!B2&amp;'lead 1'!C2</f>
        <v>Name of the Work: Constrution of Bharat Nirman Seva Kendra (BNSK) Grama Panchayat building in Gayamvaripalli  GP of H.M.Padu Mandal</v>
      </c>
      <c r="B2" s="1306"/>
      <c r="C2" s="1306"/>
      <c r="D2" s="1306"/>
      <c r="E2" s="1306"/>
      <c r="F2" s="1306"/>
      <c r="G2" s="1306"/>
      <c r="H2" s="1306"/>
      <c r="I2" s="1306"/>
      <c r="J2" s="1306"/>
      <c r="K2" s="1306"/>
    </row>
    <row r="3" spans="1:21" s="949" customFormat="1" ht="21.75" customHeight="1">
      <c r="B3" s="950" t="s">
        <v>728</v>
      </c>
      <c r="C3" s="1307" t="s">
        <v>727</v>
      </c>
      <c r="D3" s="1307"/>
      <c r="E3" s="1307"/>
      <c r="F3" s="1307"/>
      <c r="G3" s="1307"/>
      <c r="H3" s="1307"/>
      <c r="I3" s="1307"/>
      <c r="J3" s="1307"/>
      <c r="K3" s="1307"/>
    </row>
    <row r="4" spans="1:21" s="948" customFormat="1" ht="19.5" customHeight="1">
      <c r="A4" s="951"/>
      <c r="B4" s="952"/>
      <c r="C4" s="953"/>
      <c r="D4" s="1091"/>
      <c r="E4" s="1087"/>
      <c r="F4" s="954"/>
      <c r="G4" s="954"/>
      <c r="H4" s="955"/>
      <c r="I4" s="955"/>
      <c r="J4" s="955"/>
      <c r="K4" s="956"/>
    </row>
    <row r="5" spans="1:21" s="957" customFormat="1" ht="21.75" customHeight="1">
      <c r="A5" s="1304" t="s">
        <v>368</v>
      </c>
      <c r="B5" s="1302" t="s">
        <v>94</v>
      </c>
      <c r="C5" s="1300" t="s">
        <v>95</v>
      </c>
      <c r="D5" s="1152"/>
      <c r="E5" s="1142"/>
      <c r="F5" s="1297" t="s">
        <v>96</v>
      </c>
      <c r="G5" s="1298"/>
      <c r="H5" s="1299"/>
      <c r="I5" s="1294" t="s">
        <v>100</v>
      </c>
      <c r="J5" s="1302" t="s">
        <v>101</v>
      </c>
      <c r="K5" s="1302" t="s">
        <v>102</v>
      </c>
      <c r="L5" s="1292" t="s">
        <v>795</v>
      </c>
      <c r="M5" s="1292" t="s">
        <v>796</v>
      </c>
      <c r="N5" s="1292" t="s">
        <v>797</v>
      </c>
      <c r="O5" s="1292" t="s">
        <v>798</v>
      </c>
      <c r="P5" s="1292" t="s">
        <v>859</v>
      </c>
      <c r="Q5" s="1292" t="s">
        <v>1177</v>
      </c>
      <c r="R5" s="1292" t="s">
        <v>800</v>
      </c>
      <c r="S5" s="1292" t="s">
        <v>855</v>
      </c>
      <c r="T5" s="1292" t="s">
        <v>801</v>
      </c>
      <c r="U5" s="1292" t="s">
        <v>790</v>
      </c>
    </row>
    <row r="6" spans="1:21" ht="26.25" customHeight="1">
      <c r="A6" s="1305"/>
      <c r="B6" s="1303"/>
      <c r="C6" s="1301"/>
      <c r="D6" s="1153"/>
      <c r="E6" s="1143"/>
      <c r="F6" s="958" t="s">
        <v>97</v>
      </c>
      <c r="G6" s="958" t="s">
        <v>98</v>
      </c>
      <c r="H6" s="958" t="s">
        <v>99</v>
      </c>
      <c r="I6" s="1295"/>
      <c r="J6" s="1303"/>
      <c r="K6" s="1303"/>
      <c r="L6" s="1293"/>
      <c r="M6" s="1293"/>
      <c r="N6" s="1293"/>
      <c r="O6" s="1293"/>
      <c r="P6" s="1293"/>
      <c r="Q6" s="1293"/>
      <c r="R6" s="1293"/>
      <c r="S6" s="1293"/>
      <c r="T6" s="1293"/>
      <c r="U6" s="1293"/>
    </row>
    <row r="7" spans="1:21">
      <c r="A7" s="1078">
        <v>1</v>
      </c>
      <c r="B7" s="1078">
        <v>2</v>
      </c>
      <c r="C7" s="1076">
        <v>3</v>
      </c>
      <c r="D7" s="1152"/>
      <c r="E7" s="1144"/>
      <c r="F7" s="1078">
        <v>4</v>
      </c>
      <c r="G7" s="1078">
        <v>5</v>
      </c>
      <c r="H7" s="1078">
        <v>6</v>
      </c>
      <c r="I7" s="1079">
        <v>7</v>
      </c>
      <c r="J7" s="1078">
        <v>8</v>
      </c>
      <c r="K7" s="1078">
        <v>9</v>
      </c>
    </row>
    <row r="8" spans="1:21" s="961" customFormat="1" ht="69.75" customHeight="1">
      <c r="A8" s="1092">
        <v>1</v>
      </c>
      <c r="B8" s="1289" t="s">
        <v>1054</v>
      </c>
      <c r="C8" s="1289"/>
      <c r="D8" s="1289"/>
      <c r="E8" s="1289"/>
      <c r="F8" s="1289"/>
      <c r="G8" s="1289"/>
      <c r="H8" s="1289"/>
      <c r="I8" s="1093"/>
      <c r="J8" s="1093"/>
      <c r="K8" s="1093"/>
    </row>
    <row r="9" spans="1:21" s="961" customFormat="1" ht="12.6" customHeight="1">
      <c r="A9" s="1092"/>
      <c r="B9" s="1175" t="s">
        <v>1614</v>
      </c>
      <c r="C9" s="1176">
        <v>1</v>
      </c>
      <c r="D9" s="1177" t="s">
        <v>388</v>
      </c>
      <c r="E9" s="1178">
        <v>3</v>
      </c>
      <c r="F9" s="1179">
        <v>2.0499999999999998</v>
      </c>
      <c r="G9" s="1179">
        <v>2.0499999999999998</v>
      </c>
      <c r="H9" s="1179">
        <v>1.6</v>
      </c>
      <c r="I9" s="1180">
        <f>ROUND(IF(AND(F9:H9),C9*E9*F9*G9*H9,IF(AND(F9,G9),C9*E9*F9*G9,IF(AND(F9,H9),C9*E9*F9*H9,IF(AND(G9,H9),C9*E9*G9*H9,IF(F9,C9*E9*F9,IF(G9,C9*E9*G9,IF(H9,C9*E9*H9,C9*E9))))))),2)</f>
        <v>20.170000000000002</v>
      </c>
      <c r="J9" s="1093"/>
      <c r="K9" s="1093"/>
    </row>
    <row r="10" spans="1:21" s="961" customFormat="1">
      <c r="A10" s="1092"/>
      <c r="B10" s="1175" t="s">
        <v>1584</v>
      </c>
      <c r="C10" s="1176">
        <v>1</v>
      </c>
      <c r="D10" s="1177" t="s">
        <v>388</v>
      </c>
      <c r="E10" s="1178">
        <v>5</v>
      </c>
      <c r="F10" s="1179">
        <v>1.7</v>
      </c>
      <c r="G10" s="1179">
        <v>1.7</v>
      </c>
      <c r="H10" s="1179">
        <v>1.6</v>
      </c>
      <c r="I10" s="1180">
        <f>ROUND(IF(AND(F10:H10),C10*E10*F10*G10*H10,IF(AND(F10,G10),C10*E10*F10*G10,IF(AND(F10,H10),C10*E10*F10*H10,IF(AND(G10,H10),C10*E10*G10*H10,IF(F10,C10*E10*F10,IF(G10,C10*E10*G10,IF(H10,C10*E10*H10,C10*E10))))))),2)</f>
        <v>23.12</v>
      </c>
      <c r="J10" s="1093"/>
      <c r="K10" s="1093"/>
    </row>
    <row r="11" spans="1:21" s="961" customFormat="1">
      <c r="A11" s="1092"/>
      <c r="B11" s="1175" t="s">
        <v>1591</v>
      </c>
      <c r="C11" s="1176">
        <v>1</v>
      </c>
      <c r="D11" s="1177" t="s">
        <v>388</v>
      </c>
      <c r="E11" s="1178">
        <v>4</v>
      </c>
      <c r="F11" s="1179">
        <v>1.55</v>
      </c>
      <c r="G11" s="1179">
        <v>1.55</v>
      </c>
      <c r="H11" s="1179">
        <v>1.6</v>
      </c>
      <c r="I11" s="1180">
        <f>ROUND(IF(AND(F11:H11),C11*E11*F11*G11*H11,IF(AND(F11,G11),C11*E11*F11*G11,IF(AND(F11,H11),C11*E11*F11*H11,IF(AND(G11,H11),C11*E11*G11*H11,IF(F11,C11*E11*F11,IF(G11,C11*E11*G11,IF(H11,C11*E11*H11,C11*E11))))))),2)</f>
        <v>15.38</v>
      </c>
      <c r="J11" s="1093"/>
      <c r="K11" s="1093"/>
    </row>
    <row r="12" spans="1:21" s="961" customFormat="1">
      <c r="A12" s="1092"/>
      <c r="B12" s="1181"/>
      <c r="C12" s="1176"/>
      <c r="D12" s="1177"/>
      <c r="E12" s="1178"/>
      <c r="F12" s="1179"/>
      <c r="G12" s="1179"/>
      <c r="H12" s="1179"/>
      <c r="I12" s="1180"/>
      <c r="J12" s="1093"/>
      <c r="K12" s="1093"/>
    </row>
    <row r="13" spans="1:21" s="961" customFormat="1">
      <c r="A13" s="1092"/>
      <c r="B13" s="1175" t="s">
        <v>1128</v>
      </c>
      <c r="C13" s="1176">
        <v>1</v>
      </c>
      <c r="D13" s="1177" t="s">
        <v>388</v>
      </c>
      <c r="E13" s="1178">
        <v>1</v>
      </c>
      <c r="F13" s="1179">
        <v>41.86</v>
      </c>
      <c r="G13" s="1179">
        <v>0.45</v>
      </c>
      <c r="H13" s="1179">
        <v>0.15</v>
      </c>
      <c r="I13" s="1180">
        <f t="shared" ref="I13:I20" si="0">ROUND(IF(AND(F13:H13),C13*E13*F13*G13*H13,IF(AND(F13,G13),C13*E13*F13*G13,IF(AND(F13,H13),C13*E13*F13*H13,IF(AND(G13,H13),C13*E13*G13*H13,IF(F13,C13*E13*F13,IF(G13,C13*E13*G13,IF(H13,C13*E13*H13,C13*E13))))))),2)</f>
        <v>2.83</v>
      </c>
      <c r="J13" s="1093"/>
      <c r="K13" s="1093"/>
    </row>
    <row r="14" spans="1:21" s="961" customFormat="1">
      <c r="A14" s="1092"/>
      <c r="B14" s="1175" t="s">
        <v>1949</v>
      </c>
      <c r="C14" s="1176">
        <v>1</v>
      </c>
      <c r="D14" s="1177" t="s">
        <v>388</v>
      </c>
      <c r="E14" s="1178">
        <v>3</v>
      </c>
      <c r="F14" s="1179">
        <v>0.45</v>
      </c>
      <c r="G14" s="1179">
        <v>0.3</v>
      </c>
      <c r="H14" s="1179">
        <v>0.15</v>
      </c>
      <c r="I14" s="1180">
        <f>-ROUND(IF(AND(F14:H14),C14*E14*F14*G14*H14,IF(AND(F14,G14),C14*E14*F14*G14,IF(AND(F14,H14),C14*E14*F14*H14,IF(AND(G14,H14),C14*E14*G14*H14,IF(F14,C14*E14*F14,IF(G14,C14*E14*G14,IF(H14,C14*E14*H14,C14*E14))))))),2)</f>
        <v>-0.06</v>
      </c>
      <c r="J14" s="1093"/>
      <c r="K14" s="1093"/>
    </row>
    <row r="15" spans="1:21" s="961" customFormat="1">
      <c r="A15" s="1092"/>
      <c r="B15" s="1175" t="s">
        <v>1950</v>
      </c>
      <c r="C15" s="1176">
        <v>1</v>
      </c>
      <c r="D15" s="1177" t="s">
        <v>388</v>
      </c>
      <c r="E15" s="1178">
        <v>7</v>
      </c>
      <c r="F15" s="1179">
        <v>0.38</v>
      </c>
      <c r="G15" s="1179">
        <v>0.3</v>
      </c>
      <c r="H15" s="1179">
        <v>0.15</v>
      </c>
      <c r="I15" s="1180">
        <f>-ROUND(IF(AND(F15:H15),C15*E15*F15*G15*H15,IF(AND(F15,G15),C15*E15*F15*G15,IF(AND(F15,H15),C15*E15*F15*H15,IF(AND(G15,H15),C15*E15*G15*H15,IF(F15,C15*E15*F15,IF(G15,C15*E15*G15,IF(H15,C15*E15*H15,C15*E15))))))),2)</f>
        <v>-0.12</v>
      </c>
      <c r="J15" s="1093"/>
      <c r="K15" s="1093"/>
    </row>
    <row r="16" spans="1:21" s="961" customFormat="1">
      <c r="A16" s="1092"/>
      <c r="B16" s="1175" t="s">
        <v>1951</v>
      </c>
      <c r="C16" s="1176">
        <v>1</v>
      </c>
      <c r="D16" s="1177" t="s">
        <v>388</v>
      </c>
      <c r="E16" s="1178">
        <v>2</v>
      </c>
      <c r="F16" s="1179">
        <v>0.38</v>
      </c>
      <c r="G16" s="1179">
        <v>0.3</v>
      </c>
      <c r="H16" s="1179">
        <v>0.15</v>
      </c>
      <c r="I16" s="1180">
        <f>-ROUND(IF(AND(F16:H16),C16*E16*F16*G16*H16,IF(AND(F16,G16),C16*E16*F16*G16,IF(AND(F16,H16),C16*E16*F16*H16,IF(AND(G16,H16),C16*E16*G16*H16,IF(F16,C16*E16*F16,IF(G16,C16*E16*G16,IF(H16,C16*E16*H16,C16*E16))))))),2)</f>
        <v>-0.03</v>
      </c>
      <c r="J16" s="1093"/>
      <c r="K16" s="1093"/>
    </row>
    <row r="17" spans="1:21" s="961" customFormat="1">
      <c r="A17" s="1092"/>
      <c r="B17" s="1175"/>
      <c r="C17" s="1176"/>
      <c r="D17" s="1177"/>
      <c r="E17" s="1178"/>
      <c r="F17" s="1179"/>
      <c r="G17" s="1179"/>
      <c r="H17" s="1179"/>
      <c r="I17" s="1180"/>
      <c r="J17" s="1093"/>
      <c r="K17" s="1093"/>
    </row>
    <row r="18" spans="1:21" s="961" customFormat="1">
      <c r="A18" s="1092"/>
      <c r="B18" s="1175" t="s">
        <v>1952</v>
      </c>
      <c r="C18" s="1176">
        <v>1</v>
      </c>
      <c r="D18" s="1177" t="s">
        <v>388</v>
      </c>
      <c r="E18" s="1178">
        <v>1</v>
      </c>
      <c r="F18" s="1179">
        <v>8.92</v>
      </c>
      <c r="G18" s="1179">
        <v>0.45</v>
      </c>
      <c r="H18" s="1179">
        <v>0.15</v>
      </c>
      <c r="I18" s="1180">
        <f t="shared" si="0"/>
        <v>0.6</v>
      </c>
      <c r="J18" s="1093"/>
      <c r="K18" s="1093"/>
    </row>
    <row r="19" spans="1:21" s="961" customFormat="1">
      <c r="A19" s="1092"/>
      <c r="B19" s="1175" t="s">
        <v>1952</v>
      </c>
      <c r="C19" s="1176">
        <v>1</v>
      </c>
      <c r="D19" s="1177" t="s">
        <v>388</v>
      </c>
      <c r="E19" s="1178">
        <v>1</v>
      </c>
      <c r="F19" s="1179">
        <v>7.67</v>
      </c>
      <c r="G19" s="1179">
        <v>0.45</v>
      </c>
      <c r="H19" s="1179">
        <v>0.15</v>
      </c>
      <c r="I19" s="1180">
        <f t="shared" si="0"/>
        <v>0.52</v>
      </c>
      <c r="J19" s="1093"/>
      <c r="K19" s="1093"/>
    </row>
    <row r="20" spans="1:21" s="961" customFormat="1">
      <c r="A20" s="1092"/>
      <c r="B20" s="1175" t="s">
        <v>1952</v>
      </c>
      <c r="C20" s="1176">
        <v>1</v>
      </c>
      <c r="D20" s="1177" t="s">
        <v>388</v>
      </c>
      <c r="E20" s="1178">
        <v>2</v>
      </c>
      <c r="F20" s="1179">
        <v>3.44</v>
      </c>
      <c r="G20" s="1179">
        <v>0.45</v>
      </c>
      <c r="H20" s="1179">
        <v>0.15</v>
      </c>
      <c r="I20" s="1180">
        <f t="shared" si="0"/>
        <v>0.46</v>
      </c>
      <c r="J20" s="1093"/>
      <c r="K20" s="1093"/>
    </row>
    <row r="21" spans="1:21" s="961" customFormat="1">
      <c r="A21" s="1092"/>
      <c r="B21" s="1181"/>
      <c r="C21" s="1176"/>
      <c r="D21" s="1177"/>
      <c r="E21" s="1178"/>
      <c r="F21" s="1179"/>
      <c r="G21" s="1179"/>
      <c r="H21" s="1179"/>
      <c r="I21" s="1180"/>
      <c r="J21" s="1093"/>
      <c r="K21" s="1093"/>
    </row>
    <row r="22" spans="1:21" s="961" customFormat="1">
      <c r="A22" s="1092"/>
      <c r="B22" s="1175" t="s">
        <v>1953</v>
      </c>
      <c r="C22" s="1176">
        <v>1</v>
      </c>
      <c r="D22" s="1177" t="s">
        <v>388</v>
      </c>
      <c r="E22" s="1178">
        <v>1</v>
      </c>
      <c r="F22" s="1179">
        <v>4.51</v>
      </c>
      <c r="G22" s="1179">
        <v>0.45</v>
      </c>
      <c r="H22" s="1179">
        <v>0.15</v>
      </c>
      <c r="I22" s="1180">
        <f>ROUND(IF(AND(F22:H22),C22*E22*F22*G22*H22,IF(AND(F22,G22),C22*E22*F22*G22,IF(AND(F22,H22),C22*E22*F22*H22,IF(AND(G22,H22),C22*E22*G22*H22,IF(F22,C22*E22*F22,IF(G22,C22*E22*G22,IF(H22,C22*E22*H22,C22*E22))))))),2)</f>
        <v>0.3</v>
      </c>
      <c r="J22" s="1093"/>
      <c r="K22" s="1093"/>
    </row>
    <row r="23" spans="1:21" s="961" customFormat="1">
      <c r="A23" s="1092"/>
      <c r="B23" s="1175" t="s">
        <v>1954</v>
      </c>
      <c r="C23" s="1176">
        <v>1</v>
      </c>
      <c r="D23" s="1177" t="s">
        <v>388</v>
      </c>
      <c r="E23" s="1178">
        <v>3</v>
      </c>
      <c r="F23" s="1179">
        <v>1.08</v>
      </c>
      <c r="G23" s="1179">
        <v>0.45</v>
      </c>
      <c r="H23" s="1179">
        <v>0.15</v>
      </c>
      <c r="I23" s="1180">
        <f>ROUND(IF(AND(F23:H23),C23*E23*F23*G23*H23,IF(AND(F23,G23),C23*E23*F23*G23,IF(AND(F23,H23),C23*E23*F23*H23,IF(AND(G23,H23),C23*E23*G23*H23,IF(F23,C23*E23*F23,IF(G23,C23*E23*G23,IF(H23,C23*E23*H23,C23*E23))))))),2)</f>
        <v>0.22</v>
      </c>
      <c r="J23" s="1093"/>
      <c r="K23" s="1093"/>
    </row>
    <row r="24" spans="1:21" s="961" customFormat="1" ht="12.6" customHeight="1">
      <c r="A24" s="1092"/>
      <c r="B24" s="1175" t="s">
        <v>1955</v>
      </c>
      <c r="C24" s="1176">
        <v>1</v>
      </c>
      <c r="D24" s="1177" t="s">
        <v>388</v>
      </c>
      <c r="E24" s="1178">
        <v>1</v>
      </c>
      <c r="F24" s="1179">
        <v>2.4350000000000001</v>
      </c>
      <c r="G24" s="1179">
        <v>0.45</v>
      </c>
      <c r="H24" s="1179">
        <v>0.15</v>
      </c>
      <c r="I24" s="1180">
        <f>ROUND(IF(AND(F24:H24),C24*E24*F24*G24*H24,IF(AND(F24,G24),C24*E24*F24*G24,IF(AND(F24,H24),C24*E24*F24*H24,IF(AND(G24,H24),C24*E24*G24*H24,IF(F24,C24*E24*F24,IF(G24,C24*E24*G24,IF(H24,C24*E24*H24,C24*E24))))))),2)</f>
        <v>0.16</v>
      </c>
      <c r="J24" s="1093"/>
      <c r="K24" s="1093"/>
    </row>
    <row r="25" spans="1:21" s="960" customFormat="1" ht="21.75" customHeight="1">
      <c r="A25" s="1092"/>
      <c r="B25" s="1182"/>
      <c r="C25" s="1183"/>
      <c r="D25" s="1184"/>
      <c r="E25" s="1185"/>
      <c r="F25" s="1186"/>
      <c r="G25" s="1186"/>
      <c r="H25" s="1186"/>
      <c r="I25" s="1187"/>
      <c r="J25" s="1092"/>
      <c r="K25" s="1092"/>
    </row>
    <row r="26" spans="1:21" s="960" customFormat="1" ht="21.75" customHeight="1">
      <c r="A26" s="1092"/>
      <c r="B26" s="1188" t="s">
        <v>1956</v>
      </c>
      <c r="C26" s="1189">
        <v>1</v>
      </c>
      <c r="D26" s="1190" t="s">
        <v>388</v>
      </c>
      <c r="E26" s="1191">
        <v>2</v>
      </c>
      <c r="F26" s="1192">
        <v>2.1</v>
      </c>
      <c r="G26" s="1192">
        <v>1</v>
      </c>
      <c r="H26" s="1192">
        <v>0.1</v>
      </c>
      <c r="I26" s="1193">
        <f>ROUND(IF(AND(F26:H26),C26*E26*F26*G26*H26,IF(AND(F26,G26),C26*E26*F26*G26,IF(AND(F26,H26),C26*E26*F26*H26,IF(AND(G26,H26),C26*E26*G26*H26,IF(F26,C26*E26*F26,IF(G26,C26*E26*G26,IF(H26,C26*E26*H26,C26*E26))))))),2)</f>
        <v>0.42</v>
      </c>
      <c r="J26" s="1092"/>
      <c r="K26" s="1092"/>
    </row>
    <row r="27" spans="1:21" s="960" customFormat="1" ht="21.75" customHeight="1">
      <c r="A27" s="1092"/>
      <c r="B27" s="1188" t="s">
        <v>1957</v>
      </c>
      <c r="C27" s="1189">
        <v>1</v>
      </c>
      <c r="D27" s="1190" t="s">
        <v>388</v>
      </c>
      <c r="E27" s="1191">
        <v>1</v>
      </c>
      <c r="F27" s="1192">
        <v>1.5</v>
      </c>
      <c r="G27" s="1192">
        <v>1</v>
      </c>
      <c r="H27" s="1192">
        <v>0.1</v>
      </c>
      <c r="I27" s="1193">
        <f>ROUND(IF(AND(F27:H27),C27*E27*F27*G27*H27,IF(AND(F27,G27),C27*E27*F27*G27,IF(AND(F27,H27),C27*E27*F27*H27,IF(AND(G27,H27),C27*E27*G27*H27,IF(F27,C27*E27*F27,IF(G27,C27*E27*G27,IF(H27,C27*E27*H27,C27*E27))))))),2)</f>
        <v>0.15</v>
      </c>
      <c r="J27" s="1092"/>
      <c r="K27" s="1092"/>
    </row>
    <row r="28" spans="1:21" s="961" customFormat="1" ht="12.6" customHeight="1">
      <c r="A28" s="1092"/>
      <c r="B28" s="1093"/>
      <c r="C28" s="1131"/>
      <c r="D28" s="1154"/>
      <c r="E28" s="1145"/>
      <c r="F28" s="1093"/>
      <c r="G28" s="1093"/>
      <c r="H28" s="1093"/>
      <c r="I28" s="1096">
        <f>SUM(I9:I27)</f>
        <v>64.12</v>
      </c>
      <c r="J28" s="1097">
        <f>data1!G23</f>
        <v>124.4</v>
      </c>
      <c r="K28" s="1098">
        <f>ROUND(J28*I28,0)</f>
        <v>7977</v>
      </c>
      <c r="L28" s="969">
        <f>K28</f>
        <v>7977</v>
      </c>
      <c r="T28" s="969"/>
      <c r="U28" s="961">
        <f>SUM(L28:T28)</f>
        <v>7977</v>
      </c>
    </row>
    <row r="29" spans="1:21" s="961" customFormat="1" ht="12.6" customHeight="1">
      <c r="A29" s="1092"/>
      <c r="B29" s="1093"/>
      <c r="C29" s="1131"/>
      <c r="D29" s="1154"/>
      <c r="E29" s="1145"/>
      <c r="F29" s="1093"/>
      <c r="G29" s="1093"/>
      <c r="H29" s="1093"/>
      <c r="I29" s="1094" t="s">
        <v>115</v>
      </c>
      <c r="J29" s="1094" t="s">
        <v>107</v>
      </c>
      <c r="K29" s="1098"/>
    </row>
    <row r="30" spans="1:21" s="961" customFormat="1" ht="58.5" customHeight="1">
      <c r="A30" s="1092">
        <v>2</v>
      </c>
      <c r="B30" s="1289" t="s">
        <v>1058</v>
      </c>
      <c r="C30" s="1291"/>
      <c r="D30" s="1291"/>
      <c r="E30" s="1291"/>
      <c r="F30" s="1291"/>
      <c r="G30" s="1291"/>
      <c r="H30" s="1291"/>
      <c r="I30" s="1094"/>
      <c r="J30" s="1094"/>
      <c r="K30" s="1098"/>
    </row>
    <row r="31" spans="1:21" s="961" customFormat="1" ht="15" customHeight="1">
      <c r="A31" s="1092"/>
      <c r="B31" s="1194"/>
      <c r="C31" s="1195"/>
      <c r="D31" s="1196"/>
      <c r="E31" s="1197"/>
      <c r="F31" s="1198"/>
      <c r="G31" s="1198"/>
      <c r="H31" s="1199"/>
      <c r="I31" s="1180">
        <v>36.56</v>
      </c>
      <c r="J31" s="1094"/>
      <c r="K31" s="1098"/>
    </row>
    <row r="32" spans="1:21" s="974" customFormat="1" ht="15" customHeight="1">
      <c r="A32" s="1099"/>
      <c r="B32" s="1100"/>
      <c r="C32" s="1132"/>
      <c r="D32" s="1155"/>
      <c r="E32" s="1146"/>
      <c r="F32" s="1101"/>
      <c r="G32" s="1101"/>
      <c r="H32" s="1101"/>
      <c r="I32" s="1101">
        <f>SUM(I31:I31)</f>
        <v>36.56</v>
      </c>
      <c r="J32" s="1102">
        <f>data1!G57</f>
        <v>25.59</v>
      </c>
      <c r="K32" s="1103">
        <f>ROUND(I32*J32,0)</f>
        <v>936</v>
      </c>
      <c r="L32" s="976">
        <f>K32</f>
        <v>936</v>
      </c>
      <c r="U32" s="976">
        <f>L32</f>
        <v>936</v>
      </c>
    </row>
    <row r="33" spans="1:21" s="961" customFormat="1" ht="15" customHeight="1">
      <c r="A33" s="1092"/>
      <c r="B33" s="1104"/>
      <c r="C33" s="1133"/>
      <c r="D33" s="1156"/>
      <c r="E33" s="1147"/>
      <c r="F33" s="1105"/>
      <c r="G33" s="1105"/>
      <c r="H33" s="1105"/>
      <c r="I33" s="1105"/>
      <c r="J33" s="1094"/>
      <c r="K33" s="1098"/>
    </row>
    <row r="34" spans="1:21" s="961" customFormat="1" ht="57" customHeight="1">
      <c r="A34" s="1092">
        <v>3</v>
      </c>
      <c r="B34" s="1289" t="s">
        <v>1059</v>
      </c>
      <c r="C34" s="1291"/>
      <c r="D34" s="1291"/>
      <c r="E34" s="1291"/>
      <c r="F34" s="1291"/>
      <c r="G34" s="1291"/>
      <c r="H34" s="1291"/>
      <c r="I34" s="1094"/>
      <c r="J34" s="1094"/>
      <c r="K34" s="1098"/>
    </row>
    <row r="35" spans="1:21" s="961" customFormat="1" ht="12.6" customHeight="1">
      <c r="A35" s="1092"/>
      <c r="B35" s="1194" t="s">
        <v>1958</v>
      </c>
      <c r="C35" s="1195">
        <v>1</v>
      </c>
      <c r="D35" s="1196" t="s">
        <v>388</v>
      </c>
      <c r="E35" s="1197">
        <v>1</v>
      </c>
      <c r="F35" s="1198">
        <v>8.34</v>
      </c>
      <c r="G35" s="1198">
        <v>3.66</v>
      </c>
      <c r="H35" s="1199">
        <v>0.5</v>
      </c>
      <c r="I35" s="1180">
        <f>ROUND(IF(AND(F35:H35),C35*E35*F35*G35*H35,IF(AND(F35,G35),C35*E35*F35*G35,IF(AND(F35,H35),C35*E35*F35*H35,IF(AND(G35,H35),C35*E35*G35*H35,IF(F35,C35*E35*F35,IF(G35,C35*E35*G35,IF(H35,C35*E35*H35,C35*E35))))))),2)</f>
        <v>15.26</v>
      </c>
      <c r="J35" s="1093"/>
      <c r="K35" s="1093"/>
    </row>
    <row r="36" spans="1:21" s="961" customFormat="1">
      <c r="A36" s="1092"/>
      <c r="B36" s="1194" t="s">
        <v>1959</v>
      </c>
      <c r="C36" s="1195">
        <v>1</v>
      </c>
      <c r="D36" s="1196" t="s">
        <v>388</v>
      </c>
      <c r="E36" s="1197">
        <v>1</v>
      </c>
      <c r="F36" s="1198">
        <v>2.3650000000000002</v>
      </c>
      <c r="G36" s="1198">
        <v>1.43</v>
      </c>
      <c r="H36" s="1199">
        <v>0.5</v>
      </c>
      <c r="I36" s="1180">
        <f>-ROUND(IF(AND(F36:H36),C36*E36*F36*G36*H36,IF(AND(F36,G36),C36*E36*F36*G36,IF(AND(F36,H36),C36*E36*F36*H36,IF(AND(G36,H36),C36*E36*G36*H36,IF(F36,C36*E36*F36,IF(G36,C36*E36*G36,IF(H36,C36*E36*H36,C36*E36))))))),2)</f>
        <v>-1.69</v>
      </c>
      <c r="J36" s="1093"/>
      <c r="K36" s="1093"/>
    </row>
    <row r="37" spans="1:21" s="961" customFormat="1" ht="12.6" customHeight="1">
      <c r="A37" s="1092"/>
      <c r="B37" s="1194" t="s">
        <v>1960</v>
      </c>
      <c r="C37" s="1195">
        <v>1</v>
      </c>
      <c r="D37" s="1196" t="s">
        <v>388</v>
      </c>
      <c r="E37" s="1197">
        <v>1</v>
      </c>
      <c r="F37" s="1198">
        <v>3.05</v>
      </c>
      <c r="G37" s="1198">
        <v>3.66</v>
      </c>
      <c r="H37" s="1199">
        <v>0.5</v>
      </c>
      <c r="I37" s="1180">
        <f t="shared" ref="I37:I42" si="1">ROUND(IF(AND(F37:H37),C37*E37*F37*G37*H37,IF(AND(F37,G37),C37*E37*F37*G37,IF(AND(F37,H37),C37*E37*F37*H37,IF(AND(G37,H37),C37*E37*G37*H37,IF(F37,C37*E37*F37,IF(G37,C37*E37*G37,IF(H37,C37*E37*H37,C37*E37))))))),2)</f>
        <v>5.58</v>
      </c>
      <c r="J37" s="1093"/>
      <c r="K37" s="1093"/>
    </row>
    <row r="38" spans="1:21" s="961" customFormat="1" ht="15" customHeight="1">
      <c r="A38" s="1092"/>
      <c r="B38" s="1194" t="s">
        <v>1961</v>
      </c>
      <c r="C38" s="1195">
        <v>1</v>
      </c>
      <c r="D38" s="1196" t="s">
        <v>388</v>
      </c>
      <c r="E38" s="1197">
        <v>1</v>
      </c>
      <c r="F38" s="1198">
        <v>1.5</v>
      </c>
      <c r="G38" s="1198">
        <v>3.66</v>
      </c>
      <c r="H38" s="1199">
        <v>0.5</v>
      </c>
      <c r="I38" s="1180">
        <f t="shared" si="1"/>
        <v>2.75</v>
      </c>
      <c r="J38" s="1094"/>
      <c r="K38" s="1098"/>
    </row>
    <row r="39" spans="1:21" s="961" customFormat="1" ht="12.6" customHeight="1">
      <c r="A39" s="1092"/>
      <c r="B39" s="1194" t="s">
        <v>864</v>
      </c>
      <c r="C39" s="1195">
        <v>1</v>
      </c>
      <c r="D39" s="1196" t="s">
        <v>388</v>
      </c>
      <c r="E39" s="1197">
        <v>1</v>
      </c>
      <c r="F39" s="1198">
        <v>3.66</v>
      </c>
      <c r="G39" s="1198">
        <v>3.66</v>
      </c>
      <c r="H39" s="1199">
        <v>0.5</v>
      </c>
      <c r="I39" s="1180">
        <f t="shared" si="1"/>
        <v>6.7</v>
      </c>
      <c r="J39" s="1094"/>
      <c r="K39" s="1098"/>
    </row>
    <row r="40" spans="1:21" s="961" customFormat="1" ht="25.5" customHeight="1">
      <c r="A40" s="1092"/>
      <c r="B40" s="1194" t="s">
        <v>628</v>
      </c>
      <c r="C40" s="1195">
        <v>1</v>
      </c>
      <c r="D40" s="1196" t="s">
        <v>388</v>
      </c>
      <c r="E40" s="1197">
        <v>1</v>
      </c>
      <c r="F40" s="1198">
        <v>8.6999999999999993</v>
      </c>
      <c r="G40" s="1198">
        <v>4.1550000000000002</v>
      </c>
      <c r="H40" s="1199">
        <v>0.5</v>
      </c>
      <c r="I40" s="1180">
        <f t="shared" si="1"/>
        <v>18.07</v>
      </c>
      <c r="J40" s="1094"/>
      <c r="K40" s="1098"/>
    </row>
    <row r="41" spans="1:21" s="961" customFormat="1" ht="12.6" customHeight="1">
      <c r="A41" s="1092"/>
      <c r="B41" s="1194" t="s">
        <v>1504</v>
      </c>
      <c r="C41" s="1195">
        <v>1</v>
      </c>
      <c r="D41" s="1196" t="s">
        <v>388</v>
      </c>
      <c r="E41" s="1197">
        <v>1</v>
      </c>
      <c r="F41" s="1198">
        <v>1.35</v>
      </c>
      <c r="G41" s="1198">
        <v>1.65</v>
      </c>
      <c r="H41" s="1199">
        <v>0.5</v>
      </c>
      <c r="I41" s="1180">
        <f t="shared" si="1"/>
        <v>1.1100000000000001</v>
      </c>
      <c r="J41" s="1094"/>
      <c r="K41" s="1098"/>
    </row>
    <row r="42" spans="1:21" s="961" customFormat="1" ht="15" customHeight="1">
      <c r="A42" s="1092"/>
      <c r="B42" s="1194" t="s">
        <v>1504</v>
      </c>
      <c r="C42" s="1195">
        <v>1</v>
      </c>
      <c r="D42" s="1196" t="s">
        <v>388</v>
      </c>
      <c r="E42" s="1197">
        <v>1</v>
      </c>
      <c r="F42" s="1198">
        <v>1.35</v>
      </c>
      <c r="G42" s="1198">
        <v>1.95</v>
      </c>
      <c r="H42" s="1199">
        <v>0.5</v>
      </c>
      <c r="I42" s="1180">
        <f t="shared" si="1"/>
        <v>1.32</v>
      </c>
      <c r="J42" s="1094"/>
      <c r="K42" s="1098"/>
    </row>
    <row r="43" spans="1:21" s="961" customFormat="1" ht="11.25">
      <c r="A43" s="1092"/>
      <c r="B43" s="1093"/>
      <c r="C43" s="1131"/>
      <c r="D43" s="1154"/>
      <c r="E43" s="1145"/>
      <c r="F43" s="1093"/>
      <c r="G43" s="1093"/>
      <c r="H43" s="1093"/>
      <c r="I43" s="1106">
        <f>SUM(I35:I42)</f>
        <v>49.1</v>
      </c>
      <c r="J43" s="1097">
        <f>data1!G45-data1!G39</f>
        <v>1414.4</v>
      </c>
      <c r="K43" s="1098">
        <f>ROUND((J43*I43)/1,0)</f>
        <v>69447</v>
      </c>
      <c r="N43" s="969">
        <f>K43</f>
        <v>69447</v>
      </c>
      <c r="U43" s="961">
        <f>SUM(L43:T43)</f>
        <v>69447</v>
      </c>
    </row>
    <row r="44" spans="1:21" s="961" customFormat="1" ht="11.25">
      <c r="A44" s="1092"/>
      <c r="B44" s="1093"/>
      <c r="C44" s="1131"/>
      <c r="D44" s="1154"/>
      <c r="E44" s="1145"/>
      <c r="F44" s="1093"/>
      <c r="G44" s="1093"/>
      <c r="H44" s="1093"/>
      <c r="I44" s="1107" t="s">
        <v>112</v>
      </c>
      <c r="J44" s="1094" t="s">
        <v>112</v>
      </c>
      <c r="K44" s="1098"/>
    </row>
    <row r="45" spans="1:21" s="961" customFormat="1" ht="80.25" customHeight="1">
      <c r="A45" s="1092">
        <v>4</v>
      </c>
      <c r="B45" s="1290" t="s">
        <v>1062</v>
      </c>
      <c r="C45" s="1290"/>
      <c r="D45" s="1290"/>
      <c r="E45" s="1290"/>
      <c r="F45" s="1290"/>
      <c r="G45" s="1290"/>
      <c r="H45" s="1290"/>
      <c r="I45" s="1094"/>
      <c r="J45" s="1094"/>
      <c r="K45" s="1098"/>
      <c r="M45" s="961" t="s">
        <v>154</v>
      </c>
    </row>
    <row r="46" spans="1:21" s="961" customFormat="1" ht="12.6" customHeight="1">
      <c r="A46" s="1092"/>
      <c r="B46" s="1194" t="s">
        <v>1958</v>
      </c>
      <c r="C46" s="1195">
        <v>1</v>
      </c>
      <c r="D46" s="1196" t="s">
        <v>388</v>
      </c>
      <c r="E46" s="1197">
        <v>1</v>
      </c>
      <c r="F46" s="1198">
        <v>8.34</v>
      </c>
      <c r="G46" s="1198">
        <v>3.66</v>
      </c>
      <c r="H46" s="1199">
        <v>0.5</v>
      </c>
      <c r="I46" s="1180">
        <f>ROUND(IF(AND(F46:H46),C46*E46*F46*G46*H46,IF(AND(F46,G46),C46*E46*F46*G46,IF(AND(F46,H46),C46*E46*F46*H46,IF(AND(G46,H46),C46*E46*G46*H46,IF(F46,C46*E46*F46,IF(G46,C46*E46*G46,IF(H46,C46*E46*H46,C46*E46))))))),2)</f>
        <v>15.26</v>
      </c>
      <c r="J46" s="1093"/>
      <c r="K46" s="1093"/>
    </row>
    <row r="47" spans="1:21" s="961" customFormat="1">
      <c r="A47" s="1092"/>
      <c r="B47" s="1194" t="s">
        <v>1959</v>
      </c>
      <c r="C47" s="1195">
        <v>1</v>
      </c>
      <c r="D47" s="1196" t="s">
        <v>388</v>
      </c>
      <c r="E47" s="1197">
        <v>1</v>
      </c>
      <c r="F47" s="1198">
        <v>2.3650000000000002</v>
      </c>
      <c r="G47" s="1198">
        <v>1.43</v>
      </c>
      <c r="H47" s="1199">
        <v>0.5</v>
      </c>
      <c r="I47" s="1180">
        <f>-ROUND(IF(AND(F47:H47),C47*E47*F47*G47*H47,IF(AND(F47,G47),C47*E47*F47*G47,IF(AND(F47,H47),C47*E47*F47*H47,IF(AND(G47,H47),C47*E47*G47*H47,IF(F47,C47*E47*F47,IF(G47,C47*E47*G47,IF(H47,C47*E47*H47,C47*E47))))))),2)</f>
        <v>-1.69</v>
      </c>
      <c r="J47" s="1093"/>
      <c r="K47" s="1093"/>
    </row>
    <row r="48" spans="1:21" s="961" customFormat="1" ht="12.6" customHeight="1">
      <c r="A48" s="1092"/>
      <c r="B48" s="1194" t="s">
        <v>1960</v>
      </c>
      <c r="C48" s="1195">
        <v>1</v>
      </c>
      <c r="D48" s="1196" t="s">
        <v>388</v>
      </c>
      <c r="E48" s="1197">
        <v>1</v>
      </c>
      <c r="F48" s="1198">
        <v>3.05</v>
      </c>
      <c r="G48" s="1198">
        <v>3.66</v>
      </c>
      <c r="H48" s="1199">
        <v>0.5</v>
      </c>
      <c r="I48" s="1180">
        <f t="shared" ref="I48:I53" si="2">ROUND(IF(AND(F48:H48),C48*E48*F48*G48*H48,IF(AND(F48,G48),C48*E48*F48*G48,IF(AND(F48,H48),C48*E48*F48*H48,IF(AND(G48,H48),C48*E48*G48*H48,IF(F48,C48*E48*F48,IF(G48,C48*E48*G48,IF(H48,C48*E48*H48,C48*E48))))))),2)</f>
        <v>5.58</v>
      </c>
      <c r="J48" s="1093"/>
      <c r="K48" s="1093"/>
    </row>
    <row r="49" spans="1:21" s="961" customFormat="1" ht="15" customHeight="1">
      <c r="A49" s="1092"/>
      <c r="B49" s="1194" t="s">
        <v>1961</v>
      </c>
      <c r="C49" s="1195">
        <v>1</v>
      </c>
      <c r="D49" s="1196" t="s">
        <v>388</v>
      </c>
      <c r="E49" s="1197">
        <v>1</v>
      </c>
      <c r="F49" s="1198">
        <v>1.5</v>
      </c>
      <c r="G49" s="1198">
        <v>3.66</v>
      </c>
      <c r="H49" s="1199">
        <v>0.5</v>
      </c>
      <c r="I49" s="1180">
        <f t="shared" si="2"/>
        <v>2.75</v>
      </c>
      <c r="J49" s="1094"/>
      <c r="K49" s="1098"/>
    </row>
    <row r="50" spans="1:21" s="961" customFormat="1" ht="12.6" customHeight="1">
      <c r="A50" s="1092"/>
      <c r="B50" s="1194" t="s">
        <v>864</v>
      </c>
      <c r="C50" s="1195">
        <v>1</v>
      </c>
      <c r="D50" s="1196" t="s">
        <v>388</v>
      </c>
      <c r="E50" s="1197">
        <v>1</v>
      </c>
      <c r="F50" s="1198">
        <v>3.66</v>
      </c>
      <c r="G50" s="1198">
        <v>3.66</v>
      </c>
      <c r="H50" s="1199">
        <v>0.5</v>
      </c>
      <c r="I50" s="1180">
        <f t="shared" si="2"/>
        <v>6.7</v>
      </c>
      <c r="J50" s="1094"/>
      <c r="K50" s="1098"/>
    </row>
    <row r="51" spans="1:21" s="961" customFormat="1" ht="25.5" customHeight="1">
      <c r="A51" s="1092"/>
      <c r="B51" s="1194" t="s">
        <v>628</v>
      </c>
      <c r="C51" s="1195">
        <v>1</v>
      </c>
      <c r="D51" s="1196" t="s">
        <v>388</v>
      </c>
      <c r="E51" s="1197">
        <v>1</v>
      </c>
      <c r="F51" s="1198">
        <v>8.6999999999999993</v>
      </c>
      <c r="G51" s="1198">
        <v>4.1550000000000002</v>
      </c>
      <c r="H51" s="1199">
        <v>0.5</v>
      </c>
      <c r="I51" s="1180">
        <f t="shared" si="2"/>
        <v>18.07</v>
      </c>
      <c r="J51" s="1094"/>
      <c r="K51" s="1098"/>
    </row>
    <row r="52" spans="1:21" s="961" customFormat="1" ht="12.6" customHeight="1">
      <c r="A52" s="1092"/>
      <c r="B52" s="1194" t="s">
        <v>1504</v>
      </c>
      <c r="C52" s="1195">
        <v>1</v>
      </c>
      <c r="D52" s="1196" t="s">
        <v>388</v>
      </c>
      <c r="E52" s="1197">
        <v>1</v>
      </c>
      <c r="F52" s="1198">
        <v>1.35</v>
      </c>
      <c r="G52" s="1198">
        <v>1.65</v>
      </c>
      <c r="H52" s="1199">
        <v>0.5</v>
      </c>
      <c r="I52" s="1180">
        <f t="shared" si="2"/>
        <v>1.1100000000000001</v>
      </c>
      <c r="J52" s="1094"/>
      <c r="K52" s="1098"/>
    </row>
    <row r="53" spans="1:21" s="961" customFormat="1" ht="15" customHeight="1">
      <c r="A53" s="1092"/>
      <c r="B53" s="1194" t="s">
        <v>1504</v>
      </c>
      <c r="C53" s="1195">
        <v>1</v>
      </c>
      <c r="D53" s="1196" t="s">
        <v>388</v>
      </c>
      <c r="E53" s="1197">
        <v>1</v>
      </c>
      <c r="F53" s="1198">
        <v>1.35</v>
      </c>
      <c r="G53" s="1198">
        <v>1.95</v>
      </c>
      <c r="H53" s="1199">
        <v>0.5</v>
      </c>
      <c r="I53" s="1180">
        <f t="shared" si="2"/>
        <v>1.32</v>
      </c>
      <c r="J53" s="1094"/>
      <c r="K53" s="1098"/>
    </row>
    <row r="54" spans="1:21" s="961" customFormat="1" ht="11.25">
      <c r="A54" s="1092"/>
      <c r="B54" s="1093"/>
      <c r="C54" s="1131"/>
      <c r="D54" s="1154"/>
      <c r="E54" s="1145"/>
      <c r="F54" s="1093"/>
      <c r="G54" s="1093"/>
      <c r="H54" s="1093"/>
      <c r="I54" s="1108">
        <f>SUM(I46:I53)</f>
        <v>49.1</v>
      </c>
      <c r="J54" s="1097">
        <f>data1!G39</f>
        <v>25.59</v>
      </c>
      <c r="K54" s="1098">
        <f>ROUND((J54*I54)/1,0)</f>
        <v>1256</v>
      </c>
      <c r="L54" s="969">
        <f>K54</f>
        <v>1256</v>
      </c>
      <c r="U54" s="969">
        <f>SUM(L54:T54)</f>
        <v>1256</v>
      </c>
    </row>
    <row r="55" spans="1:21" s="961" customFormat="1" ht="11.25">
      <c r="A55" s="1092"/>
      <c r="B55" s="1093"/>
      <c r="C55" s="1131"/>
      <c r="D55" s="1154"/>
      <c r="E55" s="1145"/>
      <c r="F55" s="1093"/>
      <c r="G55" s="1093"/>
      <c r="H55" s="1093"/>
      <c r="I55" s="1107" t="s">
        <v>112</v>
      </c>
      <c r="J55" s="1094" t="s">
        <v>112</v>
      </c>
      <c r="K55" s="1098"/>
    </row>
    <row r="56" spans="1:21" s="961" customFormat="1" ht="103.5" customHeight="1">
      <c r="A56" s="1092">
        <v>5</v>
      </c>
      <c r="B56" s="1289" t="s">
        <v>1093</v>
      </c>
      <c r="C56" s="1291"/>
      <c r="D56" s="1291"/>
      <c r="E56" s="1291"/>
      <c r="F56" s="1291"/>
      <c r="G56" s="1291"/>
      <c r="H56" s="1291"/>
      <c r="I56" s="1093"/>
      <c r="J56" s="1094"/>
      <c r="K56" s="1098"/>
    </row>
    <row r="57" spans="1:21" s="961" customFormat="1" ht="15" customHeight="1">
      <c r="A57" s="1092"/>
      <c r="B57" s="1109" t="s">
        <v>1063</v>
      </c>
      <c r="C57" s="1134"/>
      <c r="D57" s="1157"/>
      <c r="E57" s="1148"/>
      <c r="F57" s="1110"/>
      <c r="G57" s="1110"/>
      <c r="H57" s="1110"/>
      <c r="I57" s="1094"/>
      <c r="J57" s="1094"/>
      <c r="K57" s="1098"/>
    </row>
    <row r="58" spans="1:21" s="961" customFormat="1" ht="15" customHeight="1">
      <c r="A58" s="1092"/>
      <c r="B58" s="1175" t="s">
        <v>1614</v>
      </c>
      <c r="C58" s="1176">
        <v>1</v>
      </c>
      <c r="D58" s="1177" t="s">
        <v>388</v>
      </c>
      <c r="E58" s="1178">
        <v>3</v>
      </c>
      <c r="F58" s="1179">
        <v>2.0499999999999998</v>
      </c>
      <c r="G58" s="1179">
        <v>2.0499999999999998</v>
      </c>
      <c r="H58" s="1179">
        <v>0.15</v>
      </c>
      <c r="I58" s="1180">
        <f>ROUND(IF(AND(F58:H58),C58*E58*F58*G58*H58,IF(AND(F58,G58),C58*E58*F58*G58,IF(AND(F58,H58),C58*E58*F58*H58,IF(AND(G58,H58),C58*E58*G58*H58,IF(F58,C58*E58*F58,IF(G58,C58*E58*G58,IF(H58,C58*E58*H58,C58*E58))))))),2)</f>
        <v>1.89</v>
      </c>
      <c r="J58" s="1094"/>
      <c r="K58" s="1098"/>
    </row>
    <row r="59" spans="1:21" s="961" customFormat="1" ht="23.25" customHeight="1">
      <c r="A59" s="1092"/>
      <c r="B59" s="1175" t="s">
        <v>1584</v>
      </c>
      <c r="C59" s="1176">
        <v>1</v>
      </c>
      <c r="D59" s="1177" t="s">
        <v>388</v>
      </c>
      <c r="E59" s="1178">
        <v>5</v>
      </c>
      <c r="F59" s="1179">
        <v>1.7</v>
      </c>
      <c r="G59" s="1179">
        <v>1.7</v>
      </c>
      <c r="H59" s="1179">
        <v>0.15</v>
      </c>
      <c r="I59" s="1180">
        <f>ROUND(IF(AND(F59:H59),C59*E59*F59*G59*H59,IF(AND(F59,G59),C59*E59*F59*G59,IF(AND(F59,H59),C59*E59*F59*H59,IF(AND(G59,H59),C59*E59*G59*H59,IF(F59,C59*E59*F59,IF(G59,C59*E59*G59,IF(H59,C59*E59*H59,C59*E59))))))),2)</f>
        <v>2.17</v>
      </c>
      <c r="J59" s="1094"/>
      <c r="K59" s="1098"/>
    </row>
    <row r="60" spans="1:21" s="961" customFormat="1" ht="12.6" customHeight="1">
      <c r="A60" s="1092"/>
      <c r="B60" s="1175" t="s">
        <v>1591</v>
      </c>
      <c r="C60" s="1176">
        <v>1</v>
      </c>
      <c r="D60" s="1177" t="s">
        <v>388</v>
      </c>
      <c r="E60" s="1178">
        <v>4</v>
      </c>
      <c r="F60" s="1179">
        <v>1.55</v>
      </c>
      <c r="G60" s="1179">
        <v>1.55</v>
      </c>
      <c r="H60" s="1179">
        <v>0.15</v>
      </c>
      <c r="I60" s="1180">
        <f>ROUND(IF(AND(F60:H60),C60*E60*F60*G60*H60,IF(AND(F60,G60),C60*E60*F60*G60,IF(AND(F60,H60),C60*E60*F60*H60,IF(AND(G60,H60),C60*E60*G60*H60,IF(F60,C60*E60*F60,IF(G60,C60*E60*G60,IF(H60,C60*E60*H60,C60*E60))))))),2)</f>
        <v>1.44</v>
      </c>
      <c r="J60" s="1094"/>
      <c r="K60" s="1098"/>
    </row>
    <row r="61" spans="1:21" s="961" customFormat="1" ht="12.6" customHeight="1">
      <c r="A61" s="1092"/>
      <c r="B61" s="1181"/>
      <c r="C61" s="1176"/>
      <c r="D61" s="1177"/>
      <c r="E61" s="1178"/>
      <c r="F61" s="1179"/>
      <c r="G61" s="1179"/>
      <c r="H61" s="1179"/>
      <c r="I61" s="1180"/>
      <c r="J61" s="1094"/>
      <c r="K61" s="1098"/>
    </row>
    <row r="62" spans="1:21" s="961" customFormat="1" ht="12.6" customHeight="1">
      <c r="A62" s="1092"/>
      <c r="B62" s="1175" t="s">
        <v>1128</v>
      </c>
      <c r="C62" s="1176">
        <v>1</v>
      </c>
      <c r="D62" s="1177" t="s">
        <v>388</v>
      </c>
      <c r="E62" s="1178">
        <v>1</v>
      </c>
      <c r="F62" s="1179">
        <v>41.86</v>
      </c>
      <c r="G62" s="1179">
        <v>0.45</v>
      </c>
      <c r="H62" s="1179">
        <v>0.15</v>
      </c>
      <c r="I62" s="1180">
        <f t="shared" ref="I62:I69" si="3">ROUND(IF(AND(F62:H62),C62*E62*F62*G62*H62,IF(AND(F62,G62),C62*E62*F62*G62,IF(AND(F62,H62),C62*E62*F62*H62,IF(AND(G62,H62),C62*E62*G62*H62,IF(F62,C62*E62*F62,IF(G62,C62*E62*G62,IF(H62,C62*E62*H62,C62*E62))))))),2)</f>
        <v>2.83</v>
      </c>
      <c r="J62" s="1094"/>
      <c r="K62" s="1098"/>
    </row>
    <row r="63" spans="1:21" s="961" customFormat="1" ht="12.6" customHeight="1">
      <c r="A63" s="1092"/>
      <c r="B63" s="1175" t="s">
        <v>1949</v>
      </c>
      <c r="C63" s="1176">
        <v>1</v>
      </c>
      <c r="D63" s="1177" t="s">
        <v>388</v>
      </c>
      <c r="E63" s="1178">
        <v>3</v>
      </c>
      <c r="F63" s="1179">
        <v>0.45</v>
      </c>
      <c r="G63" s="1179">
        <v>0.3</v>
      </c>
      <c r="H63" s="1179">
        <v>0.15</v>
      </c>
      <c r="I63" s="1180">
        <f>-ROUND(IF(AND(F63:H63),C63*E63*F63*G63*H63,IF(AND(F63,G63),C63*E63*F63*G63,IF(AND(F63,H63),C63*E63*F63*H63,IF(AND(G63,H63),C63*E63*G63*H63,IF(F63,C63*E63*F63,IF(G63,C63*E63*G63,IF(H63,C63*E63*H63,C63*E63))))))),2)</f>
        <v>-0.06</v>
      </c>
      <c r="J63" s="1094"/>
      <c r="K63" s="1098"/>
    </row>
    <row r="64" spans="1:21" s="961" customFormat="1" ht="12.6" customHeight="1">
      <c r="A64" s="1092"/>
      <c r="B64" s="1175" t="s">
        <v>1950</v>
      </c>
      <c r="C64" s="1176">
        <v>1</v>
      </c>
      <c r="D64" s="1177" t="s">
        <v>388</v>
      </c>
      <c r="E64" s="1178">
        <v>7</v>
      </c>
      <c r="F64" s="1179">
        <v>0.38</v>
      </c>
      <c r="G64" s="1179">
        <v>0.3</v>
      </c>
      <c r="H64" s="1179">
        <v>0.15</v>
      </c>
      <c r="I64" s="1180">
        <f>-ROUND(IF(AND(F64:H64),C64*E64*F64*G64*H64,IF(AND(F64,G64),C64*E64*F64*G64,IF(AND(F64,H64),C64*E64*F64*H64,IF(AND(G64,H64),C64*E64*G64*H64,IF(F64,C64*E64*F64,IF(G64,C64*E64*G64,IF(H64,C64*E64*H64,C64*E64))))))),2)</f>
        <v>-0.12</v>
      </c>
      <c r="J64" s="1094"/>
      <c r="K64" s="1098"/>
    </row>
    <row r="65" spans="1:11" s="961" customFormat="1" ht="12.6" customHeight="1">
      <c r="A65" s="1092"/>
      <c r="B65" s="1175" t="s">
        <v>1951</v>
      </c>
      <c r="C65" s="1176">
        <v>1</v>
      </c>
      <c r="D65" s="1177" t="s">
        <v>388</v>
      </c>
      <c r="E65" s="1178">
        <v>2</v>
      </c>
      <c r="F65" s="1179">
        <v>0.38</v>
      </c>
      <c r="G65" s="1179">
        <v>0.3</v>
      </c>
      <c r="H65" s="1179">
        <v>0.15</v>
      </c>
      <c r="I65" s="1180">
        <f>-ROUND(IF(AND(F65:H65),C65*E65*F65*G65*H65,IF(AND(F65,G65),C65*E65*F65*G65,IF(AND(F65,H65),C65*E65*F65*H65,IF(AND(G65,H65),C65*E65*G65*H65,IF(F65,C65*E65*F65,IF(G65,C65*E65*G65,IF(H65,C65*E65*H65,C65*E65))))))),2)</f>
        <v>-0.03</v>
      </c>
      <c r="J65" s="1094"/>
      <c r="K65" s="1098"/>
    </row>
    <row r="66" spans="1:11" s="961" customFormat="1" ht="12.6" customHeight="1">
      <c r="A66" s="1092"/>
      <c r="B66" s="1175"/>
      <c r="C66" s="1176"/>
      <c r="D66" s="1177"/>
      <c r="E66" s="1178"/>
      <c r="F66" s="1179"/>
      <c r="G66" s="1179"/>
      <c r="H66" s="1179"/>
      <c r="I66" s="1180"/>
      <c r="J66" s="1094"/>
      <c r="K66" s="1098"/>
    </row>
    <row r="67" spans="1:11" s="961" customFormat="1" ht="12.6" customHeight="1">
      <c r="A67" s="1092"/>
      <c r="B67" s="1175" t="s">
        <v>1952</v>
      </c>
      <c r="C67" s="1176">
        <v>1</v>
      </c>
      <c r="D67" s="1177" t="s">
        <v>388</v>
      </c>
      <c r="E67" s="1178">
        <v>1</v>
      </c>
      <c r="F67" s="1179">
        <v>8.92</v>
      </c>
      <c r="G67" s="1179">
        <v>0.45</v>
      </c>
      <c r="H67" s="1179">
        <v>0.15</v>
      </c>
      <c r="I67" s="1180">
        <f t="shared" si="3"/>
        <v>0.6</v>
      </c>
      <c r="J67" s="1094"/>
      <c r="K67" s="1098"/>
    </row>
    <row r="68" spans="1:11" s="961" customFormat="1" ht="12.6" customHeight="1">
      <c r="A68" s="1092"/>
      <c r="B68" s="1175" t="s">
        <v>1952</v>
      </c>
      <c r="C68" s="1176">
        <v>1</v>
      </c>
      <c r="D68" s="1177" t="s">
        <v>388</v>
      </c>
      <c r="E68" s="1178">
        <v>1</v>
      </c>
      <c r="F68" s="1179">
        <v>7.67</v>
      </c>
      <c r="G68" s="1179">
        <v>0.45</v>
      </c>
      <c r="H68" s="1179">
        <v>0.15</v>
      </c>
      <c r="I68" s="1180">
        <f t="shared" si="3"/>
        <v>0.52</v>
      </c>
      <c r="J68" s="1094"/>
      <c r="K68" s="1098"/>
    </row>
    <row r="69" spans="1:11" s="961" customFormat="1" ht="12.6" customHeight="1">
      <c r="A69" s="1092"/>
      <c r="B69" s="1175" t="s">
        <v>1952</v>
      </c>
      <c r="C69" s="1176">
        <v>1</v>
      </c>
      <c r="D69" s="1177" t="s">
        <v>388</v>
      </c>
      <c r="E69" s="1178">
        <v>2</v>
      </c>
      <c r="F69" s="1179">
        <v>3.44</v>
      </c>
      <c r="G69" s="1179">
        <v>0.45</v>
      </c>
      <c r="H69" s="1179">
        <v>0.15</v>
      </c>
      <c r="I69" s="1180">
        <f t="shared" si="3"/>
        <v>0.46</v>
      </c>
      <c r="J69" s="1094"/>
      <c r="K69" s="1098"/>
    </row>
    <row r="70" spans="1:11" s="961" customFormat="1" ht="12.6" customHeight="1">
      <c r="A70" s="1092"/>
      <c r="B70" s="1181"/>
      <c r="C70" s="1176"/>
      <c r="D70" s="1177"/>
      <c r="E70" s="1178"/>
      <c r="F70" s="1179"/>
      <c r="G70" s="1179"/>
      <c r="H70" s="1179"/>
      <c r="I70" s="1180"/>
      <c r="J70" s="1094"/>
      <c r="K70" s="1098"/>
    </row>
    <row r="71" spans="1:11" s="961" customFormat="1" ht="12.6" customHeight="1">
      <c r="A71" s="1092"/>
      <c r="B71" s="1175" t="s">
        <v>1953</v>
      </c>
      <c r="C71" s="1176">
        <v>1</v>
      </c>
      <c r="D71" s="1177" t="s">
        <v>388</v>
      </c>
      <c r="E71" s="1178">
        <v>1</v>
      </c>
      <c r="F71" s="1179">
        <v>4.51</v>
      </c>
      <c r="G71" s="1179">
        <v>0.45</v>
      </c>
      <c r="H71" s="1179">
        <v>0.15</v>
      </c>
      <c r="I71" s="1180">
        <f>ROUND(IF(AND(F71:H71),C71*E71*F71*G71*H71,IF(AND(F71,G71),C71*E71*F71*G71,IF(AND(F71,H71),C71*E71*F71*H71,IF(AND(G71,H71),C71*E71*G71*H71,IF(F71,C71*E71*F71,IF(G71,C71*E71*G71,IF(H71,C71*E71*H71,C71*E71))))))),2)</f>
        <v>0.3</v>
      </c>
      <c r="J71" s="1094"/>
      <c r="K71" s="1098"/>
    </row>
    <row r="72" spans="1:11" s="961" customFormat="1" ht="12.6" customHeight="1">
      <c r="A72" s="1092"/>
      <c r="B72" s="1175" t="s">
        <v>1954</v>
      </c>
      <c r="C72" s="1176">
        <v>1</v>
      </c>
      <c r="D72" s="1177" t="s">
        <v>388</v>
      </c>
      <c r="E72" s="1178">
        <v>3</v>
      </c>
      <c r="F72" s="1179">
        <v>1.08</v>
      </c>
      <c r="G72" s="1179">
        <v>0.45</v>
      </c>
      <c r="H72" s="1179">
        <v>0.15</v>
      </c>
      <c r="I72" s="1180">
        <f>ROUND(IF(AND(F72:H72),C72*E72*F72*G72*H72,IF(AND(F72,G72),C72*E72*F72*G72,IF(AND(F72,H72),C72*E72*F72*H72,IF(AND(G72,H72),C72*E72*G72*H72,IF(F72,C72*E72*F72,IF(G72,C72*E72*G72,IF(H72,C72*E72*H72,C72*E72))))))),2)</f>
        <v>0.22</v>
      </c>
      <c r="J72" s="1094"/>
      <c r="K72" s="1098"/>
    </row>
    <row r="73" spans="1:11" s="961" customFormat="1" ht="12.6" customHeight="1">
      <c r="A73" s="1092"/>
      <c r="B73" s="1175" t="s">
        <v>1955</v>
      </c>
      <c r="C73" s="1176">
        <v>1</v>
      </c>
      <c r="D73" s="1177" t="s">
        <v>388</v>
      </c>
      <c r="E73" s="1178">
        <v>1</v>
      </c>
      <c r="F73" s="1179">
        <v>2.4350000000000001</v>
      </c>
      <c r="G73" s="1179">
        <v>0.45</v>
      </c>
      <c r="H73" s="1179">
        <v>0.15</v>
      </c>
      <c r="I73" s="1180">
        <f>ROUND(IF(AND(F73:H73),C73*E73*F73*G73*H73,IF(AND(F73,G73),C73*E73*F73*G73,IF(AND(F73,H73),C73*E73*F73*H73,IF(AND(G73,H73),C73*E73*G73*H73,IF(F73,C73*E73*F73,IF(G73,C73*E73*G73,IF(H73,C73*E73*H73,C73*E73))))))),2)</f>
        <v>0.16</v>
      </c>
      <c r="J73" s="1094"/>
      <c r="K73" s="1098"/>
    </row>
    <row r="74" spans="1:11" s="961" customFormat="1" ht="12.6" customHeight="1">
      <c r="A74" s="1092"/>
      <c r="B74" s="1182"/>
      <c r="C74" s="1183"/>
      <c r="D74" s="1184"/>
      <c r="E74" s="1185"/>
      <c r="F74" s="1186"/>
      <c r="G74" s="1186"/>
      <c r="H74" s="1186"/>
      <c r="I74" s="1187"/>
      <c r="J74" s="1094"/>
      <c r="K74" s="1098"/>
    </row>
    <row r="75" spans="1:11" s="961" customFormat="1" ht="12.6" customHeight="1">
      <c r="A75" s="1092"/>
      <c r="B75" s="1188" t="s">
        <v>1956</v>
      </c>
      <c r="C75" s="1189">
        <v>1</v>
      </c>
      <c r="D75" s="1190" t="s">
        <v>388</v>
      </c>
      <c r="E75" s="1191">
        <v>2</v>
      </c>
      <c r="F75" s="1192">
        <v>2.1</v>
      </c>
      <c r="G75" s="1192">
        <v>1</v>
      </c>
      <c r="H75" s="1192">
        <v>0.1</v>
      </c>
      <c r="I75" s="1193">
        <f>ROUND(IF(AND(F75:H75),C75*E75*F75*G75*H75,IF(AND(F75,G75),C75*E75*F75*G75,IF(AND(F75,H75),C75*E75*F75*H75,IF(AND(G75,H75),C75*E75*G75*H75,IF(F75,C75*E75*F75,IF(G75,C75*E75*G75,IF(H75,C75*E75*H75,C75*E75))))))),2)</f>
        <v>0.42</v>
      </c>
      <c r="J75" s="1094"/>
      <c r="K75" s="1098"/>
    </row>
    <row r="76" spans="1:11" s="961" customFormat="1" ht="12.6" customHeight="1">
      <c r="A76" s="1092"/>
      <c r="B76" s="1188" t="s">
        <v>1957</v>
      </c>
      <c r="C76" s="1189">
        <v>1</v>
      </c>
      <c r="D76" s="1190" t="s">
        <v>388</v>
      </c>
      <c r="E76" s="1191">
        <v>1</v>
      </c>
      <c r="F76" s="1192">
        <v>1.5</v>
      </c>
      <c r="G76" s="1192">
        <v>1</v>
      </c>
      <c r="H76" s="1192">
        <v>0.1</v>
      </c>
      <c r="I76" s="1193">
        <f>ROUND(IF(AND(F76:H76),C76*E76*F76*G76*H76,IF(AND(F76,G76),C76*E76*F76*G76,IF(AND(F76,H76),C76*E76*F76*H76,IF(AND(G76,H76),C76*E76*G76*H76,IF(F76,C76*E76*F76,IF(G76,C76*E76*G76,IF(H76,C76*E76*H76,C76*E76))))))),2)</f>
        <v>0.15</v>
      </c>
      <c r="J76" s="1094"/>
      <c r="K76" s="1098"/>
    </row>
    <row r="77" spans="1:11" s="961" customFormat="1" ht="12.6" customHeight="1">
      <c r="A77" s="1092"/>
      <c r="B77" s="1188"/>
      <c r="C77" s="1189"/>
      <c r="D77" s="1190"/>
      <c r="E77" s="1191"/>
      <c r="F77" s="1192"/>
      <c r="G77" s="1192"/>
      <c r="H77" s="1192"/>
      <c r="I77" s="1193"/>
      <c r="J77" s="1094"/>
      <c r="K77" s="1098"/>
    </row>
    <row r="78" spans="1:11" s="961" customFormat="1" ht="12.6" customHeight="1">
      <c r="A78" s="1092"/>
      <c r="B78" s="1194" t="s">
        <v>1958</v>
      </c>
      <c r="C78" s="1195">
        <v>1</v>
      </c>
      <c r="D78" s="1196" t="s">
        <v>388</v>
      </c>
      <c r="E78" s="1197">
        <v>1</v>
      </c>
      <c r="F78" s="1198">
        <v>8.34</v>
      </c>
      <c r="G78" s="1198">
        <v>3.66</v>
      </c>
      <c r="H78" s="1199">
        <v>0.1</v>
      </c>
      <c r="I78" s="1180">
        <f>ROUND(IF(AND(F78:H78),C78*E78*F78*G78*H78,IF(AND(F78,G78),C78*E78*F78*G78,IF(AND(F78,H78),C78*E78*F78*H78,IF(AND(G78,H78),C78*E78*G78*H78,IF(F78,C78*E78*F78,IF(G78,C78*E78*G78,IF(H78,C78*E78*H78,C78*E78))))))),2)</f>
        <v>3.05</v>
      </c>
      <c r="J78" s="1094"/>
      <c r="K78" s="1098"/>
    </row>
    <row r="79" spans="1:11" s="961" customFormat="1" ht="12.6" customHeight="1">
      <c r="A79" s="1092"/>
      <c r="B79" s="1194" t="s">
        <v>1959</v>
      </c>
      <c r="C79" s="1195">
        <v>1</v>
      </c>
      <c r="D79" s="1196" t="s">
        <v>388</v>
      </c>
      <c r="E79" s="1197">
        <v>1</v>
      </c>
      <c r="F79" s="1198">
        <v>2.3650000000000002</v>
      </c>
      <c r="G79" s="1198">
        <v>1.43</v>
      </c>
      <c r="H79" s="1199">
        <v>0.1</v>
      </c>
      <c r="I79" s="1180">
        <f>-ROUND(IF(AND(F79:H79),C79*E79*F79*G79*H79,IF(AND(F79,G79),C79*E79*F79*G79,IF(AND(F79,H79),C79*E79*F79*H79,IF(AND(G79,H79),C79*E79*G79*H79,IF(F79,C79*E79*F79,IF(G79,C79*E79*G79,IF(H79,C79*E79*H79,C79*E79))))))),2)</f>
        <v>-0.34</v>
      </c>
      <c r="J79" s="1094"/>
      <c r="K79" s="1098"/>
    </row>
    <row r="80" spans="1:11" s="961" customFormat="1" ht="12.6" customHeight="1">
      <c r="A80" s="1092"/>
      <c r="B80" s="1194" t="s">
        <v>1960</v>
      </c>
      <c r="C80" s="1195">
        <v>1</v>
      </c>
      <c r="D80" s="1196" t="s">
        <v>388</v>
      </c>
      <c r="E80" s="1197">
        <v>1</v>
      </c>
      <c r="F80" s="1198">
        <v>3.05</v>
      </c>
      <c r="G80" s="1198">
        <v>3.66</v>
      </c>
      <c r="H80" s="1199">
        <v>0.1</v>
      </c>
      <c r="I80" s="1180">
        <f t="shared" ref="I80:I85" si="4">ROUND(IF(AND(F80:H80),C80*E80*F80*G80*H80,IF(AND(F80,G80),C80*E80*F80*G80,IF(AND(F80,H80),C80*E80*F80*H80,IF(AND(G80,H80),C80*E80*G80*H80,IF(F80,C80*E80*F80,IF(G80,C80*E80*G80,IF(H80,C80*E80*H80,C80*E80))))))),2)</f>
        <v>1.1200000000000001</v>
      </c>
      <c r="J80" s="1094"/>
      <c r="K80" s="1098"/>
    </row>
    <row r="81" spans="1:21" s="961" customFormat="1" ht="12.6" customHeight="1">
      <c r="A81" s="1092"/>
      <c r="B81" s="1194" t="s">
        <v>1961</v>
      </c>
      <c r="C81" s="1195">
        <v>1</v>
      </c>
      <c r="D81" s="1196" t="s">
        <v>388</v>
      </c>
      <c r="E81" s="1197">
        <v>1</v>
      </c>
      <c r="F81" s="1198">
        <v>1.5</v>
      </c>
      <c r="G81" s="1198">
        <v>3.66</v>
      </c>
      <c r="H81" s="1199">
        <v>0.1</v>
      </c>
      <c r="I81" s="1180">
        <f t="shared" si="4"/>
        <v>0.55000000000000004</v>
      </c>
      <c r="J81" s="1094"/>
      <c r="K81" s="1098"/>
    </row>
    <row r="82" spans="1:21" s="961" customFormat="1" ht="12.6" customHeight="1">
      <c r="A82" s="1092"/>
      <c r="B82" s="1194" t="s">
        <v>864</v>
      </c>
      <c r="C82" s="1195">
        <v>1</v>
      </c>
      <c r="D82" s="1196" t="s">
        <v>388</v>
      </c>
      <c r="E82" s="1197">
        <v>1</v>
      </c>
      <c r="F82" s="1198">
        <v>3.66</v>
      </c>
      <c r="G82" s="1198">
        <v>3.66</v>
      </c>
      <c r="H82" s="1199">
        <v>0.1</v>
      </c>
      <c r="I82" s="1180">
        <f t="shared" si="4"/>
        <v>1.34</v>
      </c>
      <c r="J82" s="1094"/>
      <c r="K82" s="1098"/>
    </row>
    <row r="83" spans="1:21" s="961" customFormat="1" ht="12.6" customHeight="1">
      <c r="A83" s="1092"/>
      <c r="B83" s="1194" t="s">
        <v>628</v>
      </c>
      <c r="C83" s="1195">
        <v>1</v>
      </c>
      <c r="D83" s="1196" t="s">
        <v>388</v>
      </c>
      <c r="E83" s="1197">
        <v>1</v>
      </c>
      <c r="F83" s="1198">
        <v>8.6999999999999993</v>
      </c>
      <c r="G83" s="1198">
        <v>4.1550000000000002</v>
      </c>
      <c r="H83" s="1199">
        <v>0.1</v>
      </c>
      <c r="I83" s="1180">
        <f t="shared" si="4"/>
        <v>3.61</v>
      </c>
      <c r="J83" s="1094"/>
      <c r="K83" s="1098"/>
    </row>
    <row r="84" spans="1:21" s="961" customFormat="1">
      <c r="A84" s="1092"/>
      <c r="B84" s="1194" t="s">
        <v>1504</v>
      </c>
      <c r="C84" s="1195">
        <v>1</v>
      </c>
      <c r="D84" s="1196" t="s">
        <v>388</v>
      </c>
      <c r="E84" s="1197">
        <v>1</v>
      </c>
      <c r="F84" s="1198">
        <v>1.35</v>
      </c>
      <c r="G84" s="1198">
        <v>1.65</v>
      </c>
      <c r="H84" s="1199">
        <v>0.1</v>
      </c>
      <c r="I84" s="1180">
        <f t="shared" si="4"/>
        <v>0.22</v>
      </c>
      <c r="J84" s="1094"/>
      <c r="K84" s="1098"/>
    </row>
    <row r="85" spans="1:21" s="961" customFormat="1" ht="12.6" customHeight="1">
      <c r="A85" s="1092"/>
      <c r="B85" s="1194" t="s">
        <v>1504</v>
      </c>
      <c r="C85" s="1195">
        <v>1</v>
      </c>
      <c r="D85" s="1196" t="s">
        <v>388</v>
      </c>
      <c r="E85" s="1197">
        <v>1</v>
      </c>
      <c r="F85" s="1198">
        <v>1.35</v>
      </c>
      <c r="G85" s="1198">
        <v>1.95</v>
      </c>
      <c r="H85" s="1199">
        <v>0.1</v>
      </c>
      <c r="I85" s="1180">
        <f t="shared" si="4"/>
        <v>0.26</v>
      </c>
      <c r="J85" s="1094"/>
      <c r="K85" s="1098"/>
    </row>
    <row r="86" spans="1:21" s="961" customFormat="1" ht="12.75" customHeight="1">
      <c r="A86" s="1092"/>
      <c r="B86" s="1100"/>
      <c r="C86" s="1135"/>
      <c r="D86" s="1155"/>
      <c r="E86" s="1146"/>
      <c r="F86" s="1112"/>
      <c r="G86" s="1100"/>
      <c r="H86" s="1100"/>
      <c r="I86" s="1106">
        <f>SUM(I58:I85)</f>
        <v>20.760000000000005</v>
      </c>
      <c r="J86" s="1097">
        <f>data1!G169</f>
        <v>3943.6099999999997</v>
      </c>
      <c r="K86" s="1098">
        <f>ROUND(J86*I86,0)</f>
        <v>81869</v>
      </c>
      <c r="L86" s="961">
        <f>ROUND($I$86*data1!H169,2)</f>
        <v>0</v>
      </c>
      <c r="M86" s="961">
        <f>ROUND($I$86*data1!I169,2)</f>
        <v>14461.42</v>
      </c>
      <c r="N86" s="961">
        <f>ROUND($I$86*data1!J169,2)</f>
        <v>0</v>
      </c>
      <c r="O86" s="961">
        <f>ROUND($I$86*data1!K169,2)</f>
        <v>0</v>
      </c>
      <c r="P86" s="961">
        <f>ROUND($I$86*data1!L169,2)</f>
        <v>13727.13</v>
      </c>
      <c r="Q86" s="961">
        <f>ROUND($I$86*data1!M169,2)</f>
        <v>0</v>
      </c>
      <c r="R86" s="961">
        <f>ROUND($I$86*data1!N169,2)</f>
        <v>27637.37</v>
      </c>
      <c r="S86" s="961">
        <f>ROUND($I$86*data1!O169,2)</f>
        <v>0</v>
      </c>
      <c r="T86" s="961">
        <f>ROUND($I$86*data1!P169,2)</f>
        <v>26043.42</v>
      </c>
      <c r="U86" s="961">
        <f>SUM(L86:T86)</f>
        <v>81869.34</v>
      </c>
    </row>
    <row r="87" spans="1:21" s="961" customFormat="1" ht="12.75" customHeight="1">
      <c r="A87" s="1092"/>
      <c r="B87" s="1100"/>
      <c r="C87" s="1135"/>
      <c r="D87" s="1155"/>
      <c r="E87" s="1146"/>
      <c r="F87" s="1100"/>
      <c r="G87" s="1100"/>
      <c r="H87" s="1100"/>
      <c r="I87" s="1094" t="s">
        <v>112</v>
      </c>
      <c r="J87" s="1094" t="s">
        <v>112</v>
      </c>
      <c r="K87" s="1098"/>
    </row>
    <row r="88" spans="1:21" s="961" customFormat="1" ht="135.75" customHeight="1">
      <c r="A88" s="1092">
        <v>6</v>
      </c>
      <c r="B88" s="1289" t="s">
        <v>1943</v>
      </c>
      <c r="C88" s="1289"/>
      <c r="D88" s="1289"/>
      <c r="E88" s="1289"/>
      <c r="F88" s="1289"/>
      <c r="G88" s="1289"/>
      <c r="H88" s="1289"/>
      <c r="I88" s="1107"/>
      <c r="J88" s="1094"/>
      <c r="K88" s="1098"/>
    </row>
    <row r="89" spans="1:21" s="961" customFormat="1" ht="12" customHeight="1">
      <c r="A89" s="1092"/>
      <c r="B89" s="1113" t="s">
        <v>978</v>
      </c>
      <c r="C89" s="1136"/>
      <c r="D89" s="1156"/>
      <c r="E89" s="1147"/>
      <c r="F89" s="1113"/>
      <c r="G89" s="1113"/>
      <c r="H89" s="1113"/>
      <c r="I89" s="1107"/>
      <c r="J89" s="1094"/>
      <c r="K89" s="1098"/>
    </row>
    <row r="90" spans="1:21" s="961" customFormat="1" ht="12" customHeight="1">
      <c r="A90" s="1092"/>
      <c r="B90" s="1114" t="s">
        <v>289</v>
      </c>
      <c r="C90" s="1136"/>
      <c r="D90" s="1156"/>
      <c r="E90" s="1147"/>
      <c r="F90" s="1113"/>
      <c r="G90" s="1113"/>
      <c r="H90" s="1113"/>
      <c r="I90" s="1107"/>
      <c r="J90" s="1094"/>
      <c r="K90" s="1098"/>
    </row>
    <row r="91" spans="1:21" s="961" customFormat="1" ht="12" customHeight="1">
      <c r="A91" s="1092"/>
      <c r="B91" s="1175" t="s">
        <v>1614</v>
      </c>
      <c r="C91" s="1176">
        <v>1</v>
      </c>
      <c r="D91" s="1177" t="s">
        <v>388</v>
      </c>
      <c r="E91" s="1178">
        <v>3</v>
      </c>
      <c r="F91" s="1179">
        <v>2.0499999999999998</v>
      </c>
      <c r="G91" s="1179">
        <v>2.0499999999999998</v>
      </c>
      <c r="H91" s="1200">
        <v>0.42499999999999999</v>
      </c>
      <c r="I91" s="1180">
        <f>ROUND(IF(AND(F91:H91),C91*E91*F91*G91*H91,IF(AND(F91,G91),C91*E91*F91*G91,IF(AND(F91,H91),C91*E91*F91*H91,IF(AND(G91,H91),C91*E91*G91*H91,IF(F91,C91*E91*F91,IF(G91,C91*E91*G91,IF(H91,C91*E91*H91,C91*E91))))))),2)</f>
        <v>5.36</v>
      </c>
      <c r="J91" s="1094"/>
      <c r="K91" s="1098"/>
    </row>
    <row r="92" spans="1:21" s="961" customFormat="1" ht="12" customHeight="1">
      <c r="A92" s="1092"/>
      <c r="B92" s="1175" t="s">
        <v>1584</v>
      </c>
      <c r="C92" s="1176">
        <v>1</v>
      </c>
      <c r="D92" s="1177" t="s">
        <v>388</v>
      </c>
      <c r="E92" s="1178">
        <v>5</v>
      </c>
      <c r="F92" s="1179">
        <v>1.7</v>
      </c>
      <c r="G92" s="1179">
        <v>1.7</v>
      </c>
      <c r="H92" s="1179">
        <v>0.35</v>
      </c>
      <c r="I92" s="1180">
        <f>ROUND(IF(AND(F92:H92),C92*E92*F92*G92*H92,IF(AND(F92,G92),C92*E92*F92*G92,IF(AND(F92,H92),C92*E92*F92*H92,IF(AND(G92,H92),C92*E92*G92*H92,IF(F92,C92*E92*F92,IF(G92,C92*E92*G92,IF(H92,C92*E92*H92,C92*E92))))))),2)</f>
        <v>5.0599999999999996</v>
      </c>
      <c r="J92" s="1094"/>
      <c r="K92" s="1098"/>
    </row>
    <row r="93" spans="1:21" s="961" customFormat="1" ht="12" customHeight="1">
      <c r="A93" s="1092"/>
      <c r="B93" s="1175" t="s">
        <v>1591</v>
      </c>
      <c r="C93" s="1176">
        <v>1</v>
      </c>
      <c r="D93" s="1177" t="s">
        <v>388</v>
      </c>
      <c r="E93" s="1178">
        <v>4</v>
      </c>
      <c r="F93" s="1179">
        <v>1.55</v>
      </c>
      <c r="G93" s="1179">
        <v>1.55</v>
      </c>
      <c r="H93" s="1179">
        <v>0.3</v>
      </c>
      <c r="I93" s="1180">
        <f>ROUND(IF(AND(F93:H93),C93*E93*F93*G93*H93,IF(AND(F93,G93),C93*E93*F93*G93,IF(AND(F93,H93),C93*E93*F93*H93,IF(AND(G93,H93),C93*E93*G93*H93,IF(F93,C93*E93*F93,IF(G93,C93*E93*G93,IF(H93,C93*E93*H93,C93*E93))))))),2)</f>
        <v>2.88</v>
      </c>
      <c r="J93" s="1094"/>
      <c r="K93" s="1098"/>
    </row>
    <row r="94" spans="1:21" s="961" customFormat="1" ht="12" customHeight="1">
      <c r="A94" s="1092"/>
      <c r="B94" s="1113"/>
      <c r="C94" s="1136"/>
      <c r="D94" s="1156"/>
      <c r="E94" s="1147"/>
      <c r="F94" s="1115"/>
      <c r="G94" s="1115"/>
      <c r="H94" s="1115"/>
      <c r="I94" s="1116">
        <f>SUM(I91:I93)</f>
        <v>13.3</v>
      </c>
      <c r="J94" s="1097">
        <f>data1!G200</f>
        <v>6625.33</v>
      </c>
      <c r="K94" s="1098">
        <f>ROUND((J94*I94)/1,0)</f>
        <v>88117</v>
      </c>
      <c r="L94" s="961">
        <f>ROUND($I$94*data1!H200,2)</f>
        <v>0</v>
      </c>
      <c r="M94" s="961">
        <f>ROUND($I$94*data1!I200,2)</f>
        <v>18872.7</v>
      </c>
      <c r="N94" s="961">
        <f>ROUND($I$94*data1!J200,2)</f>
        <v>0</v>
      </c>
      <c r="O94" s="961">
        <f>ROUND($I$94*data1!K200,2)</f>
        <v>0</v>
      </c>
      <c r="P94" s="961">
        <f>ROUND($I$94*data1!L200,2)</f>
        <v>7817.21</v>
      </c>
      <c r="Q94" s="961">
        <f>ROUND($I$94*data1!M200,2)</f>
        <v>15540.39</v>
      </c>
      <c r="R94" s="961">
        <f>ROUND($I$94*data1!N200,2)</f>
        <v>0</v>
      </c>
      <c r="S94" s="961">
        <f>ROUND($I$94*data1!O200,2)</f>
        <v>0</v>
      </c>
      <c r="T94" s="961">
        <f>ROUND($I$94*data1!P200,2)</f>
        <v>45886.6</v>
      </c>
      <c r="U94" s="961">
        <f>SUM(L94:T94)</f>
        <v>88116.9</v>
      </c>
    </row>
    <row r="95" spans="1:21" s="961" customFormat="1" ht="12" customHeight="1">
      <c r="A95" s="1092"/>
      <c r="B95" s="1113" t="s">
        <v>1965</v>
      </c>
      <c r="C95" s="1136"/>
      <c r="D95" s="1156"/>
      <c r="E95" s="1147"/>
      <c r="F95" s="1115"/>
      <c r="G95" s="1115"/>
      <c r="H95" s="1115"/>
      <c r="I95" s="1116"/>
      <c r="J95" s="1094"/>
      <c r="K95" s="1098"/>
    </row>
    <row r="96" spans="1:21" s="961" customFormat="1" ht="12" customHeight="1">
      <c r="A96" s="1092"/>
      <c r="B96" s="1175" t="s">
        <v>1962</v>
      </c>
      <c r="C96" s="1176">
        <v>1</v>
      </c>
      <c r="D96" s="1177" t="s">
        <v>388</v>
      </c>
      <c r="E96" s="1178">
        <v>3</v>
      </c>
      <c r="F96" s="1179">
        <v>0.6</v>
      </c>
      <c r="G96" s="1179">
        <v>0.6</v>
      </c>
      <c r="H96" s="1179">
        <v>0.6</v>
      </c>
      <c r="I96" s="1180">
        <f>ROUND(IF(AND(F96:H96),C96*E96*F96*G96*H96,IF(AND(F96,G96),C96*E96*F96*G96,IF(AND(F96,H96),C96*E96*F96*H96,IF(AND(G96,H96),C96*E96*G96*H96,IF(F96,C96*E96*F96,IF(G96,C96*E96*G96,IF(H96,C96*E96*H96,C96*E96))))))),2)</f>
        <v>0.65</v>
      </c>
      <c r="J96" s="1094"/>
      <c r="K96" s="1098"/>
    </row>
    <row r="97" spans="1:21" s="961" customFormat="1" ht="12" customHeight="1">
      <c r="A97" s="1092"/>
      <c r="B97" s="1175" t="s">
        <v>1963</v>
      </c>
      <c r="C97" s="1176">
        <v>1</v>
      </c>
      <c r="D97" s="1177" t="s">
        <v>388</v>
      </c>
      <c r="E97" s="1178">
        <v>5</v>
      </c>
      <c r="F97" s="1179">
        <v>0.6</v>
      </c>
      <c r="G97" s="1179">
        <v>0.6</v>
      </c>
      <c r="H97" s="1179">
        <v>0.6</v>
      </c>
      <c r="I97" s="1180">
        <f>ROUND(IF(AND(F97:H97),C97*E97*F97*G97*H97,IF(AND(F97,G97),C97*E97*F97*G97,IF(AND(F97,H97),C97*E97*F97*H97,IF(AND(G97,H97),C97*E97*G97*H97,IF(F97,C97*E97*F97,IF(G97,C97*E97*G97,IF(H97,C97*E97*H97,C97*E97))))))),2)</f>
        <v>1.08</v>
      </c>
      <c r="J97" s="1094"/>
      <c r="K97" s="1098"/>
    </row>
    <row r="98" spans="1:21" s="961" customFormat="1" ht="12" customHeight="1">
      <c r="A98" s="1092"/>
      <c r="B98" s="1175" t="s">
        <v>1964</v>
      </c>
      <c r="C98" s="1176">
        <v>1</v>
      </c>
      <c r="D98" s="1177" t="s">
        <v>388</v>
      </c>
      <c r="E98" s="1178">
        <v>4</v>
      </c>
      <c r="F98" s="1179">
        <v>0.6</v>
      </c>
      <c r="G98" s="1179">
        <v>0.6</v>
      </c>
      <c r="H98" s="1179">
        <v>0.6</v>
      </c>
      <c r="I98" s="1180">
        <f>ROUND(IF(AND(F98:H98),C98*E98*F98*G98*H98,IF(AND(F98,G98),C98*E98*F98*G98,IF(AND(F98,H98),C98*E98*F98*H98,IF(AND(G98,H98),C98*E98*G98*H98,IF(F98,C98*E98*F98,IF(G98,C98*E98*G98,IF(H98,C98*E98*H98,C98*E98))))))),2)</f>
        <v>0.86</v>
      </c>
      <c r="J98" s="1094"/>
      <c r="K98" s="1098"/>
    </row>
    <row r="99" spans="1:21" s="961" customFormat="1" ht="12" customHeight="1">
      <c r="A99" s="1092"/>
      <c r="B99" s="1114"/>
      <c r="C99" s="1133"/>
      <c r="D99" s="1156"/>
      <c r="E99" s="1147"/>
      <c r="F99" s="1105"/>
      <c r="G99" s="1105"/>
      <c r="H99" s="1105"/>
      <c r="I99" s="1105">
        <f>SUM(I96:I98)</f>
        <v>2.59</v>
      </c>
      <c r="J99" s="1097">
        <f>data1!G208</f>
        <v>7038.33</v>
      </c>
      <c r="K99" s="1098">
        <f>ROUND((J99*I99)/1,0)</f>
        <v>18229</v>
      </c>
      <c r="L99" s="961">
        <f>ROUND($I$99*data1!H180,2)</f>
        <v>0</v>
      </c>
      <c r="M99" s="961">
        <f>ROUND($I$99*data1!I208,2)</f>
        <v>3675.21</v>
      </c>
      <c r="N99" s="961">
        <f>ROUND($I$99*data1!J208,2)</f>
        <v>0</v>
      </c>
      <c r="O99" s="961">
        <f>ROUND($I$99*data1!K208,2)</f>
        <v>0</v>
      </c>
      <c r="P99" s="961">
        <f>ROUND($I$99*data1!L208,2)</f>
        <v>1522.3</v>
      </c>
      <c r="Q99" s="961">
        <f>ROUND($I$99*data1!M208,2)</f>
        <v>3026.29</v>
      </c>
      <c r="R99" s="961">
        <f>ROUND($I$99*data1!N208,2)</f>
        <v>0</v>
      </c>
      <c r="S99" s="961">
        <f>ROUND($I$99*data1!O208,2)</f>
        <v>0</v>
      </c>
      <c r="T99" s="961">
        <f>ROUND($I$99*data1!P208,2)</f>
        <v>10005.48</v>
      </c>
      <c r="U99" s="961">
        <f>ROUND($I$99*data1!Q208,2)</f>
        <v>18229.27</v>
      </c>
    </row>
    <row r="100" spans="1:21" s="961" customFormat="1" ht="12" customHeight="1">
      <c r="A100" s="1092"/>
      <c r="B100" s="1114"/>
      <c r="C100" s="1133"/>
      <c r="D100" s="1156"/>
      <c r="E100" s="1147"/>
      <c r="F100" s="1105"/>
      <c r="G100" s="1105"/>
      <c r="H100" s="1105"/>
      <c r="I100" s="1105" t="s">
        <v>112</v>
      </c>
      <c r="J100" s="1094"/>
      <c r="K100" s="1098"/>
    </row>
    <row r="101" spans="1:21" s="961" customFormat="1" ht="11.25">
      <c r="A101" s="1092"/>
      <c r="B101" s="1114" t="s">
        <v>1086</v>
      </c>
      <c r="C101" s="1131"/>
      <c r="D101" s="1154"/>
      <c r="E101" s="1145"/>
      <c r="F101" s="1093"/>
      <c r="G101" s="1107"/>
      <c r="H101" s="1107"/>
      <c r="I101" s="1107"/>
      <c r="J101" s="1094"/>
      <c r="K101" s="1098"/>
    </row>
    <row r="102" spans="1:21" s="961" customFormat="1">
      <c r="A102" s="1092"/>
      <c r="B102" s="1175" t="s">
        <v>1128</v>
      </c>
      <c r="C102" s="1176">
        <v>1</v>
      </c>
      <c r="D102" s="1177" t="s">
        <v>388</v>
      </c>
      <c r="E102" s="1178">
        <v>1</v>
      </c>
      <c r="F102" s="1179">
        <v>41.86</v>
      </c>
      <c r="G102" s="1179">
        <v>0.23</v>
      </c>
      <c r="H102" s="1179">
        <v>0.3</v>
      </c>
      <c r="I102" s="1180">
        <f t="shared" ref="I102" si="5">ROUND(IF(AND(F102:H102),C102*E102*F102*G102*H102,IF(AND(F102,G102),C102*E102*F102*G102,IF(AND(F102,H102),C102*E102*F102*H102,IF(AND(G102,H102),C102*E102*G102*H102,IF(F102,C102*E102*F102,IF(G102,C102*E102*G102,IF(H102,C102*E102*H102,C102*E102))))))),2)</f>
        <v>2.89</v>
      </c>
      <c r="J102" s="1094"/>
      <c r="K102" s="1098"/>
    </row>
    <row r="103" spans="1:21" s="961" customFormat="1">
      <c r="A103" s="1092"/>
      <c r="B103" s="1175" t="s">
        <v>1949</v>
      </c>
      <c r="C103" s="1176">
        <v>1</v>
      </c>
      <c r="D103" s="1177" t="s">
        <v>388</v>
      </c>
      <c r="E103" s="1178">
        <v>3</v>
      </c>
      <c r="F103" s="1179">
        <v>0.45</v>
      </c>
      <c r="G103" s="1179">
        <v>0.23</v>
      </c>
      <c r="H103" s="1179">
        <v>0.3</v>
      </c>
      <c r="I103" s="1180">
        <f>-ROUND(IF(AND(F103:H103),C103*E103*F103*G103*H103,IF(AND(F103,G103),C103*E103*F103*G103,IF(AND(F103,H103),C103*E103*F103*H103,IF(AND(G103,H103),C103*E103*G103*H103,IF(F103,C103*E103*F103,IF(G103,C103*E103*G103,IF(H103,C103*E103*H103,C103*E103))))))),2)</f>
        <v>-0.09</v>
      </c>
      <c r="J103" s="1094"/>
      <c r="K103" s="1098"/>
    </row>
    <row r="104" spans="1:21" s="961" customFormat="1">
      <c r="A104" s="1092"/>
      <c r="B104" s="1175" t="s">
        <v>1950</v>
      </c>
      <c r="C104" s="1176">
        <v>1</v>
      </c>
      <c r="D104" s="1177" t="s">
        <v>388</v>
      </c>
      <c r="E104" s="1178">
        <v>7</v>
      </c>
      <c r="F104" s="1179">
        <v>0.38</v>
      </c>
      <c r="G104" s="1179">
        <v>0.23</v>
      </c>
      <c r="H104" s="1179">
        <v>0.3</v>
      </c>
      <c r="I104" s="1180">
        <f>-ROUND(IF(AND(F104:H104),C104*E104*F104*G104*H104,IF(AND(F104,G104),C104*E104*F104*G104,IF(AND(F104,H104),C104*E104*F104*H104,IF(AND(G104,H104),C104*E104*G104*H104,IF(F104,C104*E104*F104,IF(G104,C104*E104*G104,IF(H104,C104*E104*H104,C104*E104))))))),2)</f>
        <v>-0.18</v>
      </c>
      <c r="J104" s="1094"/>
      <c r="K104" s="1098"/>
    </row>
    <row r="105" spans="1:21" s="961" customFormat="1">
      <c r="A105" s="1092"/>
      <c r="B105" s="1175" t="s">
        <v>1951</v>
      </c>
      <c r="C105" s="1176">
        <v>1</v>
      </c>
      <c r="D105" s="1177" t="s">
        <v>388</v>
      </c>
      <c r="E105" s="1178">
        <v>2</v>
      </c>
      <c r="F105" s="1179">
        <v>0.38</v>
      </c>
      <c r="G105" s="1179">
        <v>0.23</v>
      </c>
      <c r="H105" s="1179">
        <v>0.3</v>
      </c>
      <c r="I105" s="1180">
        <f>-ROUND(IF(AND(F105:H105),C105*E105*F105*G105*H105,IF(AND(F105,G105),C105*E105*F105*G105,IF(AND(F105,H105),C105*E105*F105*H105,IF(AND(G105,H105),C105*E105*G105*H105,IF(F105,C105*E105*F105,IF(G105,C105*E105*G105,IF(H105,C105*E105*H105,C105*E105))))))),2)</f>
        <v>-0.05</v>
      </c>
      <c r="J105" s="1094"/>
      <c r="K105" s="1098"/>
    </row>
    <row r="106" spans="1:21" s="961" customFormat="1">
      <c r="A106" s="1092"/>
      <c r="B106" s="1175"/>
      <c r="C106" s="1176"/>
      <c r="D106" s="1177"/>
      <c r="E106" s="1178"/>
      <c r="F106" s="1179"/>
      <c r="G106" s="1179"/>
      <c r="H106" s="1179"/>
      <c r="I106" s="1180"/>
      <c r="J106" s="1094"/>
      <c r="K106" s="1098"/>
    </row>
    <row r="107" spans="1:21" s="961" customFormat="1">
      <c r="A107" s="1092"/>
      <c r="B107" s="1175" t="s">
        <v>1952</v>
      </c>
      <c r="C107" s="1176">
        <v>1</v>
      </c>
      <c r="D107" s="1177" t="s">
        <v>388</v>
      </c>
      <c r="E107" s="1178">
        <v>1</v>
      </c>
      <c r="F107" s="1179">
        <v>8.92</v>
      </c>
      <c r="G107" s="1179">
        <v>0.23</v>
      </c>
      <c r="H107" s="1179">
        <v>0.3</v>
      </c>
      <c r="I107" s="1180">
        <f t="shared" ref="I107:I109" si="6">ROUND(IF(AND(F107:H107),C107*E107*F107*G107*H107,IF(AND(F107,G107),C107*E107*F107*G107,IF(AND(F107,H107),C107*E107*F107*H107,IF(AND(G107,H107),C107*E107*G107*H107,IF(F107,C107*E107*F107,IF(G107,C107*E107*G107,IF(H107,C107*E107*H107,C107*E107))))))),2)</f>
        <v>0.62</v>
      </c>
      <c r="J107" s="1094"/>
      <c r="K107" s="1098"/>
    </row>
    <row r="108" spans="1:21" s="961" customFormat="1">
      <c r="A108" s="1092"/>
      <c r="B108" s="1175" t="s">
        <v>1952</v>
      </c>
      <c r="C108" s="1176">
        <v>1</v>
      </c>
      <c r="D108" s="1177" t="s">
        <v>388</v>
      </c>
      <c r="E108" s="1178">
        <v>1</v>
      </c>
      <c r="F108" s="1179">
        <v>7.67</v>
      </c>
      <c r="G108" s="1179">
        <v>0.23</v>
      </c>
      <c r="H108" s="1179">
        <v>0.3</v>
      </c>
      <c r="I108" s="1180">
        <f t="shared" si="6"/>
        <v>0.53</v>
      </c>
      <c r="J108" s="1094"/>
      <c r="K108" s="1098"/>
    </row>
    <row r="109" spans="1:21" s="961" customFormat="1">
      <c r="A109" s="1092"/>
      <c r="B109" s="1175" t="s">
        <v>1952</v>
      </c>
      <c r="C109" s="1176">
        <v>1</v>
      </c>
      <c r="D109" s="1177" t="s">
        <v>388</v>
      </c>
      <c r="E109" s="1178">
        <v>2</v>
      </c>
      <c r="F109" s="1179">
        <v>3.44</v>
      </c>
      <c r="G109" s="1179">
        <v>0.23</v>
      </c>
      <c r="H109" s="1179">
        <v>0.3</v>
      </c>
      <c r="I109" s="1180">
        <f t="shared" si="6"/>
        <v>0.47</v>
      </c>
      <c r="J109" s="1094"/>
      <c r="K109" s="1098"/>
    </row>
    <row r="110" spans="1:21" s="961" customFormat="1">
      <c r="A110" s="1092"/>
      <c r="B110" s="1181"/>
      <c r="C110" s="1176"/>
      <c r="D110" s="1177"/>
      <c r="E110" s="1178"/>
      <c r="F110" s="1179"/>
      <c r="G110" s="1179"/>
      <c r="H110" s="1179"/>
      <c r="I110" s="1180"/>
      <c r="J110" s="1094"/>
      <c r="K110" s="1098"/>
    </row>
    <row r="111" spans="1:21" s="961" customFormat="1">
      <c r="A111" s="1092"/>
      <c r="B111" s="1175" t="s">
        <v>1953</v>
      </c>
      <c r="C111" s="1176">
        <v>1</v>
      </c>
      <c r="D111" s="1177" t="s">
        <v>388</v>
      </c>
      <c r="E111" s="1178">
        <v>1</v>
      </c>
      <c r="F111" s="1179">
        <v>4.51</v>
      </c>
      <c r="G111" s="1179">
        <v>0.23</v>
      </c>
      <c r="H111" s="1179">
        <v>0.3</v>
      </c>
      <c r="I111" s="1180">
        <f t="shared" ref="I111:I113" si="7">ROUND(IF(AND(F111:H111),C111*E111*F111*G111*H111,IF(AND(F111,G111),C111*E111*F111*G111,IF(AND(F111,H111),C111*E111*F111*H111,IF(AND(G111,H111),C111*E111*G111*H111,IF(F111,C111*E111*F111,IF(G111,C111*E111*G111,IF(H111,C111*E111*H111,C111*E111))))))),2)</f>
        <v>0.31</v>
      </c>
      <c r="J111" s="1094"/>
      <c r="K111" s="1098"/>
    </row>
    <row r="112" spans="1:21" s="961" customFormat="1">
      <c r="A112" s="1092"/>
      <c r="B112" s="1175" t="s">
        <v>1954</v>
      </c>
      <c r="C112" s="1176">
        <v>1</v>
      </c>
      <c r="D112" s="1177" t="s">
        <v>388</v>
      </c>
      <c r="E112" s="1178">
        <v>3</v>
      </c>
      <c r="F112" s="1179">
        <v>1.08</v>
      </c>
      <c r="G112" s="1179">
        <v>0.23</v>
      </c>
      <c r="H112" s="1179">
        <v>0.3</v>
      </c>
      <c r="I112" s="1180">
        <f t="shared" si="7"/>
        <v>0.22</v>
      </c>
      <c r="J112" s="1094"/>
      <c r="K112" s="1098"/>
    </row>
    <row r="113" spans="1:21" s="961" customFormat="1">
      <c r="A113" s="1092"/>
      <c r="B113" s="1175" t="s">
        <v>1955</v>
      </c>
      <c r="C113" s="1176">
        <v>1</v>
      </c>
      <c r="D113" s="1177" t="s">
        <v>388</v>
      </c>
      <c r="E113" s="1178">
        <v>1</v>
      </c>
      <c r="F113" s="1179">
        <v>2.4350000000000001</v>
      </c>
      <c r="G113" s="1179">
        <v>0.23</v>
      </c>
      <c r="H113" s="1179">
        <v>0.3</v>
      </c>
      <c r="I113" s="1180">
        <f t="shared" si="7"/>
        <v>0.17</v>
      </c>
      <c r="J113" s="1094"/>
      <c r="K113" s="1098"/>
    </row>
    <row r="114" spans="1:21" s="961" customFormat="1" ht="11.25">
      <c r="A114" s="1092"/>
      <c r="B114" s="1095"/>
      <c r="C114" s="1131"/>
      <c r="D114" s="1154"/>
      <c r="E114" s="1145"/>
      <c r="F114" s="1093"/>
      <c r="G114" s="1107"/>
      <c r="H114" s="1107"/>
      <c r="I114" s="1116">
        <f>SUM(I102:I113)</f>
        <v>4.8899999999999997</v>
      </c>
      <c r="J114" s="1097">
        <f>data1!G216</f>
        <v>8617.33</v>
      </c>
      <c r="K114" s="1098">
        <f>ROUND((J114*I114)/1,0)</f>
        <v>42139</v>
      </c>
      <c r="L114" s="961">
        <f>ROUND($I$114*data1!H216,2)</f>
        <v>0</v>
      </c>
      <c r="M114" s="961">
        <f>ROUND($I$114*data1!I216,2)</f>
        <v>6938.91</v>
      </c>
      <c r="N114" s="961">
        <f>ROUND($I$114*data1!J216,2)</f>
        <v>0</v>
      </c>
      <c r="O114" s="961">
        <f>ROUND($I$114*data1!K216,2)</f>
        <v>0</v>
      </c>
      <c r="P114" s="961">
        <f>ROUND($I$114*data1!L216,2)</f>
        <v>2874.15</v>
      </c>
      <c r="Q114" s="961">
        <f>ROUND($I$114*data1!M216,2)</f>
        <v>5713.72</v>
      </c>
      <c r="R114" s="961">
        <f>ROUND($I$114*data1!N216,2)</f>
        <v>0</v>
      </c>
      <c r="S114" s="961">
        <f>ROUND($I$114*data1!O216,2)</f>
        <v>0</v>
      </c>
      <c r="T114" s="961">
        <f>ROUND($I$114*data1!P216,2)</f>
        <v>26611.97</v>
      </c>
      <c r="U114" s="961">
        <f>ROUND($I$114*data1!Q216,2)</f>
        <v>42138.74</v>
      </c>
    </row>
    <row r="115" spans="1:21" s="961" customFormat="1" ht="11.25">
      <c r="A115" s="1092"/>
      <c r="B115" s="1095"/>
      <c r="C115" s="1131"/>
      <c r="D115" s="1154"/>
      <c r="E115" s="1145"/>
      <c r="F115" s="1093"/>
      <c r="G115" s="1107"/>
      <c r="H115" s="1107"/>
      <c r="I115" s="1116" t="s">
        <v>112</v>
      </c>
      <c r="J115" s="1094"/>
      <c r="K115" s="1098"/>
    </row>
    <row r="116" spans="1:21" s="961" customFormat="1" ht="147.75" customHeight="1">
      <c r="A116" s="1092"/>
      <c r="B116" s="1289" t="s">
        <v>1944</v>
      </c>
      <c r="C116" s="1289"/>
      <c r="D116" s="1289"/>
      <c r="E116" s="1289"/>
      <c r="F116" s="1289"/>
      <c r="G116" s="1289"/>
      <c r="H116" s="1289"/>
      <c r="I116" s="1116"/>
      <c r="J116" s="1094"/>
      <c r="K116" s="1098"/>
    </row>
    <row r="117" spans="1:21" s="961" customFormat="1" ht="12" customHeight="1">
      <c r="A117" s="1092"/>
      <c r="B117" s="1114" t="s">
        <v>1067</v>
      </c>
      <c r="C117" s="1133"/>
      <c r="D117" s="1156"/>
      <c r="E117" s="1147"/>
      <c r="F117" s="1105"/>
      <c r="G117" s="1105"/>
      <c r="H117" s="1105"/>
      <c r="I117" s="1105"/>
      <c r="J117" s="1094"/>
      <c r="K117" s="1098"/>
    </row>
    <row r="118" spans="1:21" s="961" customFormat="1" ht="12" customHeight="1">
      <c r="A118" s="1092"/>
      <c r="B118" s="1175" t="s">
        <v>1966</v>
      </c>
      <c r="C118" s="1195">
        <v>1</v>
      </c>
      <c r="D118" s="1196" t="s">
        <v>388</v>
      </c>
      <c r="E118" s="1197">
        <v>3</v>
      </c>
      <c r="F118" s="1198">
        <v>0.45</v>
      </c>
      <c r="G118" s="1198">
        <v>0.3</v>
      </c>
      <c r="H118" s="1201">
        <f>0.3+3.85-0.125</f>
        <v>4.0250000000000004</v>
      </c>
      <c r="I118" s="1180">
        <f>ROUND(IF(AND(F118:H118),C118*E118*F118*G118*H118,IF(AND(F118,G118),C118*E118*F118*G118,IF(AND(F118,H118),C118*E118*F118*H118,IF(AND(G118,H118),C118*E118*G118*H118,IF(F118,C118*E118*F118,IF(G118,C118*E118*G118,IF(H118,C118*E118*H118,C118*E118))))))),2)</f>
        <v>1.63</v>
      </c>
      <c r="J118" s="1097"/>
      <c r="K118" s="1098"/>
    </row>
    <row r="119" spans="1:21" s="961" customFormat="1" ht="23.25" customHeight="1">
      <c r="A119" s="1092"/>
      <c r="B119" s="1175" t="s">
        <v>1967</v>
      </c>
      <c r="C119" s="1195">
        <v>1</v>
      </c>
      <c r="D119" s="1196" t="s">
        <v>388</v>
      </c>
      <c r="E119" s="1197">
        <v>5</v>
      </c>
      <c r="F119" s="1198">
        <v>0.38</v>
      </c>
      <c r="G119" s="1198">
        <v>0.3</v>
      </c>
      <c r="H119" s="1201">
        <f>0.3+3.925-0.125</f>
        <v>4.0999999999999996</v>
      </c>
      <c r="I119" s="1180">
        <f>ROUND(IF(AND(F119:H119),C119*E119*F119*G119*H119,IF(AND(F119,G119),C119*E119*F119*G119,IF(AND(F119,H119),C119*E119*F119*H119,IF(AND(G119,H119),C119*E119*G119*H119,IF(F119,C119*E119*F119,IF(G119,C119*E119*G119,IF(H119,C119*E119*H119,C119*E119))))))),2)</f>
        <v>2.34</v>
      </c>
      <c r="J119" s="1111"/>
      <c r="K119" s="1098"/>
    </row>
    <row r="120" spans="1:21" s="961" customFormat="1" ht="12" customHeight="1">
      <c r="A120" s="1092"/>
      <c r="B120" s="1175" t="s">
        <v>1968</v>
      </c>
      <c r="C120" s="1195">
        <v>1</v>
      </c>
      <c r="D120" s="1196" t="s">
        <v>388</v>
      </c>
      <c r="E120" s="1197">
        <v>2</v>
      </c>
      <c r="F120" s="1198">
        <v>0.38</v>
      </c>
      <c r="G120" s="1198">
        <v>0.3</v>
      </c>
      <c r="H120" s="1201">
        <f>0.3+3.975-0.125</f>
        <v>4.1500000000000004</v>
      </c>
      <c r="I120" s="1180">
        <f>ROUND(IF(AND(F120:H120),C120*E120*F120*G120*H120,IF(AND(F120,G120),C120*E120*F120*G120,IF(AND(F120,H120),C120*E120*F120*H120,IF(AND(G120,H120),C120*E120*G120*H120,IF(F120,C120*E120*F120,IF(G120,C120*E120*G120,IF(H120,C120*E120*H120,C120*E120))))))),2)</f>
        <v>0.95</v>
      </c>
      <c r="J120" s="1094"/>
      <c r="K120" s="1098"/>
    </row>
    <row r="121" spans="1:21" s="961" customFormat="1" ht="12" customHeight="1">
      <c r="A121" s="1092"/>
      <c r="B121" s="1175" t="s">
        <v>1969</v>
      </c>
      <c r="C121" s="1195">
        <v>1</v>
      </c>
      <c r="D121" s="1196" t="s">
        <v>388</v>
      </c>
      <c r="E121" s="1197">
        <v>2</v>
      </c>
      <c r="F121" s="1198">
        <v>0.38</v>
      </c>
      <c r="G121" s="1198">
        <v>0.3</v>
      </c>
      <c r="H121" s="1201">
        <f>0.3+3.975-0.125</f>
        <v>4.1500000000000004</v>
      </c>
      <c r="I121" s="1180">
        <f>ROUND(IF(AND(F121:H121),C121*E121*F121*G121*H121,IF(AND(F121,G121),C121*E121*F121*G121,IF(AND(F121,H121),C121*E121*F121*H121,IF(AND(G121,H121),C121*E121*G121*H121,IF(F121,C121*E121*F121,IF(G121,C121*E121*G121,IF(H121,C121*E121*H121,C121*E121))))))),2)</f>
        <v>0.95</v>
      </c>
      <c r="J121" s="1094"/>
      <c r="K121" s="1098"/>
    </row>
    <row r="122" spans="1:21" s="961" customFormat="1" ht="11.25">
      <c r="A122" s="1092"/>
      <c r="B122" s="1107"/>
      <c r="C122" s="1131"/>
      <c r="D122" s="1154"/>
      <c r="E122" s="1145"/>
      <c r="F122" s="1093"/>
      <c r="G122" s="1107"/>
      <c r="H122" s="1107"/>
      <c r="I122" s="1116">
        <f>SUM(I118:I121)</f>
        <v>5.87</v>
      </c>
      <c r="J122" s="1097">
        <f>data1!E256</f>
        <v>8762.33</v>
      </c>
      <c r="K122" s="1098">
        <f>ROUND((J122*I122)/1,0)</f>
        <v>51435</v>
      </c>
      <c r="L122" s="961">
        <f>ROUND($I$122*data1!H256,2)</f>
        <v>0</v>
      </c>
      <c r="M122" s="961">
        <f>ROUND($I$122*data1!I256,2)</f>
        <v>8329.5300000000007</v>
      </c>
      <c r="N122" s="961">
        <f>ROUND($I$122*data1!J256,2)</f>
        <v>0</v>
      </c>
      <c r="O122" s="961">
        <f>ROUND($I$122*data1!K256,2)</f>
        <v>0</v>
      </c>
      <c r="P122" s="961">
        <f>ROUND($I$122*data1!L256,2)</f>
        <v>3450.15</v>
      </c>
      <c r="Q122" s="961">
        <f>ROUND($I$122*data1!M256,2)</f>
        <v>6858.8</v>
      </c>
      <c r="R122" s="961">
        <f>ROUND($I$122*data1!N256,2)</f>
        <v>0</v>
      </c>
      <c r="S122" s="961">
        <f>ROUND($I$122*data1!O256,2)</f>
        <v>0</v>
      </c>
      <c r="T122" s="961">
        <f>ROUND($I$122*data1!P256,2)</f>
        <v>30250.58</v>
      </c>
      <c r="U122" s="961">
        <f>ROUND($I$122*data1!Q256,2)</f>
        <v>48889.06</v>
      </c>
    </row>
    <row r="123" spans="1:21" s="961" customFormat="1" ht="11.25">
      <c r="A123" s="1092"/>
      <c r="B123" s="1107"/>
      <c r="C123" s="1131"/>
      <c r="D123" s="1154"/>
      <c r="E123" s="1145"/>
      <c r="F123" s="1093"/>
      <c r="G123" s="1107"/>
      <c r="H123" s="1107"/>
      <c r="I123" s="1116" t="s">
        <v>112</v>
      </c>
      <c r="J123" s="1094"/>
      <c r="K123" s="1098"/>
      <c r="L123" s="981"/>
      <c r="M123" s="981"/>
      <c r="N123" s="981"/>
      <c r="O123" s="981"/>
      <c r="P123" s="981"/>
      <c r="Q123" s="981"/>
      <c r="R123" s="981"/>
      <c r="S123" s="981"/>
      <c r="T123" s="981"/>
    </row>
    <row r="124" spans="1:21" s="961" customFormat="1" ht="11.25">
      <c r="A124" s="1092"/>
      <c r="B124" s="1107"/>
      <c r="C124" s="1131"/>
      <c r="D124" s="1154"/>
      <c r="E124" s="1145"/>
      <c r="F124" s="1093"/>
      <c r="G124" s="1107"/>
      <c r="H124" s="1107"/>
      <c r="I124" s="1116" t="s">
        <v>112</v>
      </c>
      <c r="J124" s="1094"/>
      <c r="K124" s="1098"/>
    </row>
    <row r="125" spans="1:21" s="961" customFormat="1" ht="11.25">
      <c r="A125" s="1092"/>
      <c r="B125" s="1117" t="s">
        <v>1087</v>
      </c>
      <c r="C125" s="1131"/>
      <c r="D125" s="1154"/>
      <c r="E125" s="1145"/>
      <c r="F125" s="1093"/>
      <c r="G125" s="1107"/>
      <c r="H125" s="1107"/>
      <c r="I125" s="1105"/>
      <c r="J125" s="1094"/>
      <c r="K125" s="1098"/>
    </row>
    <row r="126" spans="1:21" s="961" customFormat="1">
      <c r="A126" s="1092"/>
      <c r="B126" s="1175" t="s">
        <v>1128</v>
      </c>
      <c r="C126" s="1176">
        <v>1</v>
      </c>
      <c r="D126" s="1177" t="s">
        <v>388</v>
      </c>
      <c r="E126" s="1178">
        <v>1</v>
      </c>
      <c r="F126" s="1179">
        <v>41.86</v>
      </c>
      <c r="G126" s="1179">
        <v>0.23</v>
      </c>
      <c r="H126" s="1179">
        <v>0.15</v>
      </c>
      <c r="I126" s="1180">
        <f t="shared" ref="I126" si="8">ROUND(IF(AND(F126:H126),C126*E126*F126*G126*H126,IF(AND(F126,G126),C126*E126*F126*G126,IF(AND(F126,H126),C126*E126*F126*H126,IF(AND(G126,H126),C126*E126*G126*H126,IF(F126,C126*E126*F126,IF(G126,C126*E126*G126,IF(H126,C126*E126*H126,C126*E126))))))),2)</f>
        <v>1.44</v>
      </c>
      <c r="J126" s="1094"/>
      <c r="K126" s="1098"/>
    </row>
    <row r="127" spans="1:21" s="961" customFormat="1">
      <c r="A127" s="1092"/>
      <c r="B127" s="1175" t="s">
        <v>1949</v>
      </c>
      <c r="C127" s="1176">
        <v>1</v>
      </c>
      <c r="D127" s="1177" t="s">
        <v>388</v>
      </c>
      <c r="E127" s="1178">
        <v>3</v>
      </c>
      <c r="F127" s="1179">
        <v>0.45</v>
      </c>
      <c r="G127" s="1179">
        <v>0.23</v>
      </c>
      <c r="H127" s="1179">
        <v>0.15</v>
      </c>
      <c r="I127" s="1180">
        <f>-ROUND(IF(AND(F127:H127),C127*E127*F127*G127*H127,IF(AND(F127,G127),C127*E127*F127*G127,IF(AND(F127,H127),C127*E127*F127*H127,IF(AND(G127,H127),C127*E127*G127*H127,IF(F127,C127*E127*F127,IF(G127,C127*E127*G127,IF(H127,C127*E127*H127,C127*E127))))))),2)</f>
        <v>-0.05</v>
      </c>
      <c r="J127" s="1094"/>
      <c r="K127" s="1098"/>
    </row>
    <row r="128" spans="1:21" s="961" customFormat="1">
      <c r="A128" s="1092"/>
      <c r="B128" s="1175" t="s">
        <v>1950</v>
      </c>
      <c r="C128" s="1176">
        <v>1</v>
      </c>
      <c r="D128" s="1177" t="s">
        <v>388</v>
      </c>
      <c r="E128" s="1178">
        <v>7</v>
      </c>
      <c r="F128" s="1179">
        <v>0.38</v>
      </c>
      <c r="G128" s="1179">
        <v>0.23</v>
      </c>
      <c r="H128" s="1179">
        <v>0.15</v>
      </c>
      <c r="I128" s="1180">
        <f>-ROUND(IF(AND(F128:H128),C128*E128*F128*G128*H128,IF(AND(F128,G128),C128*E128*F128*G128,IF(AND(F128,H128),C128*E128*F128*H128,IF(AND(G128,H128),C128*E128*G128*H128,IF(F128,C128*E128*F128,IF(G128,C128*E128*G128,IF(H128,C128*E128*H128,C128*E128))))))),2)</f>
        <v>-0.09</v>
      </c>
      <c r="J128" s="1094"/>
      <c r="K128" s="1098"/>
    </row>
    <row r="129" spans="1:21" s="961" customFormat="1">
      <c r="A129" s="1092"/>
      <c r="B129" s="1175" t="s">
        <v>1951</v>
      </c>
      <c r="C129" s="1176">
        <v>1</v>
      </c>
      <c r="D129" s="1177" t="s">
        <v>388</v>
      </c>
      <c r="E129" s="1178">
        <v>2</v>
      </c>
      <c r="F129" s="1179">
        <v>0.38</v>
      </c>
      <c r="G129" s="1179">
        <v>0.23</v>
      </c>
      <c r="H129" s="1179">
        <v>0.15</v>
      </c>
      <c r="I129" s="1180">
        <f>-ROUND(IF(AND(F129:H129),C129*E129*F129*G129*H129,IF(AND(F129,G129),C129*E129*F129*G129,IF(AND(F129,H129),C129*E129*F129*H129,IF(AND(G129,H129),C129*E129*G129*H129,IF(F129,C129*E129*F129,IF(G129,C129*E129*G129,IF(H129,C129*E129*H129,C129*E129))))))),2)</f>
        <v>-0.03</v>
      </c>
      <c r="J129" s="1094"/>
      <c r="K129" s="1098"/>
    </row>
    <row r="130" spans="1:21" s="961" customFormat="1">
      <c r="A130" s="1092"/>
      <c r="B130" s="1175"/>
      <c r="C130" s="1176"/>
      <c r="D130" s="1177"/>
      <c r="E130" s="1178"/>
      <c r="F130" s="1179"/>
      <c r="G130" s="1179"/>
      <c r="H130" s="1179"/>
      <c r="I130" s="1180"/>
      <c r="J130" s="1094"/>
      <c r="K130" s="1098"/>
    </row>
    <row r="131" spans="1:21" s="961" customFormat="1">
      <c r="A131" s="1092"/>
      <c r="B131" s="1175" t="s">
        <v>1952</v>
      </c>
      <c r="C131" s="1176">
        <v>1</v>
      </c>
      <c r="D131" s="1177" t="s">
        <v>388</v>
      </c>
      <c r="E131" s="1178">
        <v>1</v>
      </c>
      <c r="F131" s="1179">
        <v>8.92</v>
      </c>
      <c r="G131" s="1179">
        <v>0.23</v>
      </c>
      <c r="H131" s="1179">
        <v>0.15</v>
      </c>
      <c r="I131" s="1180">
        <f t="shared" ref="I131:I133" si="9">ROUND(IF(AND(F131:H131),C131*E131*F131*G131*H131,IF(AND(F131,G131),C131*E131*F131*G131,IF(AND(F131,H131),C131*E131*F131*H131,IF(AND(G131,H131),C131*E131*G131*H131,IF(F131,C131*E131*F131,IF(G131,C131*E131*G131,IF(H131,C131*E131*H131,C131*E131))))))),2)</f>
        <v>0.31</v>
      </c>
      <c r="J131" s="1094"/>
      <c r="K131" s="1098"/>
    </row>
    <row r="132" spans="1:21" s="961" customFormat="1">
      <c r="A132" s="1092"/>
      <c r="B132" s="1175" t="s">
        <v>1952</v>
      </c>
      <c r="C132" s="1176">
        <v>1</v>
      </c>
      <c r="D132" s="1177" t="s">
        <v>388</v>
      </c>
      <c r="E132" s="1178">
        <v>1</v>
      </c>
      <c r="F132" s="1179">
        <v>7.67</v>
      </c>
      <c r="G132" s="1179">
        <v>0.23</v>
      </c>
      <c r="H132" s="1179">
        <v>0.15</v>
      </c>
      <c r="I132" s="1180">
        <f t="shared" si="9"/>
        <v>0.26</v>
      </c>
      <c r="J132" s="1094"/>
      <c r="K132" s="1098"/>
    </row>
    <row r="133" spans="1:21" s="961" customFormat="1">
      <c r="A133" s="1092"/>
      <c r="B133" s="1175" t="s">
        <v>1952</v>
      </c>
      <c r="C133" s="1176">
        <v>1</v>
      </c>
      <c r="D133" s="1177" t="s">
        <v>388</v>
      </c>
      <c r="E133" s="1178">
        <v>2</v>
      </c>
      <c r="F133" s="1179">
        <v>3.44</v>
      </c>
      <c r="G133" s="1179">
        <v>0.23</v>
      </c>
      <c r="H133" s="1179">
        <v>0.15</v>
      </c>
      <c r="I133" s="1180">
        <f t="shared" si="9"/>
        <v>0.24</v>
      </c>
      <c r="J133" s="1094"/>
      <c r="K133" s="1098"/>
    </row>
    <row r="134" spans="1:21" s="961" customFormat="1">
      <c r="A134" s="1092"/>
      <c r="B134" s="1181"/>
      <c r="C134" s="1176"/>
      <c r="D134" s="1177"/>
      <c r="E134" s="1178"/>
      <c r="F134" s="1179"/>
      <c r="G134" s="1179"/>
      <c r="H134" s="1179"/>
      <c r="I134" s="1180"/>
      <c r="J134" s="1094"/>
      <c r="K134" s="1098"/>
    </row>
    <row r="135" spans="1:21" s="961" customFormat="1">
      <c r="A135" s="1092"/>
      <c r="B135" s="1175" t="s">
        <v>1953</v>
      </c>
      <c r="C135" s="1176">
        <v>1</v>
      </c>
      <c r="D135" s="1177" t="s">
        <v>388</v>
      </c>
      <c r="E135" s="1178">
        <v>1</v>
      </c>
      <c r="F135" s="1179">
        <v>4.51</v>
      </c>
      <c r="G135" s="1179">
        <v>0.115</v>
      </c>
      <c r="H135" s="1179">
        <v>0.15</v>
      </c>
      <c r="I135" s="1180">
        <f t="shared" ref="I135:I137" si="10">ROUND(IF(AND(F135:H135),C135*E135*F135*G135*H135,IF(AND(F135,G135),C135*E135*F135*G135,IF(AND(F135,H135),C135*E135*F135*H135,IF(AND(G135,H135),C135*E135*G135*H135,IF(F135,C135*E135*F135,IF(G135,C135*E135*G135,IF(H135,C135*E135*H135,C135*E135))))))),2)</f>
        <v>0.08</v>
      </c>
      <c r="J135" s="1094"/>
      <c r="K135" s="1098"/>
    </row>
    <row r="136" spans="1:21" s="961" customFormat="1">
      <c r="A136" s="1092"/>
      <c r="B136" s="1175" t="s">
        <v>1954</v>
      </c>
      <c r="C136" s="1176">
        <v>1</v>
      </c>
      <c r="D136" s="1177" t="s">
        <v>388</v>
      </c>
      <c r="E136" s="1178">
        <v>3</v>
      </c>
      <c r="F136" s="1179">
        <v>1.08</v>
      </c>
      <c r="G136" s="1179">
        <v>0.115</v>
      </c>
      <c r="H136" s="1179">
        <v>0.15</v>
      </c>
      <c r="I136" s="1180">
        <f t="shared" si="10"/>
        <v>0.06</v>
      </c>
      <c r="J136" s="1094"/>
      <c r="K136" s="1098"/>
    </row>
    <row r="137" spans="1:21" s="961" customFormat="1">
      <c r="A137" s="1092"/>
      <c r="B137" s="1175" t="s">
        <v>1955</v>
      </c>
      <c r="C137" s="1176">
        <v>1</v>
      </c>
      <c r="D137" s="1177" t="s">
        <v>388</v>
      </c>
      <c r="E137" s="1178">
        <v>1</v>
      </c>
      <c r="F137" s="1179">
        <v>2.4350000000000001</v>
      </c>
      <c r="G137" s="1179">
        <v>0.115</v>
      </c>
      <c r="H137" s="1179">
        <v>0.15</v>
      </c>
      <c r="I137" s="1180">
        <f t="shared" si="10"/>
        <v>0.04</v>
      </c>
      <c r="J137" s="1094"/>
      <c r="K137" s="1098"/>
    </row>
    <row r="138" spans="1:21" s="961" customFormat="1" ht="11.25">
      <c r="A138" s="1092"/>
      <c r="B138" s="1107"/>
      <c r="C138" s="1131"/>
      <c r="D138" s="1154"/>
      <c r="E138" s="1145"/>
      <c r="F138" s="1093"/>
      <c r="G138" s="1107"/>
      <c r="H138" s="1107"/>
      <c r="I138" s="1116">
        <f>SUM(I126:I137)</f>
        <v>2.2600000000000002</v>
      </c>
      <c r="J138" s="1097">
        <f>data1!E245</f>
        <v>8934.33</v>
      </c>
      <c r="K138" s="1098">
        <f>ROUND(J138*I138,0)</f>
        <v>20192</v>
      </c>
      <c r="L138" s="961">
        <f>ROUND($I$138*data1!H245,2)</f>
        <v>0</v>
      </c>
      <c r="M138" s="961">
        <f>ROUND($I$138*data1!I245,2)</f>
        <v>3206.94</v>
      </c>
      <c r="N138" s="961">
        <f>ROUND($I$138*data1!J245,2)</f>
        <v>0</v>
      </c>
      <c r="O138" s="961">
        <f>ROUND($I$138*data1!K245,2)</f>
        <v>0</v>
      </c>
      <c r="P138" s="961">
        <f>ROUND($I$138*data1!L245,2)</f>
        <v>1328.34</v>
      </c>
      <c r="Q138" s="961">
        <f>ROUND($I$138*data1!M245,2)</f>
        <v>2640.7</v>
      </c>
      <c r="R138" s="961">
        <f>ROUND($I$138*data1!N245,2)</f>
        <v>0</v>
      </c>
      <c r="S138" s="961">
        <f>ROUND($I$138*data1!O245,2)</f>
        <v>0</v>
      </c>
      <c r="T138" s="961">
        <f>ROUND($I$138*data1!P245,2)</f>
        <v>12035.45</v>
      </c>
      <c r="U138" s="961">
        <f>ROUND($I$138*data1!Q245,2)</f>
        <v>19211.419999999998</v>
      </c>
    </row>
    <row r="139" spans="1:21" s="961" customFormat="1" ht="11.25">
      <c r="A139" s="1092"/>
      <c r="B139" s="1107"/>
      <c r="C139" s="1131"/>
      <c r="D139" s="1154"/>
      <c r="E139" s="1145"/>
      <c r="F139" s="1093"/>
      <c r="G139" s="1107"/>
      <c r="H139" s="1107"/>
      <c r="I139" s="1116" t="s">
        <v>112</v>
      </c>
      <c r="J139" s="1094"/>
      <c r="K139" s="1098"/>
    </row>
    <row r="140" spans="1:21" s="961" customFormat="1" ht="135" customHeight="1">
      <c r="A140" s="1092"/>
      <c r="B140" s="1289" t="s">
        <v>1945</v>
      </c>
      <c r="C140" s="1289"/>
      <c r="D140" s="1289"/>
      <c r="E140" s="1289"/>
      <c r="F140" s="1289"/>
      <c r="G140" s="1289"/>
      <c r="H140" s="1289"/>
      <c r="I140" s="1116"/>
      <c r="J140" s="1094"/>
      <c r="K140" s="1098"/>
    </row>
    <row r="141" spans="1:21" s="961" customFormat="1" ht="11.25" hidden="1">
      <c r="A141" s="1092"/>
      <c r="B141" s="1114" t="s">
        <v>1078</v>
      </c>
      <c r="C141" s="1131"/>
      <c r="D141" s="1154"/>
      <c r="E141" s="1145"/>
      <c r="F141" s="1093"/>
      <c r="G141" s="1107"/>
      <c r="H141" s="1107"/>
      <c r="I141" s="1116"/>
      <c r="J141" s="1094"/>
      <c r="K141" s="1098"/>
    </row>
    <row r="142" spans="1:21" s="961" customFormat="1" ht="11.25" hidden="1">
      <c r="A142" s="1092"/>
      <c r="B142" s="1095" t="s">
        <v>1074</v>
      </c>
      <c r="C142" s="1131">
        <v>1</v>
      </c>
      <c r="D142" s="1154"/>
      <c r="E142" s="1145"/>
      <c r="F142" s="1093">
        <v>3.56</v>
      </c>
      <c r="G142" s="1107">
        <v>1.4750000000000001</v>
      </c>
      <c r="H142" s="1107"/>
      <c r="I142" s="1105">
        <f>ROUND(C142*F142*G142,2)</f>
        <v>5.25</v>
      </c>
      <c r="J142" s="1094"/>
      <c r="K142" s="1098"/>
    </row>
    <row r="143" spans="1:21" s="961" customFormat="1" ht="11.25" hidden="1">
      <c r="A143" s="1092"/>
      <c r="B143" s="1095" t="s">
        <v>1075</v>
      </c>
      <c r="C143" s="1131">
        <v>1</v>
      </c>
      <c r="D143" s="1154"/>
      <c r="E143" s="1145"/>
      <c r="F143" s="1093">
        <v>3.18</v>
      </c>
      <c r="G143" s="1106">
        <v>1</v>
      </c>
      <c r="H143" s="1107"/>
      <c r="I143" s="1105">
        <f>ROUND(C143*F143*G143,2)</f>
        <v>3.18</v>
      </c>
      <c r="J143" s="1094"/>
      <c r="K143" s="1098"/>
    </row>
    <row r="144" spans="1:21" s="961" customFormat="1" ht="11.25" hidden="1">
      <c r="A144" s="1092"/>
      <c r="B144" s="1095" t="s">
        <v>1076</v>
      </c>
      <c r="C144" s="1131">
        <v>1</v>
      </c>
      <c r="D144" s="1154"/>
      <c r="E144" s="1145"/>
      <c r="F144" s="1093">
        <v>3.56</v>
      </c>
      <c r="G144" s="1107">
        <v>1.4750000000000001</v>
      </c>
      <c r="H144" s="1107"/>
      <c r="I144" s="1105">
        <f>ROUND(C144*F144*G144,2)</f>
        <v>5.25</v>
      </c>
      <c r="J144" s="1094"/>
      <c r="K144" s="1098"/>
    </row>
    <row r="145" spans="1:21" s="961" customFormat="1" ht="11.25" hidden="1">
      <c r="A145" s="1092"/>
      <c r="B145" s="1095" t="s">
        <v>1079</v>
      </c>
      <c r="C145" s="1131">
        <v>1</v>
      </c>
      <c r="D145" s="1154"/>
      <c r="E145" s="1145"/>
      <c r="F145" s="1118">
        <v>1</v>
      </c>
      <c r="G145" s="1107">
        <v>1.1499999999999999</v>
      </c>
      <c r="H145" s="1107"/>
      <c r="I145" s="1105">
        <f>ROUND(C145*F145*G145,2)</f>
        <v>1.1499999999999999</v>
      </c>
      <c r="J145" s="1094"/>
      <c r="K145" s="1098"/>
    </row>
    <row r="146" spans="1:21" s="961" customFormat="1" ht="11.25" hidden="1">
      <c r="A146" s="1092"/>
      <c r="B146" s="1095" t="s">
        <v>1057</v>
      </c>
      <c r="C146" s="1131"/>
      <c r="D146" s="1154"/>
      <c r="E146" s="1145"/>
      <c r="F146" s="1118"/>
      <c r="G146" s="1107"/>
      <c r="H146" s="1107"/>
      <c r="I146" s="1105">
        <v>0.02</v>
      </c>
      <c r="J146" s="1094"/>
      <c r="K146" s="1098"/>
    </row>
    <row r="147" spans="1:21" s="961" customFormat="1" ht="11.25" hidden="1">
      <c r="A147" s="1092"/>
      <c r="B147" s="1095"/>
      <c r="C147" s="1131"/>
      <c r="D147" s="1154"/>
      <c r="E147" s="1145"/>
      <c r="F147" s="1093"/>
      <c r="G147" s="1107"/>
      <c r="H147" s="1107"/>
      <c r="I147" s="1116"/>
      <c r="J147" s="1097">
        <f>data1!E307</f>
        <v>1142.77</v>
      </c>
      <c r="K147" s="1098">
        <f>ROUND(J147*I147,0)</f>
        <v>0</v>
      </c>
      <c r="L147" s="961">
        <f>ROUND($I$147*data1!H307,2)</f>
        <v>0</v>
      </c>
      <c r="M147" s="961">
        <f>ROUND($I$147*data1!I307,2)</f>
        <v>0</v>
      </c>
      <c r="N147" s="961">
        <f>ROUND($I$147*data1!J307,2)</f>
        <v>0</v>
      </c>
      <c r="O147" s="961">
        <f>ROUND($I$147*data1!K307,2)</f>
        <v>0</v>
      </c>
      <c r="P147" s="961">
        <f>ROUND($I$147*data1!L307,2)</f>
        <v>0</v>
      </c>
      <c r="Q147" s="961">
        <f>ROUND($I$147*data1!M307,2)</f>
        <v>0</v>
      </c>
      <c r="R147" s="961">
        <f>ROUND($I$147*data1!N307,2)</f>
        <v>0</v>
      </c>
      <c r="S147" s="961">
        <f>ROUND($I$147*data1!O307,2)</f>
        <v>0</v>
      </c>
      <c r="T147" s="961">
        <f>ROUND($I$147*data1!P307,2)</f>
        <v>0</v>
      </c>
      <c r="U147" s="961">
        <f>ROUND($I$147*data1!Q307,2)</f>
        <v>0</v>
      </c>
    </row>
    <row r="148" spans="1:21" s="961" customFormat="1" ht="11.25" hidden="1">
      <c r="A148" s="1092"/>
      <c r="B148" s="1095"/>
      <c r="C148" s="1131"/>
      <c r="D148" s="1154"/>
      <c r="E148" s="1145"/>
      <c r="F148" s="1093"/>
      <c r="G148" s="1107"/>
      <c r="H148" s="1107"/>
      <c r="I148" s="1116" t="s">
        <v>536</v>
      </c>
      <c r="J148" s="1094"/>
      <c r="K148" s="1098"/>
    </row>
    <row r="149" spans="1:21" s="961" customFormat="1" ht="11.25">
      <c r="A149" s="1092"/>
      <c r="B149" s="1117" t="s">
        <v>1084</v>
      </c>
      <c r="C149" s="1131"/>
      <c r="D149" s="1154"/>
      <c r="E149" s="1145"/>
      <c r="F149" s="1093"/>
      <c r="G149" s="1107"/>
      <c r="H149" s="1107"/>
      <c r="I149" s="1116"/>
      <c r="J149" s="1094"/>
      <c r="K149" s="1098"/>
    </row>
    <row r="150" spans="1:21" s="961" customFormat="1">
      <c r="A150" s="1092"/>
      <c r="B150" s="1194" t="s">
        <v>1973</v>
      </c>
      <c r="C150" s="1195">
        <v>1</v>
      </c>
      <c r="D150" s="1196" t="s">
        <v>388</v>
      </c>
      <c r="E150" s="1197">
        <v>1</v>
      </c>
      <c r="F150" s="1198">
        <f>12.81+0.23+0.6</f>
        <v>13.64</v>
      </c>
      <c r="G150" s="1198">
        <f>3.89+4.45+0.23+0.3+0.3</f>
        <v>9.1700000000000017</v>
      </c>
      <c r="H150" s="1198">
        <v>0</v>
      </c>
      <c r="I150" s="1180">
        <f>ROUND(IF(AND(F150:H150),C150*E150*F150*G150*H150,IF(AND(F150,G150),C150*E150*F150*G150,IF(AND(F150,H150),C150*E150*F150*H150,IF(AND(G150,H150),C150*E150*G150*H150,IF(F150,C150*E150*F150,IF(G150,C150*E150*G150,IF(H150,C150*E150*H150,C150*E150))))))),2)</f>
        <v>125.08</v>
      </c>
      <c r="J150" s="1094"/>
      <c r="K150" s="1098"/>
    </row>
    <row r="151" spans="1:21" s="961" customFormat="1">
      <c r="A151" s="1092"/>
      <c r="B151" s="1194" t="s">
        <v>1974</v>
      </c>
      <c r="C151" s="1195">
        <v>1</v>
      </c>
      <c r="D151" s="1196" t="s">
        <v>388</v>
      </c>
      <c r="E151" s="1197">
        <v>1</v>
      </c>
      <c r="F151" s="1198">
        <f>1.65+0.23+1.95+0.23+0.6</f>
        <v>4.66</v>
      </c>
      <c r="G151" s="1198">
        <f>1.35+0.115</f>
        <v>1.4650000000000001</v>
      </c>
      <c r="H151" s="1198">
        <v>0</v>
      </c>
      <c r="I151" s="1180">
        <f>ROUND(IF(AND(F151:H151),C151*E151*F151*G151*H151,IF(AND(F151,G151),C151*E151*F151*G151,IF(AND(F151,H151),C151*E151*F151*H151,IF(AND(G151,H151),C151*E151*G151*H151,IF(F151,C151*E151*F151,IF(G151,C151*E151*G151,IF(H151,C151*E151*H151,C151*E151))))))),2)</f>
        <v>6.83</v>
      </c>
      <c r="J151" s="1094"/>
      <c r="K151" s="1098"/>
    </row>
    <row r="152" spans="1:21" s="961" customFormat="1" ht="11.25">
      <c r="A152" s="1092"/>
      <c r="B152" s="1095"/>
      <c r="C152" s="1131"/>
      <c r="D152" s="1154"/>
      <c r="E152" s="1145"/>
      <c r="F152" s="1093"/>
      <c r="G152" s="1106"/>
      <c r="H152" s="1107"/>
      <c r="I152" s="1105">
        <f>SUM(I150:I151)</f>
        <v>131.91</v>
      </c>
      <c r="J152" s="1097">
        <f>data1!E295</f>
        <v>1027.48</v>
      </c>
      <c r="K152" s="1098">
        <f>ROUND(J152*I152,0)</f>
        <v>135535</v>
      </c>
      <c r="L152" s="961">
        <f>ROUND($I$152*data1!H295,2)</f>
        <v>0</v>
      </c>
      <c r="M152" s="961">
        <f>ROUND($I$152*data1!I295,2)</f>
        <v>23398.2</v>
      </c>
      <c r="N152" s="961">
        <f>ROUND($I$152*data1!J295,2)</f>
        <v>0</v>
      </c>
      <c r="O152" s="961">
        <f>ROUND($I$152*data1!K295,2)</f>
        <v>0</v>
      </c>
      <c r="P152" s="961">
        <f>ROUND($I$152*data1!L295,2)</f>
        <v>9691.43</v>
      </c>
      <c r="Q152" s="961">
        <f>ROUND($I$152*data1!M295,2)</f>
        <v>19266.77</v>
      </c>
      <c r="R152" s="961">
        <f>ROUND($I$152*data1!N295,2)</f>
        <v>0</v>
      </c>
      <c r="S152" s="961">
        <f>ROUND($I$152*data1!O295,2)</f>
        <v>0</v>
      </c>
      <c r="T152" s="961">
        <f>ROUND($I$152*data1!P295,2)</f>
        <v>83179.81</v>
      </c>
      <c r="U152" s="961">
        <f>ROUND($I$152*data1!Q295,2)</f>
        <v>135536.21</v>
      </c>
    </row>
    <row r="153" spans="1:21" s="961" customFormat="1" ht="11.25">
      <c r="A153" s="1092"/>
      <c r="B153" s="1107"/>
      <c r="C153" s="1131"/>
      <c r="D153" s="1154"/>
      <c r="E153" s="1145"/>
      <c r="F153" s="1093"/>
      <c r="G153" s="1107"/>
      <c r="H153" s="1107"/>
      <c r="I153" s="1116" t="s">
        <v>536</v>
      </c>
      <c r="J153" s="1094"/>
      <c r="K153" s="1098"/>
    </row>
    <row r="154" spans="1:21" s="961" customFormat="1" ht="11.25">
      <c r="A154" s="1092"/>
      <c r="B154" s="1117" t="s">
        <v>1082</v>
      </c>
      <c r="C154" s="1131"/>
      <c r="D154" s="1154"/>
      <c r="E154" s="1145"/>
      <c r="F154" s="1093"/>
      <c r="G154" s="1107"/>
      <c r="H154" s="1107"/>
      <c r="I154" s="1116"/>
      <c r="J154" s="1094"/>
      <c r="K154" s="1098"/>
    </row>
    <row r="155" spans="1:21" s="961" customFormat="1">
      <c r="A155" s="1092"/>
      <c r="B155" s="1202" t="s">
        <v>1970</v>
      </c>
      <c r="C155" s="1195">
        <v>1</v>
      </c>
      <c r="D155" s="1196" t="s">
        <v>388</v>
      </c>
      <c r="E155" s="1197">
        <v>2</v>
      </c>
      <c r="F155" s="1198">
        <f>12.81+0.23</f>
        <v>13.040000000000001</v>
      </c>
      <c r="G155" s="1198">
        <v>0.23</v>
      </c>
      <c r="H155" s="1198">
        <v>0.3</v>
      </c>
      <c r="I155" s="1180">
        <f>ROUND(IF(AND(F155:H155),C155*E155*F155*G155*H155,IF(AND(F155,G155),C155*E155*F155*G155,IF(AND(F155,H155),C155*E155*F155*H155,IF(AND(G155,H155),C155*E155*G155*H155,IF(F155,C155*E155*F155,IF(G155,C155*E155*G155,IF(H155,C155*E155*H155,C155*E155))))))),2)</f>
        <v>1.8</v>
      </c>
      <c r="J155" s="1094"/>
      <c r="K155" s="1098"/>
    </row>
    <row r="156" spans="1:21" s="961" customFormat="1">
      <c r="A156" s="1092"/>
      <c r="B156" s="1202" t="s">
        <v>1601</v>
      </c>
      <c r="C156" s="1195">
        <v>1</v>
      </c>
      <c r="D156" s="1196" t="s">
        <v>388</v>
      </c>
      <c r="E156" s="1197">
        <v>2</v>
      </c>
      <c r="F156" s="1198">
        <f>1.35+0.115</f>
        <v>1.4650000000000001</v>
      </c>
      <c r="G156" s="1198">
        <v>0.23</v>
      </c>
      <c r="H156" s="1198">
        <v>0.3</v>
      </c>
      <c r="I156" s="1180">
        <f>ROUND(IF(AND(F156:H156),C156*E156*F156*G156*H156,IF(AND(F156,G156),C156*E156*F156*G156,IF(AND(F156,H156),C156*E156*F156*H156,IF(AND(G156,H156),C156*E156*G156*H156,IF(F156,C156*E156*F156,IF(G156,C156*E156*G156,IF(H156,C156*E156*H156,C156*E156))))))),2)</f>
        <v>0.2</v>
      </c>
      <c r="J156" s="1094"/>
      <c r="K156" s="1098"/>
    </row>
    <row r="157" spans="1:21" s="961" customFormat="1">
      <c r="A157" s="1092"/>
      <c r="B157" s="1202" t="s">
        <v>1602</v>
      </c>
      <c r="C157" s="1195">
        <v>1</v>
      </c>
      <c r="D157" s="1196" t="s">
        <v>388</v>
      </c>
      <c r="E157" s="1197">
        <v>1</v>
      </c>
      <c r="F157" s="1198">
        <f>12.81+0.23+1.35+0.115</f>
        <v>14.505000000000001</v>
      </c>
      <c r="G157" s="1198">
        <v>0.23</v>
      </c>
      <c r="H157" s="1198">
        <v>0.3</v>
      </c>
      <c r="I157" s="1180">
        <f>ROUND(IF(AND(F157:H157),C157*E157*F157*G157*H157,IF(AND(F157,G157),C157*E157*F157*G157,IF(AND(F157,H157),C157*E157*F157*H157,IF(AND(G157,H157),C157*E157*G157*H157,IF(F157,C157*E157*F157,IF(G157,C157*E157*G157,IF(H157,C157*E157*H157,C157*E157))))))),2)</f>
        <v>1</v>
      </c>
      <c r="J157" s="1094"/>
      <c r="K157" s="1098"/>
    </row>
    <row r="158" spans="1:21" s="961" customFormat="1">
      <c r="A158" s="1092"/>
      <c r="B158" s="1202" t="s">
        <v>1971</v>
      </c>
      <c r="C158" s="1195">
        <v>1</v>
      </c>
      <c r="D158" s="1196" t="s">
        <v>388</v>
      </c>
      <c r="E158" s="1197">
        <v>1</v>
      </c>
      <c r="F158" s="1198">
        <v>3.15</v>
      </c>
      <c r="G158" s="1198">
        <v>0.23</v>
      </c>
      <c r="H158" s="1198">
        <v>0.3</v>
      </c>
      <c r="I158" s="1180">
        <f>ROUND(IF(AND(F158:H158),C158*E158*F158*G158*H158,IF(AND(F158,G158),C158*E158*F158*G158,IF(AND(F158,H158),C158*E158*F158*H158,IF(AND(G158,H158),C158*E158*G158*H158,IF(F158,C158*E158*F158,IF(G158,C158*E158*G158,IF(H158,C158*E158*H158,C158*E158))))))),2)</f>
        <v>0.22</v>
      </c>
      <c r="J158" s="1094"/>
      <c r="K158" s="1098"/>
    </row>
    <row r="159" spans="1:21" s="961" customFormat="1">
      <c r="A159" s="1092"/>
      <c r="B159" s="1202" t="s">
        <v>1972</v>
      </c>
      <c r="C159" s="1195">
        <v>1</v>
      </c>
      <c r="D159" s="1196" t="s">
        <v>388</v>
      </c>
      <c r="E159" s="1197">
        <v>4</v>
      </c>
      <c r="F159" s="1198">
        <f>3.89+4.45-0.23-0.23</f>
        <v>7.879999999999999</v>
      </c>
      <c r="G159" s="1198">
        <v>0.23</v>
      </c>
      <c r="H159" s="1198">
        <v>0.3</v>
      </c>
      <c r="I159" s="1180">
        <f>ROUND(IF(AND(F159:H159),C159*E159*F159*G159*H159,IF(AND(F159,G159),C159*E159*F159*G159,IF(AND(F159,H159),C159*E159*F159*H159,IF(AND(G159,H159),C159*E159*G159*H159,IF(F159,C159*E159*F159,IF(G159,C159*E159*G159,IF(H159,C159*E159*H159,C159*E159))))))),2)</f>
        <v>2.17</v>
      </c>
      <c r="J159" s="1094"/>
      <c r="K159" s="1098"/>
    </row>
    <row r="160" spans="1:21" s="961" customFormat="1" ht="11.25">
      <c r="A160" s="1092"/>
      <c r="B160" s="1093"/>
      <c r="C160" s="1131"/>
      <c r="D160" s="1154"/>
      <c r="E160" s="1145"/>
      <c r="F160" s="1093"/>
      <c r="G160" s="1093"/>
      <c r="H160" s="1093"/>
      <c r="I160" s="1116">
        <f>SUM(I155:I159)</f>
        <v>5.3900000000000006</v>
      </c>
      <c r="J160" s="1097">
        <f>data1!E283</f>
        <v>8599.82</v>
      </c>
      <c r="K160" s="1098">
        <f>ROUND((J160*I160)/1,0)</f>
        <v>46353</v>
      </c>
      <c r="L160" s="961">
        <f>ROUND($I$160*data1!H283,2)</f>
        <v>0</v>
      </c>
      <c r="M160" s="961">
        <f>ROUND($I$160*data1!I283,2)</f>
        <v>7648.41</v>
      </c>
      <c r="N160" s="961">
        <f>ROUND($I$160*data1!J283,2)</f>
        <v>0</v>
      </c>
      <c r="O160" s="961">
        <f>ROUND($I$160*data1!K283,2)</f>
        <v>0</v>
      </c>
      <c r="P160" s="961">
        <f>ROUND($I$160*data1!L283,2)</f>
        <v>3168.03</v>
      </c>
      <c r="Q160" s="961">
        <f>ROUND($I$160*data1!M283,2)</f>
        <v>6297.95</v>
      </c>
      <c r="R160" s="961">
        <f>ROUND($I$160*data1!N283,2)</f>
        <v>0</v>
      </c>
      <c r="S160" s="961">
        <f>ROUND($I$160*data1!O283,2)</f>
        <v>0</v>
      </c>
      <c r="T160" s="961">
        <f>ROUND($I$160*data1!P283,2)</f>
        <v>29238.65</v>
      </c>
      <c r="U160" s="961">
        <f>ROUND($I$160*data1!Q283,2)</f>
        <v>46353.03</v>
      </c>
    </row>
    <row r="161" spans="1:21" s="961" customFormat="1" ht="11.25">
      <c r="A161" s="1092"/>
      <c r="B161" s="1093"/>
      <c r="C161" s="1131"/>
      <c r="D161" s="1154"/>
      <c r="E161" s="1145"/>
      <c r="F161" s="1093"/>
      <c r="G161" s="1093"/>
      <c r="H161" s="1093"/>
      <c r="I161" s="1107" t="s">
        <v>112</v>
      </c>
      <c r="J161" s="1094"/>
      <c r="K161" s="1098"/>
    </row>
    <row r="162" spans="1:21" s="961" customFormat="1" ht="147.75" customHeight="1">
      <c r="A162" s="1092">
        <v>7</v>
      </c>
      <c r="B162" s="1289" t="s">
        <v>1228</v>
      </c>
      <c r="C162" s="1291"/>
      <c r="D162" s="1291"/>
      <c r="E162" s="1291"/>
      <c r="F162" s="1291"/>
      <c r="G162" s="1291"/>
      <c r="H162" s="1291"/>
      <c r="I162" s="1093"/>
      <c r="J162" s="1098"/>
      <c r="K162" s="1098"/>
    </row>
    <row r="163" spans="1:21" s="961" customFormat="1">
      <c r="A163" s="1092"/>
      <c r="B163" s="1194" t="s">
        <v>1973</v>
      </c>
      <c r="C163" s="1195">
        <v>1</v>
      </c>
      <c r="D163" s="1196" t="s">
        <v>388</v>
      </c>
      <c r="E163" s="1197">
        <v>1</v>
      </c>
      <c r="F163" s="1198">
        <f>12.81+0.23+0.6</f>
        <v>13.64</v>
      </c>
      <c r="G163" s="1198">
        <f>3.89+4.45+0.23+0.3+0.3</f>
        <v>9.1700000000000017</v>
      </c>
      <c r="H163" s="1198">
        <v>0</v>
      </c>
      <c r="I163" s="1180">
        <f>ROUND(IF(AND(F163:H163),C163*E163*F163*G163*H163,IF(AND(F163,G163),C163*E163*F163*G163,IF(AND(F163,H163),C163*E163*F163*H163,IF(AND(G163,H163),C163*E163*G163*H163,IF(F163,C163*E163*F163,IF(G163,C163*E163*G163,IF(H163,C163*E163*H163,C163*E163))))))),2)</f>
        <v>125.08</v>
      </c>
      <c r="J163" s="1094"/>
      <c r="K163" s="1098"/>
    </row>
    <row r="164" spans="1:21" s="961" customFormat="1">
      <c r="A164" s="1092"/>
      <c r="B164" s="1194" t="s">
        <v>1974</v>
      </c>
      <c r="C164" s="1195">
        <v>1</v>
      </c>
      <c r="D164" s="1196" t="s">
        <v>388</v>
      </c>
      <c r="E164" s="1197">
        <v>1</v>
      </c>
      <c r="F164" s="1198">
        <f>1.65+0.23+1.95+0.23+0.6</f>
        <v>4.66</v>
      </c>
      <c r="G164" s="1198">
        <f>1.35+0.115</f>
        <v>1.4650000000000001</v>
      </c>
      <c r="H164" s="1198">
        <v>0</v>
      </c>
      <c r="I164" s="1180">
        <f>ROUND(IF(AND(F164:H164),C164*E164*F164*G164*H164,IF(AND(F164,G164),C164*E164*F164*G164,IF(AND(F164,H164),C164*E164*F164*H164,IF(AND(G164,H164),C164*E164*G164*H164,IF(F164,C164*E164*F164,IF(G164,C164*E164*G164,IF(H164,C164*E164*H164,C164*E164))))))),2)</f>
        <v>6.83</v>
      </c>
      <c r="J164" s="1094"/>
      <c r="K164" s="1098"/>
    </row>
    <row r="165" spans="1:21" s="961" customFormat="1" ht="11.25">
      <c r="A165" s="1092"/>
      <c r="B165" s="1095"/>
      <c r="C165" s="1131"/>
      <c r="D165" s="1154"/>
      <c r="E165" s="1145"/>
      <c r="F165" s="1093"/>
      <c r="G165" s="1107"/>
      <c r="H165" s="1107"/>
      <c r="I165" s="1105">
        <f>SUM(I163:I164)</f>
        <v>131.91</v>
      </c>
      <c r="J165" s="1097">
        <f>data1!E602</f>
        <v>351.91</v>
      </c>
      <c r="K165" s="1098">
        <f>ROUND((J165*I165),0)</f>
        <v>46420</v>
      </c>
      <c r="L165" s="961">
        <f>ROUND($I$117*data1!H645,2)</f>
        <v>0</v>
      </c>
      <c r="M165" s="961">
        <f>ROUND($I$117*data1!I645,2)</f>
        <v>0</v>
      </c>
      <c r="N165" s="961">
        <f>ROUND($I$117*data1!J645,2)</f>
        <v>0</v>
      </c>
      <c r="O165" s="961">
        <f>ROUND($I$117*data1!K645,2)</f>
        <v>0</v>
      </c>
      <c r="P165" s="961">
        <f>ROUND($I$117*data1!L645,2)</f>
        <v>0</v>
      </c>
      <c r="Q165" s="961">
        <f>ROUND($I$117*data1!M645,2)</f>
        <v>0</v>
      </c>
      <c r="R165" s="961">
        <f>ROUND($I$117*data1!N645,2)</f>
        <v>0</v>
      </c>
      <c r="S165" s="961">
        <f>ROUND($I$117*data1!O645,2)</f>
        <v>0</v>
      </c>
      <c r="T165" s="961">
        <f>ROUND($I$117*data1!P645,2)</f>
        <v>0</v>
      </c>
      <c r="U165" s="961">
        <f>SUM(L165:T165)</f>
        <v>0</v>
      </c>
    </row>
    <row r="166" spans="1:21" s="961" customFormat="1" ht="11.25">
      <c r="A166" s="1092"/>
      <c r="B166" s="1093"/>
      <c r="C166" s="1131"/>
      <c r="D166" s="1154"/>
      <c r="E166" s="1145"/>
      <c r="F166" s="1093"/>
      <c r="G166" s="1093"/>
      <c r="H166" s="1093"/>
      <c r="I166" s="1094" t="s">
        <v>114</v>
      </c>
      <c r="J166" s="1094" t="s">
        <v>625</v>
      </c>
      <c r="K166" s="1098"/>
    </row>
    <row r="167" spans="1:21" s="961" customFormat="1" ht="168.75" customHeight="1">
      <c r="A167" s="1092">
        <v>8</v>
      </c>
      <c r="B167" s="1289" t="s">
        <v>1946</v>
      </c>
      <c r="C167" s="1289"/>
      <c r="D167" s="1289"/>
      <c r="E167" s="1289"/>
      <c r="F167" s="1289"/>
      <c r="G167" s="1289"/>
      <c r="H167" s="1289"/>
      <c r="I167" s="1107"/>
      <c r="J167" s="1094"/>
      <c r="K167" s="1098"/>
    </row>
    <row r="168" spans="1:21" s="961" customFormat="1" ht="13.5" customHeight="1">
      <c r="A168" s="1092"/>
      <c r="B168" s="1202" t="s">
        <v>1975</v>
      </c>
      <c r="C168" s="1195">
        <v>1</v>
      </c>
      <c r="D168" s="1196" t="s">
        <v>388</v>
      </c>
      <c r="E168" s="1197">
        <v>1</v>
      </c>
      <c r="F168" s="1198">
        <v>13.04</v>
      </c>
      <c r="G168" s="1198">
        <v>0</v>
      </c>
      <c r="H168" s="1198">
        <v>0</v>
      </c>
      <c r="I168" s="1180">
        <f>ROUND(IF(AND(F168:H168),C168*E168*F168*G168*H168,IF(AND(F168,G168),C168*E168*F168*G168,IF(AND(F168,H168),C168*E168*F168*H168,IF(AND(G168,H168),C168*E168*G168*H168,IF(F168,C168*E168*F168,IF(G168,C168*E168*G168,IF(H168,C168*E168*H168,C168*E168))))))),2)</f>
        <v>13.04</v>
      </c>
      <c r="J168" s="1094"/>
      <c r="K168" s="1098"/>
    </row>
    <row r="169" spans="1:21" s="961" customFormat="1" ht="13.5" customHeight="1">
      <c r="A169" s="1092"/>
      <c r="B169" s="1202" t="s">
        <v>1976</v>
      </c>
      <c r="C169" s="1195">
        <v>1</v>
      </c>
      <c r="D169" s="1196" t="s">
        <v>388</v>
      </c>
      <c r="E169" s="1197">
        <v>1</v>
      </c>
      <c r="F169" s="1198">
        <v>1.2</v>
      </c>
      <c r="G169" s="1198">
        <v>0</v>
      </c>
      <c r="H169" s="1198">
        <v>0</v>
      </c>
      <c r="I169" s="1180">
        <f>ROUND(IF(AND(F169:H169),C169*E169*F169*G169*H169,IF(AND(F169,G169),C169*E169*F169*G169,IF(AND(F169,H169),C169*E169*F169*H169,IF(AND(G169,H169),C169*E169*G169*H169,IF(F169,C169*E169*F169,IF(G169,C169*E169*G169,IF(H169,C169*E169*H169,C169*E169))))))),2)</f>
        <v>1.2</v>
      </c>
      <c r="J169" s="1094"/>
      <c r="K169" s="1098"/>
    </row>
    <row r="170" spans="1:21" s="961" customFormat="1" ht="13.5" customHeight="1">
      <c r="A170" s="1092"/>
      <c r="B170" s="1202" t="s">
        <v>1977</v>
      </c>
      <c r="C170" s="1195">
        <v>1</v>
      </c>
      <c r="D170" s="1196" t="s">
        <v>388</v>
      </c>
      <c r="E170" s="1197">
        <v>3</v>
      </c>
      <c r="F170" s="1198">
        <v>1.2</v>
      </c>
      <c r="G170" s="1198">
        <v>0</v>
      </c>
      <c r="H170" s="1198">
        <v>0</v>
      </c>
      <c r="I170" s="1180">
        <f>ROUND(IF(AND(F170:H170),C170*E170*F170*G170*H170,IF(AND(F170,G170),C170*E170*F170*G170,IF(AND(F170,H170),C170*E170*F170*H170,IF(AND(G170,H170),C170*E170*G170*H170,IF(F170,C170*E170*F170,IF(G170,C170*E170*G170,IF(H170,C170*E170*H170,C170*E170))))))),2)</f>
        <v>3.6</v>
      </c>
      <c r="J170" s="1094"/>
      <c r="K170" s="1098"/>
    </row>
    <row r="171" spans="1:21" s="961" customFormat="1" ht="13.5" customHeight="1">
      <c r="A171" s="1092"/>
      <c r="B171" s="1202" t="s">
        <v>1978</v>
      </c>
      <c r="C171" s="1195">
        <v>1</v>
      </c>
      <c r="D171" s="1196" t="s">
        <v>388</v>
      </c>
      <c r="E171" s="1197">
        <v>2</v>
      </c>
      <c r="F171" s="1198">
        <v>1.2</v>
      </c>
      <c r="G171" s="1198">
        <v>0</v>
      </c>
      <c r="H171" s="1198">
        <v>0</v>
      </c>
      <c r="I171" s="1180">
        <f>ROUND(IF(AND(F171:H171),C171*E171*F171*G171*H171,IF(AND(F171,G171),C171*E171*F171*G171,IF(AND(F171,H171),C171*E171*F171*H171,IF(AND(G171,H171),C171*E171*G171*H171,IF(F171,C171*E171*F171,IF(G171,C171*E171*G171,IF(H171,C171*E171*H171,C171*E171))))))),2)</f>
        <v>2.4</v>
      </c>
      <c r="J171" s="1094"/>
      <c r="K171" s="1098"/>
    </row>
    <row r="172" spans="1:21" s="961" customFormat="1" ht="11.25">
      <c r="A172" s="1092"/>
      <c r="B172" s="1107"/>
      <c r="C172" s="1131"/>
      <c r="D172" s="1154"/>
      <c r="E172" s="1145"/>
      <c r="F172" s="1093"/>
      <c r="G172" s="1093"/>
      <c r="H172" s="1093"/>
      <c r="I172" s="1106">
        <f>SUM(I168:I171)</f>
        <v>20.239999999999998</v>
      </c>
      <c r="J172" s="1097">
        <f>data1!E331</f>
        <v>653.94000000000005</v>
      </c>
      <c r="K172" s="1098">
        <f>ROUND((J172*I172),0)</f>
        <v>13236</v>
      </c>
      <c r="L172" s="981">
        <f>ROUND(data1!H331*$I$172,2)</f>
        <v>0</v>
      </c>
      <c r="M172" s="981">
        <f>ROUND(data1!I331*$I$172,2)</f>
        <v>1076.97</v>
      </c>
      <c r="N172" s="981">
        <f>ROUND(data1!J331*$I$172,2)</f>
        <v>0</v>
      </c>
      <c r="O172" s="981">
        <f>ROUND(data1!K331*$I$172,2)</f>
        <v>0</v>
      </c>
      <c r="P172" s="981">
        <f>ROUND(data1!L331*$I$172,2)</f>
        <v>446.09</v>
      </c>
      <c r="Q172" s="981">
        <f>ROUND(data1!M331*$I$172,2)</f>
        <v>886.92</v>
      </c>
      <c r="R172" s="981">
        <f>ROUND(data1!N331*$I$172,2)</f>
        <v>0</v>
      </c>
      <c r="S172" s="981">
        <f>ROUND(data1!O331*$I$172,2)</f>
        <v>0</v>
      </c>
      <c r="T172" s="981">
        <f>ROUND(data1!P331*$I$172,2)</f>
        <v>10825.77</v>
      </c>
      <c r="U172" s="981">
        <f>SUM(L172:T172)</f>
        <v>13235.75</v>
      </c>
    </row>
    <row r="173" spans="1:21" s="961" customFormat="1" ht="11.25">
      <c r="A173" s="1092"/>
      <c r="B173" s="1107"/>
      <c r="C173" s="1131"/>
      <c r="D173" s="1154"/>
      <c r="E173" s="1145"/>
      <c r="F173" s="1093"/>
      <c r="G173" s="1093"/>
      <c r="H173" s="1093"/>
      <c r="I173" s="1107" t="s">
        <v>369</v>
      </c>
      <c r="J173" s="1094"/>
      <c r="K173" s="1098"/>
    </row>
    <row r="174" spans="1:21" s="961" customFormat="1" ht="124.5" customHeight="1">
      <c r="A174" s="1092">
        <v>9</v>
      </c>
      <c r="B174" s="1289" t="s">
        <v>1104</v>
      </c>
      <c r="C174" s="1291"/>
      <c r="D174" s="1291"/>
      <c r="E174" s="1291"/>
      <c r="F174" s="1291"/>
      <c r="G174" s="1291"/>
      <c r="H174" s="1291"/>
      <c r="I174" s="1107"/>
      <c r="J174" s="1094"/>
      <c r="K174" s="1098"/>
    </row>
    <row r="175" spans="1:21" s="960" customFormat="1" ht="12.6" customHeight="1">
      <c r="A175" s="1092"/>
      <c r="B175" s="1175" t="s">
        <v>1128</v>
      </c>
      <c r="C175" s="1176">
        <v>1</v>
      </c>
      <c r="D175" s="1177" t="s">
        <v>388</v>
      </c>
      <c r="E175" s="1178">
        <v>1</v>
      </c>
      <c r="F175" s="1179">
        <v>41.86</v>
      </c>
      <c r="G175" s="1179">
        <v>0.23</v>
      </c>
      <c r="H175" s="1179">
        <v>2.1</v>
      </c>
      <c r="I175" s="1180">
        <f t="shared" ref="I175" si="11">ROUND(IF(AND(F175:H175),C175*E175*F175*G175*H175,IF(AND(F175,G175),C175*E175*F175*G175,IF(AND(F175,H175),C175*E175*F175*H175,IF(AND(G175,H175),C175*E175*G175*H175,IF(F175,C175*E175*F175,IF(G175,C175*E175*G175,IF(H175,C175*E175*H175,C175*E175))))))),2)</f>
        <v>20.22</v>
      </c>
      <c r="J175" s="1092"/>
      <c r="K175" s="1092"/>
    </row>
    <row r="176" spans="1:21" s="960" customFormat="1" ht="12.6" customHeight="1">
      <c r="A176" s="1092"/>
      <c r="B176" s="1175" t="s">
        <v>1949</v>
      </c>
      <c r="C176" s="1176">
        <v>1</v>
      </c>
      <c r="D176" s="1177" t="s">
        <v>388</v>
      </c>
      <c r="E176" s="1178">
        <v>3</v>
      </c>
      <c r="F176" s="1179">
        <v>0.45</v>
      </c>
      <c r="G176" s="1179">
        <v>0.23</v>
      </c>
      <c r="H176" s="1179">
        <v>2.1</v>
      </c>
      <c r="I176" s="1180">
        <f>-ROUND(IF(AND(F176:H176),C176*E176*F176*G176*H176,IF(AND(F176,G176),C176*E176*F176*G176,IF(AND(F176,H176),C176*E176*F176*H176,IF(AND(G176,H176),C176*E176*G176*H176,IF(F176,C176*E176*F176,IF(G176,C176*E176*G176,IF(H176,C176*E176*H176,C176*E176))))))),2)</f>
        <v>-0.65</v>
      </c>
      <c r="J176" s="1092"/>
      <c r="K176" s="1092"/>
    </row>
    <row r="177" spans="1:11" s="960" customFormat="1" ht="12.6" customHeight="1">
      <c r="A177" s="1092"/>
      <c r="B177" s="1175" t="s">
        <v>1950</v>
      </c>
      <c r="C177" s="1176">
        <v>1</v>
      </c>
      <c r="D177" s="1177" t="s">
        <v>388</v>
      </c>
      <c r="E177" s="1178">
        <v>7</v>
      </c>
      <c r="F177" s="1179">
        <v>0.38</v>
      </c>
      <c r="G177" s="1179">
        <v>0.23</v>
      </c>
      <c r="H177" s="1179">
        <v>2.1</v>
      </c>
      <c r="I177" s="1180">
        <f>-ROUND(IF(AND(F177:H177),C177*E177*F177*G177*H177,IF(AND(F177,G177),C177*E177*F177*G177,IF(AND(F177,H177),C177*E177*F177*H177,IF(AND(G177,H177),C177*E177*G177*H177,IF(F177,C177*E177*F177,IF(G177,C177*E177*G177,IF(H177,C177*E177*H177,C177*E177))))))),2)</f>
        <v>-1.28</v>
      </c>
      <c r="J177" s="1092"/>
      <c r="K177" s="1092"/>
    </row>
    <row r="178" spans="1:11" s="960" customFormat="1" ht="12.6" customHeight="1">
      <c r="A178" s="1092"/>
      <c r="B178" s="1175" t="s">
        <v>1951</v>
      </c>
      <c r="C178" s="1176">
        <v>1</v>
      </c>
      <c r="D178" s="1177" t="s">
        <v>388</v>
      </c>
      <c r="E178" s="1178">
        <v>2</v>
      </c>
      <c r="F178" s="1179">
        <v>0.38</v>
      </c>
      <c r="G178" s="1179">
        <v>0.23</v>
      </c>
      <c r="H178" s="1179">
        <v>2.1</v>
      </c>
      <c r="I178" s="1180">
        <f>-ROUND(IF(AND(F178:H178),C178*E178*F178*G178*H178,IF(AND(F178,G178),C178*E178*F178*G178,IF(AND(F178,H178),C178*E178*F178*H178,IF(AND(G178,H178),C178*E178*G178*H178,IF(F178,C178*E178*F178,IF(G178,C178*E178*G178,IF(H178,C178*E178*H178,C178*E178))))))),2)</f>
        <v>-0.37</v>
      </c>
      <c r="J178" s="1092"/>
      <c r="K178" s="1092"/>
    </row>
    <row r="179" spans="1:11" s="960" customFormat="1" ht="12.6" customHeight="1">
      <c r="A179" s="1092"/>
      <c r="B179" s="1175"/>
      <c r="C179" s="1176"/>
      <c r="D179" s="1177"/>
      <c r="E179" s="1178"/>
      <c r="F179" s="1179"/>
      <c r="G179" s="1179"/>
      <c r="H179" s="1179"/>
      <c r="I179" s="1180"/>
      <c r="J179" s="1092"/>
      <c r="K179" s="1092"/>
    </row>
    <row r="180" spans="1:11" s="960" customFormat="1" ht="12.6" customHeight="1">
      <c r="A180" s="1092"/>
      <c r="B180" s="1175" t="s">
        <v>1952</v>
      </c>
      <c r="C180" s="1176">
        <v>1</v>
      </c>
      <c r="D180" s="1177" t="s">
        <v>388</v>
      </c>
      <c r="E180" s="1178">
        <v>1</v>
      </c>
      <c r="F180" s="1179">
        <v>8.92</v>
      </c>
      <c r="G180" s="1179">
        <v>0.23</v>
      </c>
      <c r="H180" s="1179">
        <v>2.1</v>
      </c>
      <c r="I180" s="1180">
        <f t="shared" ref="I180:I182" si="12">ROUND(IF(AND(F180:H180),C180*E180*F180*G180*H180,IF(AND(F180,G180),C180*E180*F180*G180,IF(AND(F180,H180),C180*E180*F180*H180,IF(AND(G180,H180),C180*E180*G180*H180,IF(F180,C180*E180*F180,IF(G180,C180*E180*G180,IF(H180,C180*E180*H180,C180*E180))))))),2)</f>
        <v>4.3099999999999996</v>
      </c>
      <c r="J180" s="1092"/>
      <c r="K180" s="1092"/>
    </row>
    <row r="181" spans="1:11" s="960" customFormat="1" ht="12.6" customHeight="1">
      <c r="A181" s="1092"/>
      <c r="B181" s="1175" t="s">
        <v>1952</v>
      </c>
      <c r="C181" s="1176">
        <v>1</v>
      </c>
      <c r="D181" s="1177" t="s">
        <v>388</v>
      </c>
      <c r="E181" s="1178">
        <v>1</v>
      </c>
      <c r="F181" s="1179">
        <v>7.67</v>
      </c>
      <c r="G181" s="1179">
        <v>0.23</v>
      </c>
      <c r="H181" s="1179">
        <v>2.1</v>
      </c>
      <c r="I181" s="1180">
        <f t="shared" si="12"/>
        <v>3.7</v>
      </c>
      <c r="J181" s="1092"/>
      <c r="K181" s="1092"/>
    </row>
    <row r="182" spans="1:11" s="960" customFormat="1" ht="12.6" customHeight="1">
      <c r="A182" s="1092"/>
      <c r="B182" s="1175" t="s">
        <v>1952</v>
      </c>
      <c r="C182" s="1176">
        <v>1</v>
      </c>
      <c r="D182" s="1177" t="s">
        <v>388</v>
      </c>
      <c r="E182" s="1178">
        <v>2</v>
      </c>
      <c r="F182" s="1179">
        <v>3.44</v>
      </c>
      <c r="G182" s="1179">
        <v>0.23</v>
      </c>
      <c r="H182" s="1179">
        <v>2.1</v>
      </c>
      <c r="I182" s="1180">
        <f t="shared" si="12"/>
        <v>3.32</v>
      </c>
      <c r="J182" s="1092"/>
      <c r="K182" s="1092"/>
    </row>
    <row r="183" spans="1:11" s="960" customFormat="1" ht="12.6" customHeight="1">
      <c r="A183" s="1092"/>
      <c r="B183" s="1181"/>
      <c r="C183" s="1176"/>
      <c r="D183" s="1177"/>
      <c r="E183" s="1178"/>
      <c r="F183" s="1179"/>
      <c r="G183" s="1179"/>
      <c r="H183" s="1179"/>
      <c r="I183" s="1180"/>
      <c r="J183" s="1092"/>
      <c r="K183" s="1092"/>
    </row>
    <row r="184" spans="1:11" s="960" customFormat="1" ht="12.6" customHeight="1">
      <c r="A184" s="1092"/>
      <c r="B184" s="1175" t="s">
        <v>1953</v>
      </c>
      <c r="C184" s="1176">
        <v>1</v>
      </c>
      <c r="D184" s="1177" t="s">
        <v>388</v>
      </c>
      <c r="E184" s="1178">
        <v>1</v>
      </c>
      <c r="F184" s="1179">
        <v>4.51</v>
      </c>
      <c r="G184" s="1179">
        <v>0.115</v>
      </c>
      <c r="H184" s="1179">
        <v>2.1</v>
      </c>
      <c r="I184" s="1180">
        <f t="shared" ref="I184:I186" si="13">ROUND(IF(AND(F184:H184),C184*E184*F184*G184*H184,IF(AND(F184,G184),C184*E184*F184*G184,IF(AND(F184,H184),C184*E184*F184*H184,IF(AND(G184,H184),C184*E184*G184*H184,IF(F184,C184*E184*F184,IF(G184,C184*E184*G184,IF(H184,C184*E184*H184,C184*E184))))))),2)</f>
        <v>1.0900000000000001</v>
      </c>
      <c r="J184" s="1092"/>
      <c r="K184" s="1092"/>
    </row>
    <row r="185" spans="1:11" s="960" customFormat="1" ht="12.6" customHeight="1">
      <c r="A185" s="1092"/>
      <c r="B185" s="1175" t="s">
        <v>1954</v>
      </c>
      <c r="C185" s="1176">
        <v>1</v>
      </c>
      <c r="D185" s="1177" t="s">
        <v>388</v>
      </c>
      <c r="E185" s="1178">
        <v>3</v>
      </c>
      <c r="F185" s="1179">
        <v>1.08</v>
      </c>
      <c r="G185" s="1179">
        <v>0.115</v>
      </c>
      <c r="H185" s="1179">
        <v>2.1</v>
      </c>
      <c r="I185" s="1180">
        <f t="shared" si="13"/>
        <v>0.78</v>
      </c>
      <c r="J185" s="1092"/>
      <c r="K185" s="1092"/>
    </row>
    <row r="186" spans="1:11" s="960" customFormat="1" ht="12.6" customHeight="1">
      <c r="A186" s="1092"/>
      <c r="B186" s="1175" t="s">
        <v>1955</v>
      </c>
      <c r="C186" s="1176">
        <v>1</v>
      </c>
      <c r="D186" s="1177" t="s">
        <v>388</v>
      </c>
      <c r="E186" s="1178">
        <v>1</v>
      </c>
      <c r="F186" s="1179">
        <v>2.4350000000000001</v>
      </c>
      <c r="G186" s="1179">
        <v>0.115</v>
      </c>
      <c r="H186" s="1179">
        <v>2.1</v>
      </c>
      <c r="I186" s="1180">
        <f t="shared" si="13"/>
        <v>0.59</v>
      </c>
      <c r="J186" s="1092"/>
      <c r="K186" s="1092"/>
    </row>
    <row r="187" spans="1:11" s="960" customFormat="1" ht="12.6" customHeight="1">
      <c r="A187" s="1092"/>
      <c r="B187" s="1202" t="s">
        <v>1979</v>
      </c>
      <c r="C187" s="1195">
        <v>1</v>
      </c>
      <c r="D187" s="1196" t="s">
        <v>388</v>
      </c>
      <c r="E187" s="1197">
        <v>5</v>
      </c>
      <c r="F187" s="1198">
        <v>1.2</v>
      </c>
      <c r="G187" s="1198">
        <v>0.23</v>
      </c>
      <c r="H187" s="1198">
        <v>2.1</v>
      </c>
      <c r="I187" s="1180">
        <f t="shared" ref="I187:I190" si="14">-ROUND(IF(AND(F187:H187),C187*E187*F187*G187*H187,IF(AND(F187,G187),C187*E187*F187*G187,IF(AND(F187,H187),C187*E187*F187*H187,IF(AND(G187,H187),C187*E187*G187*H187,IF(F187,C187*E187*F187,IF(G187,C187*E187*G187,IF(H187,C187*E187*H187,C187*E187))))))),2)</f>
        <v>-2.9</v>
      </c>
      <c r="J187" s="1092"/>
      <c r="K187" s="1092"/>
    </row>
    <row r="188" spans="1:11" s="960" customFormat="1" ht="12.6" customHeight="1">
      <c r="A188" s="1092"/>
      <c r="B188" s="1202" t="s">
        <v>1980</v>
      </c>
      <c r="C188" s="1195">
        <v>1</v>
      </c>
      <c r="D188" s="1196" t="s">
        <v>388</v>
      </c>
      <c r="E188" s="1197">
        <v>2</v>
      </c>
      <c r="F188" s="1198">
        <v>0.9</v>
      </c>
      <c r="G188" s="1198">
        <v>0.23</v>
      </c>
      <c r="H188" s="1198">
        <v>2.1</v>
      </c>
      <c r="I188" s="1180">
        <f t="shared" si="14"/>
        <v>-0.87</v>
      </c>
      <c r="J188" s="1092"/>
      <c r="K188" s="1092"/>
    </row>
    <row r="189" spans="1:11" s="960" customFormat="1" ht="12.6" customHeight="1">
      <c r="A189" s="1092"/>
      <c r="B189" s="1202" t="s">
        <v>1981</v>
      </c>
      <c r="C189" s="1195">
        <v>1</v>
      </c>
      <c r="D189" s="1196" t="s">
        <v>388</v>
      </c>
      <c r="E189" s="1197">
        <v>3</v>
      </c>
      <c r="F189" s="1198">
        <v>0.75</v>
      </c>
      <c r="G189" s="1198">
        <v>0.23</v>
      </c>
      <c r="H189" s="1198">
        <v>2.1</v>
      </c>
      <c r="I189" s="1180">
        <f t="shared" si="14"/>
        <v>-1.0900000000000001</v>
      </c>
      <c r="J189" s="1092"/>
      <c r="K189" s="1092"/>
    </row>
    <row r="190" spans="1:11" s="960" customFormat="1" ht="12.6" customHeight="1">
      <c r="A190" s="1092"/>
      <c r="B190" s="1202" t="s">
        <v>1982</v>
      </c>
      <c r="C190" s="1195">
        <v>1</v>
      </c>
      <c r="D190" s="1196" t="s">
        <v>388</v>
      </c>
      <c r="E190" s="1197">
        <v>9</v>
      </c>
      <c r="F190" s="1198">
        <v>0.9</v>
      </c>
      <c r="G190" s="1198">
        <v>0.23</v>
      </c>
      <c r="H190" s="1198">
        <v>1.35</v>
      </c>
      <c r="I190" s="1180">
        <f t="shared" si="14"/>
        <v>-2.52</v>
      </c>
      <c r="J190" s="1092"/>
      <c r="K190" s="1092"/>
    </row>
    <row r="191" spans="1:11" s="960" customFormat="1" ht="12.6" customHeight="1">
      <c r="A191" s="1092"/>
      <c r="B191" s="1181" t="s">
        <v>1983</v>
      </c>
      <c r="C191" s="1176"/>
      <c r="D191" s="1177"/>
      <c r="E191" s="1178"/>
      <c r="F191" s="1179"/>
      <c r="G191" s="1179"/>
      <c r="H191" s="1179"/>
      <c r="I191" s="1180"/>
      <c r="J191" s="1092"/>
      <c r="K191" s="1092"/>
    </row>
    <row r="192" spans="1:11" s="960" customFormat="1" ht="12.6" customHeight="1">
      <c r="A192" s="1092"/>
      <c r="B192" s="1175" t="s">
        <v>1128</v>
      </c>
      <c r="C192" s="1176">
        <v>1</v>
      </c>
      <c r="D192" s="1177" t="s">
        <v>388</v>
      </c>
      <c r="E192" s="1178">
        <v>1</v>
      </c>
      <c r="F192" s="1179">
        <v>41.86</v>
      </c>
      <c r="G192" s="1179">
        <v>0.23</v>
      </c>
      <c r="H192" s="1179">
        <f>0.75-0.3</f>
        <v>0.45</v>
      </c>
      <c r="I192" s="1180">
        <f t="shared" ref="I192" si="15">ROUND(IF(AND(F192:H192),C192*E192*F192*G192*H192,IF(AND(F192,G192),C192*E192*F192*G192,IF(AND(F192,H192),C192*E192*F192*H192,IF(AND(G192,H192),C192*E192*G192*H192,IF(F192,C192*E192*F192,IF(G192,C192*E192*G192,IF(H192,C192*E192*H192,C192*E192))))))),2)</f>
        <v>4.33</v>
      </c>
      <c r="J192" s="1092"/>
      <c r="K192" s="1092"/>
    </row>
    <row r="193" spans="1:11" s="960" customFormat="1" ht="12.6" customHeight="1">
      <c r="A193" s="1092"/>
      <c r="B193" s="1175" t="s">
        <v>1949</v>
      </c>
      <c r="C193" s="1176">
        <v>1</v>
      </c>
      <c r="D193" s="1177" t="s">
        <v>388</v>
      </c>
      <c r="E193" s="1178">
        <v>3</v>
      </c>
      <c r="F193" s="1179">
        <v>0.45</v>
      </c>
      <c r="G193" s="1179">
        <v>0.23</v>
      </c>
      <c r="H193" s="1179">
        <f>0.75-0.3</f>
        <v>0.45</v>
      </c>
      <c r="I193" s="1180">
        <f>-ROUND(IF(AND(F193:H193),C193*E193*F193*G193*H193,IF(AND(F193,G193),C193*E193*F193*G193,IF(AND(F193,H193),C193*E193*F193*H193,IF(AND(G193,H193),C193*E193*G193*H193,IF(F193,C193*E193*F193,IF(G193,C193*E193*G193,IF(H193,C193*E193*H193,C193*E193))))))),2)</f>
        <v>-0.14000000000000001</v>
      </c>
      <c r="J193" s="1092"/>
      <c r="K193" s="1092"/>
    </row>
    <row r="194" spans="1:11" s="960" customFormat="1" ht="12.6" customHeight="1">
      <c r="A194" s="1092"/>
      <c r="B194" s="1175" t="s">
        <v>1950</v>
      </c>
      <c r="C194" s="1176">
        <v>1</v>
      </c>
      <c r="D194" s="1177" t="s">
        <v>388</v>
      </c>
      <c r="E194" s="1178">
        <v>7</v>
      </c>
      <c r="F194" s="1179">
        <v>0.38</v>
      </c>
      <c r="G194" s="1179">
        <v>0.23</v>
      </c>
      <c r="H194" s="1179">
        <f>0.75-0.3</f>
        <v>0.45</v>
      </c>
      <c r="I194" s="1180">
        <f>-ROUND(IF(AND(F194:H194),C194*E194*F194*G194*H194,IF(AND(F194,G194),C194*E194*F194*G194,IF(AND(F194,H194),C194*E194*F194*H194,IF(AND(G194,H194),C194*E194*G194*H194,IF(F194,C194*E194*F194,IF(G194,C194*E194*G194,IF(H194,C194*E194*H194,C194*E194))))))),2)</f>
        <v>-0.28000000000000003</v>
      </c>
      <c r="J194" s="1092"/>
      <c r="K194" s="1092"/>
    </row>
    <row r="195" spans="1:11" s="960" customFormat="1" ht="12.6" customHeight="1">
      <c r="A195" s="1092"/>
      <c r="B195" s="1175" t="s">
        <v>1951</v>
      </c>
      <c r="C195" s="1176">
        <v>1</v>
      </c>
      <c r="D195" s="1177" t="s">
        <v>388</v>
      </c>
      <c r="E195" s="1178">
        <v>2</v>
      </c>
      <c r="F195" s="1179">
        <v>0.38</v>
      </c>
      <c r="G195" s="1179">
        <v>0.23</v>
      </c>
      <c r="H195" s="1179">
        <f>0.75-0.3</f>
        <v>0.45</v>
      </c>
      <c r="I195" s="1180">
        <f>-ROUND(IF(AND(F195:H195),C195*E195*F195*G195*H195,IF(AND(F195,G195),C195*E195*F195*G195,IF(AND(F195,H195),C195*E195*F195*H195,IF(AND(G195,H195),C195*E195*G195*H195,IF(F195,C195*E195*F195,IF(G195,C195*E195*G195,IF(H195,C195*E195*H195,C195*E195))))))),2)</f>
        <v>-0.08</v>
      </c>
      <c r="J195" s="1092"/>
      <c r="K195" s="1092"/>
    </row>
    <row r="196" spans="1:11" s="960" customFormat="1" ht="12.6" customHeight="1">
      <c r="A196" s="1092"/>
      <c r="B196" s="1175"/>
      <c r="C196" s="1176"/>
      <c r="D196" s="1177"/>
      <c r="E196" s="1178"/>
      <c r="F196" s="1179"/>
      <c r="G196" s="1179"/>
      <c r="H196" s="1179"/>
      <c r="I196" s="1180"/>
      <c r="J196" s="1092"/>
      <c r="K196" s="1092"/>
    </row>
    <row r="197" spans="1:11" s="960" customFormat="1" ht="12.6" customHeight="1">
      <c r="A197" s="1092"/>
      <c r="B197" s="1175" t="s">
        <v>1952</v>
      </c>
      <c r="C197" s="1176">
        <v>1</v>
      </c>
      <c r="D197" s="1177" t="s">
        <v>388</v>
      </c>
      <c r="E197" s="1178">
        <v>1</v>
      </c>
      <c r="F197" s="1179">
        <v>8.92</v>
      </c>
      <c r="G197" s="1179">
        <v>0.23</v>
      </c>
      <c r="H197" s="1179">
        <v>0.45</v>
      </c>
      <c r="I197" s="1180">
        <f t="shared" ref="I197:I199" si="16">ROUND(IF(AND(F197:H197),C197*E197*F197*G197*H197,IF(AND(F197,G197),C197*E197*F197*G197,IF(AND(F197,H197),C197*E197*F197*H197,IF(AND(G197,H197),C197*E197*G197*H197,IF(F197,C197*E197*F197,IF(G197,C197*E197*G197,IF(H197,C197*E197*H197,C197*E197))))))),2)</f>
        <v>0.92</v>
      </c>
      <c r="J197" s="1092"/>
      <c r="K197" s="1092"/>
    </row>
    <row r="198" spans="1:11" s="960" customFormat="1" ht="12.6" customHeight="1">
      <c r="A198" s="1092"/>
      <c r="B198" s="1175" t="s">
        <v>1952</v>
      </c>
      <c r="C198" s="1176">
        <v>1</v>
      </c>
      <c r="D198" s="1177" t="s">
        <v>388</v>
      </c>
      <c r="E198" s="1178">
        <v>1</v>
      </c>
      <c r="F198" s="1179">
        <v>7.67</v>
      </c>
      <c r="G198" s="1179">
        <v>0.23</v>
      </c>
      <c r="H198" s="1179">
        <v>0.45</v>
      </c>
      <c r="I198" s="1180">
        <f t="shared" si="16"/>
        <v>0.79</v>
      </c>
      <c r="J198" s="1092"/>
      <c r="K198" s="1092"/>
    </row>
    <row r="199" spans="1:11" s="960" customFormat="1" ht="12.6" customHeight="1">
      <c r="A199" s="1092"/>
      <c r="B199" s="1175" t="s">
        <v>1952</v>
      </c>
      <c r="C199" s="1176">
        <v>1</v>
      </c>
      <c r="D199" s="1177" t="s">
        <v>388</v>
      </c>
      <c r="E199" s="1178">
        <v>2</v>
      </c>
      <c r="F199" s="1179">
        <v>3.44</v>
      </c>
      <c r="G199" s="1179">
        <v>0.23</v>
      </c>
      <c r="H199" s="1179">
        <v>0.45</v>
      </c>
      <c r="I199" s="1180">
        <f t="shared" si="16"/>
        <v>0.71</v>
      </c>
      <c r="J199" s="1092"/>
      <c r="K199" s="1092"/>
    </row>
    <row r="200" spans="1:11" s="960" customFormat="1" ht="12.6" customHeight="1">
      <c r="A200" s="1092"/>
      <c r="B200" s="1181"/>
      <c r="C200" s="1176"/>
      <c r="D200" s="1177"/>
      <c r="E200" s="1178"/>
      <c r="F200" s="1179"/>
      <c r="G200" s="1179"/>
      <c r="H200" s="1179"/>
      <c r="I200" s="1180"/>
      <c r="J200" s="1092"/>
      <c r="K200" s="1092"/>
    </row>
    <row r="201" spans="1:11" s="960" customFormat="1" ht="12.6" customHeight="1">
      <c r="A201" s="1092"/>
      <c r="B201" s="1175" t="s">
        <v>1953</v>
      </c>
      <c r="C201" s="1176">
        <v>1</v>
      </c>
      <c r="D201" s="1177" t="s">
        <v>388</v>
      </c>
      <c r="E201" s="1178">
        <v>1</v>
      </c>
      <c r="F201" s="1179">
        <v>4.51</v>
      </c>
      <c r="G201" s="1179">
        <v>0.115</v>
      </c>
      <c r="H201" s="1179">
        <v>0.45</v>
      </c>
      <c r="I201" s="1180">
        <f t="shared" ref="I201:I203" si="17">ROUND(IF(AND(F201:H201),C201*E201*F201*G201*H201,IF(AND(F201,G201),C201*E201*F201*G201,IF(AND(F201,H201),C201*E201*F201*H201,IF(AND(G201,H201),C201*E201*G201*H201,IF(F201,C201*E201*F201,IF(G201,C201*E201*G201,IF(H201,C201*E201*H201,C201*E201))))))),2)</f>
        <v>0.23</v>
      </c>
      <c r="J201" s="1092"/>
      <c r="K201" s="1092"/>
    </row>
    <row r="202" spans="1:11" s="960" customFormat="1" ht="12.6" customHeight="1">
      <c r="A202" s="1092"/>
      <c r="B202" s="1175" t="s">
        <v>1954</v>
      </c>
      <c r="C202" s="1176">
        <v>1</v>
      </c>
      <c r="D202" s="1177" t="s">
        <v>388</v>
      </c>
      <c r="E202" s="1178">
        <v>3</v>
      </c>
      <c r="F202" s="1179">
        <v>1.08</v>
      </c>
      <c r="G202" s="1179">
        <v>0.115</v>
      </c>
      <c r="H202" s="1179">
        <v>0.45</v>
      </c>
      <c r="I202" s="1180">
        <f t="shared" si="17"/>
        <v>0.17</v>
      </c>
      <c r="J202" s="1092"/>
      <c r="K202" s="1092"/>
    </row>
    <row r="203" spans="1:11" s="960" customFormat="1" ht="12.6" customHeight="1">
      <c r="A203" s="1092"/>
      <c r="B203" s="1175" t="s">
        <v>1955</v>
      </c>
      <c r="C203" s="1176">
        <v>1</v>
      </c>
      <c r="D203" s="1177" t="s">
        <v>388</v>
      </c>
      <c r="E203" s="1178">
        <v>1</v>
      </c>
      <c r="F203" s="1179">
        <v>2.4350000000000001</v>
      </c>
      <c r="G203" s="1179">
        <v>0.115</v>
      </c>
      <c r="H203" s="1179">
        <v>0.75</v>
      </c>
      <c r="I203" s="1180">
        <f t="shared" si="17"/>
        <v>0.21</v>
      </c>
      <c r="J203" s="1092"/>
      <c r="K203" s="1092"/>
    </row>
    <row r="204" spans="1:11" s="960" customFormat="1" ht="12.6" customHeight="1">
      <c r="A204" s="1092"/>
      <c r="B204" s="1202" t="s">
        <v>1984</v>
      </c>
      <c r="C204" s="1195">
        <v>1</v>
      </c>
      <c r="D204" s="1196" t="s">
        <v>388</v>
      </c>
      <c r="E204" s="1197">
        <v>15</v>
      </c>
      <c r="F204" s="1198">
        <v>0.6</v>
      </c>
      <c r="G204" s="1198">
        <v>0.23</v>
      </c>
      <c r="H204" s="1198">
        <v>0.3</v>
      </c>
      <c r="I204" s="1180">
        <f t="shared" ref="I204" si="18">-ROUND(IF(AND(F204:H204),C204*E204*F204*G204*H204,IF(AND(F204,G204),C204*E204*F204*G204,IF(AND(F204,H204),C204*E204*F204*H204,IF(AND(G204,H204),C204*E204*G204*H204,IF(F204,C204*E204*F204,IF(G204,C204*E204*G204,IF(H204,C204*E204*H204,C204*E204))))))),2)</f>
        <v>-0.62</v>
      </c>
      <c r="J204" s="1092"/>
      <c r="K204" s="1092"/>
    </row>
    <row r="205" spans="1:11" s="960" customFormat="1" ht="12.6" customHeight="1">
      <c r="A205" s="1092"/>
      <c r="B205" s="1202"/>
      <c r="C205" s="1195"/>
      <c r="D205" s="1196"/>
      <c r="E205" s="1197"/>
      <c r="F205" s="1198"/>
      <c r="G205" s="1198"/>
      <c r="H205" s="1198"/>
      <c r="I205" s="1180"/>
      <c r="J205" s="1092"/>
      <c r="K205" s="1092"/>
    </row>
    <row r="206" spans="1:11" s="960" customFormat="1" ht="12.6" customHeight="1">
      <c r="A206" s="1092"/>
      <c r="B206" s="1188" t="s">
        <v>1956</v>
      </c>
      <c r="C206" s="1189">
        <v>1</v>
      </c>
      <c r="D206" s="1190" t="s">
        <v>388</v>
      </c>
      <c r="E206" s="1191">
        <v>2</v>
      </c>
      <c r="F206" s="1192">
        <v>2.1</v>
      </c>
      <c r="G206" s="1192">
        <v>0.9</v>
      </c>
      <c r="H206" s="1192">
        <v>0.15</v>
      </c>
      <c r="I206" s="1193">
        <f t="shared" ref="I206:I211" si="19">ROUND(IF(AND(F206:H206),C206*E206*F206*G206*H206,IF(AND(F206,G206),C206*E206*F206*G206,IF(AND(F206,H206),C206*E206*F206*H206,IF(AND(G206,H206),C206*E206*G206*H206,IF(F206,C206*E206*F206,IF(G206,C206*E206*G206,IF(H206,C206*E206*H206,C206*E206))))))),2)</f>
        <v>0.56999999999999995</v>
      </c>
      <c r="J206" s="1092"/>
      <c r="K206" s="1092"/>
    </row>
    <row r="207" spans="1:11" s="960" customFormat="1" ht="12.6" customHeight="1">
      <c r="A207" s="1092"/>
      <c r="B207" s="1188" t="s">
        <v>1957</v>
      </c>
      <c r="C207" s="1189">
        <v>1</v>
      </c>
      <c r="D207" s="1190" t="s">
        <v>388</v>
      </c>
      <c r="E207" s="1191">
        <v>1</v>
      </c>
      <c r="F207" s="1192">
        <v>1.5</v>
      </c>
      <c r="G207" s="1192">
        <v>0.9</v>
      </c>
      <c r="H207" s="1192">
        <v>0.15</v>
      </c>
      <c r="I207" s="1193">
        <f t="shared" si="19"/>
        <v>0.2</v>
      </c>
      <c r="J207" s="1092"/>
      <c r="K207" s="1092"/>
    </row>
    <row r="208" spans="1:11" s="960" customFormat="1" ht="12.6" customHeight="1">
      <c r="A208" s="1092"/>
      <c r="B208" s="1188" t="s">
        <v>1956</v>
      </c>
      <c r="C208" s="1189">
        <v>1</v>
      </c>
      <c r="D208" s="1190" t="s">
        <v>388</v>
      </c>
      <c r="E208" s="1191">
        <v>2</v>
      </c>
      <c r="F208" s="1192">
        <v>2.1</v>
      </c>
      <c r="G208" s="1192">
        <v>0.6</v>
      </c>
      <c r="H208" s="1192">
        <v>0.15</v>
      </c>
      <c r="I208" s="1193">
        <f t="shared" si="19"/>
        <v>0.38</v>
      </c>
      <c r="J208" s="1092"/>
      <c r="K208" s="1092"/>
    </row>
    <row r="209" spans="1:21" s="960" customFormat="1" ht="12.6" customHeight="1">
      <c r="A209" s="1092"/>
      <c r="B209" s="1188" t="s">
        <v>1957</v>
      </c>
      <c r="C209" s="1189">
        <v>1</v>
      </c>
      <c r="D209" s="1190" t="s">
        <v>388</v>
      </c>
      <c r="E209" s="1191">
        <v>1</v>
      </c>
      <c r="F209" s="1192">
        <v>1.5</v>
      </c>
      <c r="G209" s="1192">
        <v>0.6</v>
      </c>
      <c r="H209" s="1192">
        <v>0.15</v>
      </c>
      <c r="I209" s="1193">
        <f t="shared" si="19"/>
        <v>0.14000000000000001</v>
      </c>
      <c r="J209" s="1092"/>
      <c r="K209" s="1092"/>
    </row>
    <row r="210" spans="1:21" s="960" customFormat="1" ht="12.6" customHeight="1">
      <c r="A210" s="1092"/>
      <c r="B210" s="1188" t="s">
        <v>1956</v>
      </c>
      <c r="C210" s="1189">
        <v>1</v>
      </c>
      <c r="D210" s="1190" t="s">
        <v>388</v>
      </c>
      <c r="E210" s="1191">
        <v>2</v>
      </c>
      <c r="F210" s="1192">
        <v>2.1</v>
      </c>
      <c r="G210" s="1192">
        <v>0.3</v>
      </c>
      <c r="H210" s="1192">
        <v>0.15</v>
      </c>
      <c r="I210" s="1193">
        <f t="shared" si="19"/>
        <v>0.19</v>
      </c>
      <c r="J210" s="1092"/>
      <c r="K210" s="1092"/>
    </row>
    <row r="211" spans="1:21" s="960" customFormat="1" ht="12.6" customHeight="1">
      <c r="A211" s="1092"/>
      <c r="B211" s="1188" t="s">
        <v>1957</v>
      </c>
      <c r="C211" s="1189">
        <v>1</v>
      </c>
      <c r="D211" s="1190" t="s">
        <v>388</v>
      </c>
      <c r="E211" s="1191">
        <v>1</v>
      </c>
      <c r="F211" s="1192">
        <v>1.5</v>
      </c>
      <c r="G211" s="1192">
        <v>0.3</v>
      </c>
      <c r="H211" s="1192">
        <v>0.15</v>
      </c>
      <c r="I211" s="1193">
        <f t="shared" si="19"/>
        <v>7.0000000000000007E-2</v>
      </c>
      <c r="J211" s="1092"/>
      <c r="K211" s="1092"/>
    </row>
    <row r="212" spans="1:21" s="961" customFormat="1" ht="11.25">
      <c r="A212" s="1092"/>
      <c r="B212" s="1093"/>
      <c r="C212" s="1131"/>
      <c r="D212" s="1154"/>
      <c r="E212" s="1145"/>
      <c r="F212" s="1093"/>
      <c r="G212" s="1093"/>
      <c r="H212" s="1093"/>
      <c r="I212" s="1106">
        <f>SUM(I175:I211)</f>
        <v>32.119999999999997</v>
      </c>
      <c r="J212" s="1097">
        <f>data1!G362</f>
        <v>5278.76</v>
      </c>
      <c r="K212" s="1098">
        <f>ROUND((J212*I212)/1,0)</f>
        <v>169554</v>
      </c>
      <c r="L212" s="981">
        <f>ROUND(data1!H362*$I$212,2)</f>
        <v>0</v>
      </c>
      <c r="M212" s="981">
        <f>ROUND(data1!I362*$I$212,2)</f>
        <v>4972.18</v>
      </c>
      <c r="N212" s="981">
        <f>ROUND(data1!J362*$I$212,2)</f>
        <v>0</v>
      </c>
      <c r="O212" s="981">
        <f>ROUND(data1!K362*$I$212,2)</f>
        <v>0</v>
      </c>
      <c r="P212" s="981">
        <f>ROUND(data1!L362*$I$212,2)</f>
        <v>9953.35</v>
      </c>
      <c r="Q212" s="981">
        <f>ROUND(data1!M362*$I$212,2)</f>
        <v>0</v>
      </c>
      <c r="R212" s="981">
        <f>ROUND(data1!N362*$I$212,2)</f>
        <v>0</v>
      </c>
      <c r="S212" s="981">
        <f>ROUND(data1!O362*$I$212,2)</f>
        <v>0</v>
      </c>
      <c r="T212" s="981">
        <f>ROUND(data1!P362*$I$212,2)</f>
        <v>154628.25</v>
      </c>
      <c r="U212" s="981">
        <f>ROUND(data1!Q362*$I$212,2)</f>
        <v>169553.77</v>
      </c>
    </row>
    <row r="213" spans="1:21" s="961" customFormat="1" ht="11.25">
      <c r="A213" s="1092"/>
      <c r="B213" s="1093"/>
      <c r="C213" s="1131"/>
      <c r="D213" s="1154"/>
      <c r="E213" s="1145"/>
      <c r="F213" s="1093"/>
      <c r="G213" s="1093"/>
      <c r="H213" s="1093"/>
      <c r="I213" s="1107" t="s">
        <v>112</v>
      </c>
      <c r="J213" s="1094"/>
      <c r="K213" s="1098"/>
    </row>
    <row r="214" spans="1:21" s="961" customFormat="1" ht="123.75" customHeight="1">
      <c r="A214" s="1092">
        <v>10</v>
      </c>
      <c r="B214" s="1289" t="s">
        <v>1105</v>
      </c>
      <c r="C214" s="1289"/>
      <c r="D214" s="1289"/>
      <c r="E214" s="1289"/>
      <c r="F214" s="1289"/>
      <c r="G214" s="1289"/>
      <c r="H214" s="1289"/>
      <c r="I214" s="1107"/>
      <c r="J214" s="1094"/>
      <c r="K214" s="1098"/>
    </row>
    <row r="215" spans="1:21" s="961" customFormat="1">
      <c r="A215" s="1092"/>
      <c r="B215" s="1175" t="s">
        <v>1128</v>
      </c>
      <c r="C215" s="1176">
        <v>1</v>
      </c>
      <c r="D215" s="1177" t="s">
        <v>388</v>
      </c>
      <c r="E215" s="1178">
        <v>1</v>
      </c>
      <c r="F215" s="1179">
        <v>41.86</v>
      </c>
      <c r="G215" s="1179">
        <v>0.45</v>
      </c>
      <c r="H215" s="1179">
        <v>0.3</v>
      </c>
      <c r="I215" s="1180">
        <f t="shared" ref="I215" si="20">ROUND(IF(AND(F215:H215),C215*E215*F215*G215*H215,IF(AND(F215,G215),C215*E215*F215*G215,IF(AND(F215,H215),C215*E215*F215*H215,IF(AND(G215,H215),C215*E215*G215*H215,IF(F215,C215*E215*F215,IF(G215,C215*E215*G215,IF(H215,C215*E215*H215,C215*E215))))))),2)</f>
        <v>5.65</v>
      </c>
      <c r="J215" s="1094"/>
      <c r="K215" s="1098"/>
    </row>
    <row r="216" spans="1:21" s="961" customFormat="1">
      <c r="A216" s="1092"/>
      <c r="B216" s="1175" t="s">
        <v>1949</v>
      </c>
      <c r="C216" s="1176">
        <v>1</v>
      </c>
      <c r="D216" s="1177" t="s">
        <v>388</v>
      </c>
      <c r="E216" s="1178">
        <v>3</v>
      </c>
      <c r="F216" s="1179">
        <v>0.45</v>
      </c>
      <c r="G216" s="1179">
        <v>0.3</v>
      </c>
      <c r="H216" s="1179">
        <v>0.3</v>
      </c>
      <c r="I216" s="1180">
        <f>-ROUND(IF(AND(F216:H216),C216*E216*F216*G216*H216,IF(AND(F216,G216),C216*E216*F216*G216,IF(AND(F216,H216),C216*E216*F216*H216,IF(AND(G216,H216),C216*E216*G216*H216,IF(F216,C216*E216*F216,IF(G216,C216*E216*G216,IF(H216,C216*E216*H216,C216*E216))))))),2)</f>
        <v>-0.12</v>
      </c>
      <c r="J216" s="1094"/>
      <c r="K216" s="1098"/>
    </row>
    <row r="217" spans="1:21" s="961" customFormat="1">
      <c r="A217" s="1092"/>
      <c r="B217" s="1175" t="s">
        <v>1950</v>
      </c>
      <c r="C217" s="1176">
        <v>1</v>
      </c>
      <c r="D217" s="1177" t="s">
        <v>388</v>
      </c>
      <c r="E217" s="1178">
        <v>7</v>
      </c>
      <c r="F217" s="1179">
        <v>0.38</v>
      </c>
      <c r="G217" s="1179">
        <v>0.3</v>
      </c>
      <c r="H217" s="1179">
        <v>0.3</v>
      </c>
      <c r="I217" s="1180">
        <f>-ROUND(IF(AND(F217:H217),C217*E217*F217*G217*H217,IF(AND(F217,G217),C217*E217*F217*G217,IF(AND(F217,H217),C217*E217*F217*H217,IF(AND(G217,H217),C217*E217*G217*H217,IF(F217,C217*E217*F217,IF(G217,C217*E217*G217,IF(H217,C217*E217*H217,C217*E217))))))),2)</f>
        <v>-0.24</v>
      </c>
      <c r="J217" s="1094"/>
      <c r="K217" s="1098"/>
    </row>
    <row r="218" spans="1:21" s="961" customFormat="1">
      <c r="A218" s="1092"/>
      <c r="B218" s="1175" t="s">
        <v>1951</v>
      </c>
      <c r="C218" s="1176">
        <v>1</v>
      </c>
      <c r="D218" s="1177" t="s">
        <v>388</v>
      </c>
      <c r="E218" s="1178">
        <v>2</v>
      </c>
      <c r="F218" s="1179">
        <v>0.38</v>
      </c>
      <c r="G218" s="1179">
        <v>0.3</v>
      </c>
      <c r="H218" s="1179">
        <v>0.3</v>
      </c>
      <c r="I218" s="1180">
        <f>-ROUND(IF(AND(F218:H218),C218*E218*F218*G218*H218,IF(AND(F218,G218),C218*E218*F218*G218,IF(AND(F218,H218),C218*E218*F218*H218,IF(AND(G218,H218),C218*E218*G218*H218,IF(F218,C218*E218*F218,IF(G218,C218*E218*G218,IF(H218,C218*E218*H218,C218*E218))))))),2)</f>
        <v>-7.0000000000000007E-2</v>
      </c>
      <c r="J218" s="1094"/>
      <c r="K218" s="1098"/>
    </row>
    <row r="219" spans="1:21" s="961" customFormat="1">
      <c r="A219" s="1092"/>
      <c r="B219" s="1175"/>
      <c r="C219" s="1176"/>
      <c r="D219" s="1177"/>
      <c r="E219" s="1178"/>
      <c r="F219" s="1179"/>
      <c r="G219" s="1179"/>
      <c r="H219" s="1179"/>
      <c r="I219" s="1180"/>
      <c r="J219" s="1094"/>
      <c r="K219" s="1098"/>
    </row>
    <row r="220" spans="1:21" s="961" customFormat="1">
      <c r="A220" s="1092"/>
      <c r="B220" s="1175" t="s">
        <v>1952</v>
      </c>
      <c r="C220" s="1176">
        <v>1</v>
      </c>
      <c r="D220" s="1177" t="s">
        <v>388</v>
      </c>
      <c r="E220" s="1178">
        <v>1</v>
      </c>
      <c r="F220" s="1179">
        <v>8.92</v>
      </c>
      <c r="G220" s="1179">
        <v>0.45</v>
      </c>
      <c r="H220" s="1179">
        <v>0.3</v>
      </c>
      <c r="I220" s="1180">
        <f t="shared" ref="I220:I222" si="21">ROUND(IF(AND(F220:H220),C220*E220*F220*G220*H220,IF(AND(F220,G220),C220*E220*F220*G220,IF(AND(F220,H220),C220*E220*F220*H220,IF(AND(G220,H220),C220*E220*G220*H220,IF(F220,C220*E220*F220,IF(G220,C220*E220*G220,IF(H220,C220*E220*H220,C220*E220))))))),2)</f>
        <v>1.2</v>
      </c>
      <c r="J220" s="1094"/>
      <c r="K220" s="1098"/>
    </row>
    <row r="221" spans="1:21" s="961" customFormat="1">
      <c r="A221" s="1092"/>
      <c r="B221" s="1175" t="s">
        <v>1952</v>
      </c>
      <c r="C221" s="1176">
        <v>1</v>
      </c>
      <c r="D221" s="1177" t="s">
        <v>388</v>
      </c>
      <c r="E221" s="1178">
        <v>1</v>
      </c>
      <c r="F221" s="1179">
        <v>7.67</v>
      </c>
      <c r="G221" s="1179">
        <v>0.45</v>
      </c>
      <c r="H221" s="1179">
        <v>0.3</v>
      </c>
      <c r="I221" s="1180">
        <f t="shared" si="21"/>
        <v>1.04</v>
      </c>
      <c r="J221" s="1094"/>
      <c r="K221" s="1098"/>
    </row>
    <row r="222" spans="1:21" s="961" customFormat="1">
      <c r="A222" s="1092"/>
      <c r="B222" s="1175" t="s">
        <v>1952</v>
      </c>
      <c r="C222" s="1176">
        <v>1</v>
      </c>
      <c r="D222" s="1177" t="s">
        <v>388</v>
      </c>
      <c r="E222" s="1178">
        <v>2</v>
      </c>
      <c r="F222" s="1179">
        <v>3.44</v>
      </c>
      <c r="G222" s="1179">
        <v>0.45</v>
      </c>
      <c r="H222" s="1179">
        <v>0.3</v>
      </c>
      <c r="I222" s="1180">
        <f t="shared" si="21"/>
        <v>0.93</v>
      </c>
      <c r="J222" s="1094"/>
      <c r="K222" s="1098"/>
    </row>
    <row r="223" spans="1:21" s="961" customFormat="1">
      <c r="A223" s="1092"/>
      <c r="B223" s="1181"/>
      <c r="C223" s="1176"/>
      <c r="D223" s="1177"/>
      <c r="E223" s="1178"/>
      <c r="F223" s="1179"/>
      <c r="G223" s="1179"/>
      <c r="H223" s="1179"/>
      <c r="I223" s="1180"/>
      <c r="J223" s="1094"/>
      <c r="K223" s="1098"/>
    </row>
    <row r="224" spans="1:21" s="961" customFormat="1">
      <c r="A224" s="1092"/>
      <c r="B224" s="1175" t="s">
        <v>1953</v>
      </c>
      <c r="C224" s="1176">
        <v>1</v>
      </c>
      <c r="D224" s="1177" t="s">
        <v>388</v>
      </c>
      <c r="E224" s="1178">
        <v>1</v>
      </c>
      <c r="F224" s="1179">
        <v>4.51</v>
      </c>
      <c r="G224" s="1179">
        <v>0.45</v>
      </c>
      <c r="H224" s="1179">
        <v>0.3</v>
      </c>
      <c r="I224" s="1180">
        <f t="shared" ref="I224:I226" si="22">ROUND(IF(AND(F224:H224),C224*E224*F224*G224*H224,IF(AND(F224,G224),C224*E224*F224*G224,IF(AND(F224,H224),C224*E224*F224*H224,IF(AND(G224,H224),C224*E224*G224*H224,IF(F224,C224*E224*F224,IF(G224,C224*E224*G224,IF(H224,C224*E224*H224,C224*E224))))))),2)</f>
        <v>0.61</v>
      </c>
      <c r="J224" s="1094"/>
      <c r="K224" s="1098"/>
    </row>
    <row r="225" spans="1:22" s="961" customFormat="1">
      <c r="A225" s="1092"/>
      <c r="B225" s="1175" t="s">
        <v>1954</v>
      </c>
      <c r="C225" s="1176">
        <v>1</v>
      </c>
      <c r="D225" s="1177" t="s">
        <v>388</v>
      </c>
      <c r="E225" s="1178">
        <v>3</v>
      </c>
      <c r="F225" s="1179">
        <v>1.08</v>
      </c>
      <c r="G225" s="1179">
        <v>0.45</v>
      </c>
      <c r="H225" s="1179">
        <v>0.3</v>
      </c>
      <c r="I225" s="1180">
        <f t="shared" si="22"/>
        <v>0.44</v>
      </c>
      <c r="J225" s="1094"/>
      <c r="K225" s="1098"/>
    </row>
    <row r="226" spans="1:22" s="961" customFormat="1">
      <c r="A226" s="1092"/>
      <c r="B226" s="1175" t="s">
        <v>1955</v>
      </c>
      <c r="C226" s="1176">
        <v>1</v>
      </c>
      <c r="D226" s="1177" t="s">
        <v>388</v>
      </c>
      <c r="E226" s="1178">
        <v>1</v>
      </c>
      <c r="F226" s="1179">
        <v>2.4350000000000001</v>
      </c>
      <c r="G226" s="1179">
        <v>0.45</v>
      </c>
      <c r="H226" s="1179">
        <v>0.3</v>
      </c>
      <c r="I226" s="1180">
        <f t="shared" si="22"/>
        <v>0.33</v>
      </c>
      <c r="J226" s="1094"/>
      <c r="K226" s="1098"/>
    </row>
    <row r="227" spans="1:22" s="961" customFormat="1" ht="11.25">
      <c r="A227" s="1092"/>
      <c r="B227" s="1093"/>
      <c r="C227" s="1131"/>
      <c r="D227" s="1154"/>
      <c r="E227" s="1145"/>
      <c r="F227" s="1093"/>
      <c r="G227" s="1093"/>
      <c r="H227" s="1093"/>
      <c r="I227" s="1106">
        <f>SUM(I215:I226)</f>
        <v>9.77</v>
      </c>
      <c r="J227" s="1097">
        <f>data1!E383</f>
        <v>5720.8799999999992</v>
      </c>
      <c r="K227" s="1098">
        <f>ROUND((J227*I227)/1,0)</f>
        <v>55893</v>
      </c>
      <c r="L227" s="981">
        <f>ROUND(data1!H383*$I$227,2)</f>
        <v>0</v>
      </c>
      <c r="M227" s="981">
        <f>ROUND(data1!I383*$I$227,2)</f>
        <v>2016.53</v>
      </c>
      <c r="N227" s="981">
        <f>ROUND(data1!J383*$I$227,2)</f>
        <v>0</v>
      </c>
      <c r="O227" s="981">
        <f>ROUND(data1!K383*$I$227,2)</f>
        <v>0</v>
      </c>
      <c r="P227" s="981">
        <f>ROUND(data1!L383*$I$227,2)</f>
        <v>3027.53</v>
      </c>
      <c r="Q227" s="981">
        <f>ROUND(data1!M383*$I$227,2)</f>
        <v>0</v>
      </c>
      <c r="R227" s="981">
        <f>ROUND(data1!N383*$I$227,2)</f>
        <v>0</v>
      </c>
      <c r="S227" s="981">
        <f>ROUND(data1!O383*$I$227,2)</f>
        <v>0</v>
      </c>
      <c r="T227" s="981">
        <f>ROUND(data1!P383*$I$227,2)</f>
        <v>50848.94</v>
      </c>
      <c r="U227" s="981">
        <f>ROUND(data1!Q383*$I$227,2)</f>
        <v>55893</v>
      </c>
    </row>
    <row r="228" spans="1:22" s="961" customFormat="1" ht="11.25">
      <c r="A228" s="1092"/>
      <c r="B228" s="1093"/>
      <c r="C228" s="1131"/>
      <c r="D228" s="1154"/>
      <c r="E228" s="1145"/>
      <c r="F228" s="1093"/>
      <c r="G228" s="1093"/>
      <c r="H228" s="1093"/>
      <c r="I228" s="1107" t="s">
        <v>112</v>
      </c>
      <c r="J228" s="1094"/>
      <c r="K228" s="1098"/>
    </row>
    <row r="229" spans="1:22" s="961" customFormat="1" ht="135.75" hidden="1" customHeight="1">
      <c r="A229" s="1092">
        <v>10</v>
      </c>
      <c r="B229" s="1289" t="s">
        <v>1115</v>
      </c>
      <c r="C229" s="1291"/>
      <c r="D229" s="1291"/>
      <c r="E229" s="1291"/>
      <c r="F229" s="1291"/>
      <c r="G229" s="1291"/>
      <c r="H229" s="1291"/>
      <c r="I229" s="1107"/>
      <c r="J229" s="1094"/>
      <c r="K229" s="1098"/>
    </row>
    <row r="230" spans="1:22" s="961" customFormat="1" ht="11.25" hidden="1">
      <c r="A230" s="1092"/>
      <c r="B230" s="1119" t="s">
        <v>1116</v>
      </c>
      <c r="C230" s="1131"/>
      <c r="D230" s="1154"/>
      <c r="E230" s="1145"/>
      <c r="F230" s="1093"/>
      <c r="G230" s="1093"/>
      <c r="H230" s="1093"/>
      <c r="I230" s="1107"/>
      <c r="J230" s="1094"/>
      <c r="K230" s="1098"/>
    </row>
    <row r="231" spans="1:22" s="961" customFormat="1" ht="11.25" hidden="1">
      <c r="A231" s="1092"/>
      <c r="B231" s="1093" t="s">
        <v>1117</v>
      </c>
      <c r="C231" s="1131">
        <v>3</v>
      </c>
      <c r="D231" s="1154"/>
      <c r="E231" s="1145"/>
      <c r="F231" s="1093">
        <f>3.39-2*0.265</f>
        <v>2.8600000000000003</v>
      </c>
      <c r="G231" s="1093"/>
      <c r="H231" s="1093">
        <f>3.3-0.425</f>
        <v>2.875</v>
      </c>
      <c r="I231" s="1107">
        <f>ROUND(C231*F231*H231,2)</f>
        <v>24.67</v>
      </c>
      <c r="J231" s="1094"/>
      <c r="K231" s="1098"/>
    </row>
    <row r="232" spans="1:22" s="961" customFormat="1" ht="11.25" hidden="1">
      <c r="A232" s="1092"/>
      <c r="B232" s="1093" t="s">
        <v>1118</v>
      </c>
      <c r="C232" s="1131">
        <v>1</v>
      </c>
      <c r="D232" s="1154"/>
      <c r="E232" s="1145"/>
      <c r="F232" s="1093">
        <f>5.22-0.115-0.265</f>
        <v>4.84</v>
      </c>
      <c r="G232" s="1093"/>
      <c r="H232" s="1093">
        <f>3.3-0.505</f>
        <v>2.7949999999999999</v>
      </c>
      <c r="I232" s="1107">
        <f>ROUND(C232*F232*H232,2)</f>
        <v>13.53</v>
      </c>
      <c r="J232" s="1094"/>
      <c r="K232" s="1098"/>
    </row>
    <row r="233" spans="1:22" s="961" customFormat="1" ht="11.25" hidden="1">
      <c r="A233" s="1092"/>
      <c r="B233" s="1093" t="s">
        <v>1119</v>
      </c>
      <c r="C233" s="1131">
        <v>1</v>
      </c>
      <c r="D233" s="1154"/>
      <c r="E233" s="1145"/>
      <c r="F233" s="1093">
        <f>2.82-0.23</f>
        <v>2.59</v>
      </c>
      <c r="G233" s="1093"/>
      <c r="H233" s="1093">
        <f>3.3-0.425</f>
        <v>2.875</v>
      </c>
      <c r="I233" s="1107">
        <f>ROUND(C233*F233*H233,2)</f>
        <v>7.45</v>
      </c>
      <c r="J233" s="1094"/>
      <c r="K233" s="1098"/>
    </row>
    <row r="234" spans="1:22" s="961" customFormat="1" ht="11.25" hidden="1">
      <c r="A234" s="1092"/>
      <c r="B234" s="1093" t="s">
        <v>1120</v>
      </c>
      <c r="C234" s="1131">
        <v>1</v>
      </c>
      <c r="D234" s="1154"/>
      <c r="E234" s="1145"/>
      <c r="F234" s="1093">
        <f>3.01-0.23</f>
        <v>2.78</v>
      </c>
      <c r="G234" s="1093"/>
      <c r="H234" s="1093">
        <f>3.3-0.425</f>
        <v>2.875</v>
      </c>
      <c r="I234" s="1107">
        <f>ROUND(C234*F234*H234,2)</f>
        <v>7.99</v>
      </c>
      <c r="J234" s="1094"/>
      <c r="K234" s="1098"/>
    </row>
    <row r="235" spans="1:22" s="961" customFormat="1" ht="11.25" hidden="1">
      <c r="A235" s="1092"/>
      <c r="B235" s="1093" t="s">
        <v>1258</v>
      </c>
      <c r="C235" s="1131">
        <v>1</v>
      </c>
      <c r="D235" s="1154"/>
      <c r="E235" s="1145"/>
      <c r="F235" s="1093">
        <f>3.56+3.56+0.15</f>
        <v>7.2700000000000005</v>
      </c>
      <c r="G235" s="1093"/>
      <c r="H235" s="1093">
        <v>0.75</v>
      </c>
      <c r="I235" s="1107">
        <f>ROUND(C235*F235*H235,2)</f>
        <v>5.45</v>
      </c>
      <c r="J235" s="1094"/>
      <c r="K235" s="1098"/>
    </row>
    <row r="236" spans="1:22" s="961" customFormat="1" ht="33.75" hidden="1">
      <c r="A236" s="1092"/>
      <c r="B236" s="1120" t="s">
        <v>1113</v>
      </c>
      <c r="C236" s="1137">
        <v>2</v>
      </c>
      <c r="D236" s="1158"/>
      <c r="E236" s="1149"/>
      <c r="F236" s="1099">
        <v>1.05</v>
      </c>
      <c r="G236" s="1099"/>
      <c r="H236" s="1122">
        <v>2.1</v>
      </c>
      <c r="I236" s="1123">
        <f>-ROUND(C236*F236*H236,2)</f>
        <v>-4.41</v>
      </c>
      <c r="J236" s="1094"/>
      <c r="K236" s="1098"/>
    </row>
    <row r="237" spans="1:22" s="961" customFormat="1" ht="11.25" hidden="1">
      <c r="A237" s="1092"/>
      <c r="B237" s="1120" t="s">
        <v>1057</v>
      </c>
      <c r="C237" s="1137"/>
      <c r="D237" s="1158"/>
      <c r="E237" s="1149"/>
      <c r="F237" s="1099"/>
      <c r="G237" s="1099"/>
      <c r="H237" s="1122"/>
      <c r="I237" s="1123">
        <v>0.32</v>
      </c>
      <c r="J237" s="1094"/>
      <c r="K237" s="1098"/>
    </row>
    <row r="238" spans="1:22" s="961" customFormat="1" ht="11.25" hidden="1">
      <c r="A238" s="1092"/>
      <c r="B238" s="1093"/>
      <c r="C238" s="1131"/>
      <c r="D238" s="1154"/>
      <c r="E238" s="1145"/>
      <c r="F238" s="1093"/>
      <c r="G238" s="1093"/>
      <c r="H238" s="1093"/>
      <c r="I238" s="1106"/>
      <c r="J238" s="1097">
        <f>data1!E416</f>
        <v>7151.3099999999995</v>
      </c>
      <c r="K238" s="1098">
        <f>ROUND(I238*J238/10,0)</f>
        <v>0</v>
      </c>
      <c r="L238" s="981">
        <f>ROUND(data1!H416*$I$238/10,2)</f>
        <v>0</v>
      </c>
      <c r="M238" s="981">
        <f>ROUND(data1!I416*$I$238/10,2)</f>
        <v>0</v>
      </c>
      <c r="N238" s="981">
        <f>ROUND(data1!J416*$I$238/10,2)</f>
        <v>0</v>
      </c>
      <c r="O238" s="981">
        <f>ROUND(data1!K416*$I$238/10,2)</f>
        <v>0</v>
      </c>
      <c r="P238" s="981">
        <f>ROUND(data1!L416*$I$238/10,2)</f>
        <v>0</v>
      </c>
      <c r="Q238" s="981">
        <f>ROUND(data1!M416*$I$238/10,2)</f>
        <v>0</v>
      </c>
      <c r="R238" s="981">
        <f>ROUND(data1!N416*$I$238/10,2)</f>
        <v>0</v>
      </c>
      <c r="S238" s="981">
        <f>ROUND(data1!O416*$I$238/10,2)</f>
        <v>0</v>
      </c>
      <c r="T238" s="981">
        <f>ROUND(data1!P416*$I$238/10,2)</f>
        <v>0</v>
      </c>
      <c r="U238" s="981">
        <f>SUM(L238:T238)</f>
        <v>0</v>
      </c>
      <c r="V238" s="981"/>
    </row>
    <row r="239" spans="1:22" s="961" customFormat="1" ht="91.5" customHeight="1">
      <c r="A239" s="1092">
        <v>11</v>
      </c>
      <c r="B239" s="1289" t="s">
        <v>1179</v>
      </c>
      <c r="C239" s="1291"/>
      <c r="D239" s="1291"/>
      <c r="E239" s="1291"/>
      <c r="F239" s="1291"/>
      <c r="G239" s="1291"/>
      <c r="H239" s="1291"/>
      <c r="I239" s="1107"/>
      <c r="J239" s="1094"/>
      <c r="K239" s="1098"/>
    </row>
    <row r="240" spans="1:22" s="961" customFormat="1" ht="12" customHeight="1">
      <c r="A240" s="1092"/>
      <c r="B240" s="1308" t="s">
        <v>1180</v>
      </c>
      <c r="C240" s="1308"/>
      <c r="D240" s="1308"/>
      <c r="E240" s="1308"/>
      <c r="F240" s="1308"/>
      <c r="G240" s="1124"/>
      <c r="H240" s="1124"/>
      <c r="I240" s="1107"/>
      <c r="J240" s="1094"/>
      <c r="K240" s="1098"/>
    </row>
    <row r="241" spans="1:21" s="974" customFormat="1">
      <c r="A241" s="1099"/>
      <c r="B241" s="1188" t="s">
        <v>1994</v>
      </c>
      <c r="C241" s="1189">
        <v>1</v>
      </c>
      <c r="D241" s="1190" t="s">
        <v>388</v>
      </c>
      <c r="E241" s="1191">
        <v>1</v>
      </c>
      <c r="F241" s="1192">
        <v>24</v>
      </c>
      <c r="G241" s="1192">
        <v>0</v>
      </c>
      <c r="H241" s="1192">
        <v>2.7</v>
      </c>
      <c r="I241" s="1193">
        <f t="shared" ref="I241:I247" si="23">ROUND(IF(AND(F241:H241),C241*E241*F241*G241*H241,IF(AND(F241,G241),C241*E241*F241*G241,IF(AND(F241,H241),C241*E241*F241*H241,IF(AND(G241,H241),C241*E241*G241*H241,IF(F241,C241*E241*F241,IF(G241,C241*E241*G241,IF(H241,C241*E241*H241,C241*E241))))))),2)</f>
        <v>64.8</v>
      </c>
      <c r="J241" s="1121"/>
      <c r="K241" s="1103"/>
    </row>
    <row r="242" spans="1:21" s="974" customFormat="1">
      <c r="A242" s="1099"/>
      <c r="B242" s="1188" t="s">
        <v>1620</v>
      </c>
      <c r="C242" s="1189">
        <v>1</v>
      </c>
      <c r="D242" s="1190" t="s">
        <v>388</v>
      </c>
      <c r="E242" s="1191">
        <v>1</v>
      </c>
      <c r="F242" s="1192">
        <f>3.335*2</f>
        <v>6.67</v>
      </c>
      <c r="G242" s="1192">
        <v>0</v>
      </c>
      <c r="H242" s="1192">
        <v>3</v>
      </c>
      <c r="I242" s="1193">
        <f t="shared" si="23"/>
        <v>20.010000000000002</v>
      </c>
      <c r="J242" s="1121"/>
      <c r="K242" s="1103"/>
    </row>
    <row r="243" spans="1:21" s="974" customFormat="1">
      <c r="A243" s="1099"/>
      <c r="B243" s="1188" t="s">
        <v>864</v>
      </c>
      <c r="C243" s="1189">
        <v>1</v>
      </c>
      <c r="D243" s="1190" t="s">
        <v>388</v>
      </c>
      <c r="E243" s="1191">
        <v>1</v>
      </c>
      <c r="F243" s="1192">
        <v>14.64</v>
      </c>
      <c r="G243" s="1192">
        <v>0</v>
      </c>
      <c r="H243" s="1192">
        <v>2.7</v>
      </c>
      <c r="I243" s="1193">
        <f t="shared" si="23"/>
        <v>39.53</v>
      </c>
      <c r="J243" s="1121"/>
      <c r="K243" s="1103"/>
    </row>
    <row r="244" spans="1:21" s="974" customFormat="1">
      <c r="A244" s="1099"/>
      <c r="B244" s="1188" t="s">
        <v>1270</v>
      </c>
      <c r="C244" s="1189">
        <v>1</v>
      </c>
      <c r="D244" s="1190" t="s">
        <v>388</v>
      </c>
      <c r="E244" s="1191">
        <v>1</v>
      </c>
      <c r="F244" s="1192">
        <v>10.98</v>
      </c>
      <c r="G244" s="1192">
        <v>0</v>
      </c>
      <c r="H244" s="1192">
        <v>2.7</v>
      </c>
      <c r="I244" s="1193">
        <f t="shared" si="23"/>
        <v>29.65</v>
      </c>
      <c r="J244" s="1121"/>
      <c r="K244" s="1103"/>
    </row>
    <row r="245" spans="1:21" s="974" customFormat="1">
      <c r="A245" s="1099"/>
      <c r="B245" s="1188" t="s">
        <v>1995</v>
      </c>
      <c r="C245" s="1189">
        <v>1</v>
      </c>
      <c r="D245" s="1190" t="s">
        <v>388</v>
      </c>
      <c r="E245" s="1191">
        <v>1</v>
      </c>
      <c r="F245" s="1192">
        <v>22.33</v>
      </c>
      <c r="G245" s="1192">
        <v>0</v>
      </c>
      <c r="H245" s="1192">
        <v>2.7</v>
      </c>
      <c r="I245" s="1193">
        <f t="shared" si="23"/>
        <v>60.29</v>
      </c>
      <c r="J245" s="1121"/>
      <c r="K245" s="1103"/>
    </row>
    <row r="246" spans="1:21" s="974" customFormat="1">
      <c r="A246" s="1099"/>
      <c r="B246" s="1188" t="s">
        <v>1996</v>
      </c>
      <c r="C246" s="1189">
        <v>1</v>
      </c>
      <c r="D246" s="1190" t="s">
        <v>388</v>
      </c>
      <c r="E246" s="1191">
        <v>2</v>
      </c>
      <c r="F246" s="1192">
        <v>12.6</v>
      </c>
      <c r="G246" s="1192">
        <v>0</v>
      </c>
      <c r="H246" s="1192">
        <v>3</v>
      </c>
      <c r="I246" s="1193">
        <f t="shared" si="23"/>
        <v>75.599999999999994</v>
      </c>
      <c r="J246" s="1121"/>
      <c r="K246" s="1103"/>
    </row>
    <row r="247" spans="1:21" s="974" customFormat="1">
      <c r="A247" s="1099"/>
      <c r="B247" s="1188" t="s">
        <v>628</v>
      </c>
      <c r="C247" s="1189">
        <v>1</v>
      </c>
      <c r="D247" s="1190" t="s">
        <v>388</v>
      </c>
      <c r="E247" s="1191">
        <v>1</v>
      </c>
      <c r="F247" s="1192">
        <v>25.71</v>
      </c>
      <c r="G247" s="1192">
        <v>0</v>
      </c>
      <c r="H247" s="1192">
        <v>2.7</v>
      </c>
      <c r="I247" s="1193">
        <f t="shared" si="23"/>
        <v>69.42</v>
      </c>
      <c r="J247" s="1121"/>
      <c r="K247" s="1103"/>
    </row>
    <row r="248" spans="1:21" s="974" customFormat="1">
      <c r="A248" s="1099"/>
      <c r="B248" s="1188" t="s">
        <v>1997</v>
      </c>
      <c r="C248" s="1189">
        <v>1</v>
      </c>
      <c r="D248" s="1190" t="s">
        <v>388</v>
      </c>
      <c r="E248" s="1191">
        <v>5</v>
      </c>
      <c r="F248" s="1192">
        <v>1.2</v>
      </c>
      <c r="G248" s="1192">
        <v>0</v>
      </c>
      <c r="H248" s="1192">
        <v>2.1</v>
      </c>
      <c r="I248" s="1193">
        <f>-ROUND(IF(AND(F248:H248),C248*E248*F248*G248*H248,IF(AND(F248,G248),C248*E248*F248*G248,IF(AND(F248,H248),C248*E248*F248*H248,IF(AND(G248,H248),C248*E248*G248*H248,IF(F248,C248*E248*F248,IF(G248,C248*E248*G248,IF(H248,C248*E248*H248,C248*E248))))))),2)</f>
        <v>-12.6</v>
      </c>
      <c r="J248" s="1121"/>
      <c r="K248" s="1103"/>
    </row>
    <row r="249" spans="1:21" s="974" customFormat="1">
      <c r="A249" s="1099"/>
      <c r="B249" s="1188" t="s">
        <v>1997</v>
      </c>
      <c r="C249" s="1189">
        <v>1</v>
      </c>
      <c r="D249" s="1190" t="s">
        <v>388</v>
      </c>
      <c r="E249" s="1191">
        <v>2</v>
      </c>
      <c r="F249" s="1192">
        <v>0.9</v>
      </c>
      <c r="G249" s="1192">
        <v>0</v>
      </c>
      <c r="H249" s="1192">
        <v>2.1</v>
      </c>
      <c r="I249" s="1193">
        <f>-ROUND(IF(AND(F249:H249),C249*E249*F249*G249*H249,IF(AND(F249,G249),C249*E249*F249*G249,IF(AND(F249,H249),C249*E249*F249*H249,IF(AND(G249,H249),C249*E249*G249*H249,IF(F249,C249*E249*F249,IF(G249,C249*E249*G249,IF(H249,C249*E249*H249,C249*E249))))))),2)</f>
        <v>-3.78</v>
      </c>
      <c r="J249" s="1121"/>
      <c r="K249" s="1103"/>
    </row>
    <row r="250" spans="1:21" s="961" customFormat="1">
      <c r="A250" s="1092"/>
      <c r="B250" s="1188" t="s">
        <v>1997</v>
      </c>
      <c r="C250" s="1189">
        <v>1</v>
      </c>
      <c r="D250" s="1190" t="s">
        <v>388</v>
      </c>
      <c r="E250" s="1191">
        <v>3</v>
      </c>
      <c r="F250" s="1192">
        <v>0.75</v>
      </c>
      <c r="G250" s="1192">
        <v>0</v>
      </c>
      <c r="H250" s="1192">
        <v>2.1</v>
      </c>
      <c r="I250" s="1193">
        <f>-ROUND(IF(AND(F250:H250),C250*E250*F250*G250*H250,IF(AND(F250,G250),C250*E250*F250*G250,IF(AND(F250,H250),C250*E250*F250*H250,IF(AND(G250,H250),C250*E250*G250*H250,IF(F250,C250*E250*F250,IF(G250,C250*E250*G250,IF(H250,C250*E250*H250,C250*E250))))))),2)</f>
        <v>-4.7300000000000004</v>
      </c>
      <c r="J250" s="1094"/>
      <c r="K250" s="1098"/>
    </row>
    <row r="251" spans="1:21" s="974" customFormat="1">
      <c r="A251" s="1099"/>
      <c r="B251" s="1188" t="s">
        <v>1998</v>
      </c>
      <c r="C251" s="1189">
        <v>1</v>
      </c>
      <c r="D251" s="1190" t="s">
        <v>388</v>
      </c>
      <c r="E251" s="1191">
        <v>9</v>
      </c>
      <c r="F251" s="1192">
        <v>0.9</v>
      </c>
      <c r="G251" s="1192">
        <v>0</v>
      </c>
      <c r="H251" s="1192">
        <v>1.35</v>
      </c>
      <c r="I251" s="1193">
        <f>-ROUND(IF(AND(F251:H251),C251*E251*F251*G251*H251,IF(AND(F251,G251),C251*E251*F251*G251,IF(AND(F251,H251),C251*E251*F251*H251,IF(AND(G251,H251),C251*E251*G251*H251,IF(F251,C251*E251*F251,IF(G251,C251*E251*G251,IF(H251,C251*E251*H251,C251*E251))))))),2)</f>
        <v>-10.94</v>
      </c>
      <c r="J251" s="1121"/>
      <c r="K251" s="1103"/>
    </row>
    <row r="252" spans="1:21" s="961" customFormat="1">
      <c r="A252" s="1092"/>
      <c r="B252" s="1188" t="s">
        <v>1999</v>
      </c>
      <c r="C252" s="1189">
        <v>1</v>
      </c>
      <c r="D252" s="1190" t="s">
        <v>388</v>
      </c>
      <c r="E252" s="1191">
        <v>15</v>
      </c>
      <c r="F252" s="1192">
        <v>0.6</v>
      </c>
      <c r="G252" s="1192">
        <v>0</v>
      </c>
      <c r="H252" s="1192">
        <v>0.3</v>
      </c>
      <c r="I252" s="1193">
        <f>-ROUND(IF(AND(F252:H252),C252*E252*F252*G252*H252,IF(AND(F252,G252),C252*E252*F252*G252,IF(AND(F252,H252),C252*E252*F252*H252,IF(AND(G252,H252),C252*E252*G252*H252,IF(F252,C252*E252*F252,IF(G252,C252*E252*G252,IF(H252,C252*E252*H252,C252*E252))))))),2)</f>
        <v>-2.7</v>
      </c>
      <c r="J252" s="1094"/>
      <c r="K252" s="1098"/>
    </row>
    <row r="253" spans="1:21" s="961" customFormat="1" ht="11.25">
      <c r="A253" s="1092"/>
      <c r="B253" s="1093"/>
      <c r="C253" s="1131"/>
      <c r="D253" s="1154"/>
      <c r="E253" s="1145"/>
      <c r="F253" s="1093"/>
      <c r="G253" s="1093"/>
      <c r="H253" s="1093"/>
      <c r="I253" s="1106">
        <f>SUM(I241:I252)</f>
        <v>324.55</v>
      </c>
      <c r="J253" s="1097">
        <f>data1!E442</f>
        <v>242.51</v>
      </c>
      <c r="K253" s="1098">
        <f>ROUND((J253*I253)/1,0)</f>
        <v>78707</v>
      </c>
      <c r="L253" s="981">
        <f>ROUND(data1!H442*$I$253,2)</f>
        <v>0</v>
      </c>
      <c r="M253" s="981">
        <f>ROUND(data1!I442*$I$253,2)</f>
        <v>7104.4</v>
      </c>
      <c r="N253" s="981">
        <f>ROUND(data1!J442*$I$253,2)</f>
        <v>0</v>
      </c>
      <c r="O253" s="981">
        <f>ROUND(data1!K442*$I$253,2)</f>
        <v>7542.54</v>
      </c>
      <c r="P253" s="981">
        <f>ROUND(data1!L442*$I$253,2)</f>
        <v>0</v>
      </c>
      <c r="Q253" s="981">
        <f>ROUND(data1!M442*$I$253,2)</f>
        <v>0</v>
      </c>
      <c r="R253" s="981">
        <f>ROUND(data1!N442*$I$253,2)</f>
        <v>0</v>
      </c>
      <c r="S253" s="981">
        <f>ROUND(data1!O442*$I$253,2)</f>
        <v>0</v>
      </c>
      <c r="T253" s="981">
        <f>ROUND(data1!P442*$I$253,2)</f>
        <v>64059.68</v>
      </c>
      <c r="U253" s="981">
        <f>ROUND(data1!Q442*$I$253,2)</f>
        <v>78706.62</v>
      </c>
    </row>
    <row r="254" spans="1:21" s="961" customFormat="1" ht="11.25">
      <c r="A254" s="1092"/>
      <c r="B254" s="1093"/>
      <c r="C254" s="1131"/>
      <c r="D254" s="1154"/>
      <c r="E254" s="1145"/>
      <c r="F254" s="1093"/>
      <c r="G254" s="1093"/>
      <c r="H254" s="1093"/>
      <c r="I254" s="1107" t="s">
        <v>114</v>
      </c>
      <c r="J254" s="1094"/>
      <c r="K254" s="1098"/>
    </row>
    <row r="255" spans="1:21" s="961" customFormat="1" ht="102" customHeight="1">
      <c r="A255" s="1092">
        <v>12</v>
      </c>
      <c r="B255" s="1289" t="s">
        <v>1261</v>
      </c>
      <c r="C255" s="1289"/>
      <c r="D255" s="1289"/>
      <c r="E255" s="1289"/>
      <c r="F255" s="1289"/>
      <c r="G255" s="1289"/>
      <c r="H255" s="1289"/>
      <c r="I255" s="1107"/>
      <c r="J255" s="1094"/>
      <c r="K255" s="1098"/>
      <c r="L255" s="969"/>
      <c r="M255" s="969"/>
    </row>
    <row r="256" spans="1:21" s="961" customFormat="1" ht="11.25">
      <c r="A256" s="1092"/>
      <c r="B256" s="1119" t="s">
        <v>1262</v>
      </c>
      <c r="C256" s="1131"/>
      <c r="D256" s="1154"/>
      <c r="E256" s="1145"/>
      <c r="F256" s="1093"/>
      <c r="G256" s="1093"/>
      <c r="H256" s="1093"/>
      <c r="I256" s="1107"/>
      <c r="J256" s="1094"/>
      <c r="K256" s="1098"/>
    </row>
    <row r="257" spans="1:21" s="961" customFormat="1">
      <c r="A257" s="1092"/>
      <c r="B257" s="1188" t="s">
        <v>2000</v>
      </c>
      <c r="C257" s="1189">
        <v>1</v>
      </c>
      <c r="D257" s="1190" t="s">
        <v>388</v>
      </c>
      <c r="E257" s="1191">
        <v>1</v>
      </c>
      <c r="F257" s="1192">
        <v>48.5</v>
      </c>
      <c r="G257" s="1192">
        <v>0</v>
      </c>
      <c r="H257" s="1192">
        <v>3.6</v>
      </c>
      <c r="I257" s="1193">
        <f t="shared" ref="I257:I261" si="24">ROUND(IF(AND(F257:H257),C257*E257*F257*G257*H257,IF(AND(F257,G257),C257*E257*F257*G257,IF(AND(F257,H257),C257*E257*F257*H257,IF(AND(G257,H257),C257*E257*G257*H257,IF(F257,C257*E257*F257,IF(G257,C257*E257*G257,IF(H257,C257*E257*H257,C257*E257))))))),2)</f>
        <v>174.6</v>
      </c>
      <c r="J257" s="1094"/>
      <c r="K257" s="1098"/>
    </row>
    <row r="258" spans="1:21" s="961" customFormat="1">
      <c r="A258" s="1092"/>
      <c r="B258" s="1188" t="s">
        <v>2001</v>
      </c>
      <c r="C258" s="1189">
        <v>1</v>
      </c>
      <c r="D258" s="1190" t="s">
        <v>388</v>
      </c>
      <c r="E258" s="1191">
        <v>3</v>
      </c>
      <c r="F258" s="1192">
        <v>2.1</v>
      </c>
      <c r="G258" s="1192">
        <v>0</v>
      </c>
      <c r="H258" s="1192">
        <v>1.35</v>
      </c>
      <c r="I258" s="1193">
        <f t="shared" si="24"/>
        <v>8.51</v>
      </c>
      <c r="J258" s="1094"/>
      <c r="K258" s="1098"/>
    </row>
    <row r="259" spans="1:21" s="961" customFormat="1">
      <c r="A259" s="1092"/>
      <c r="B259" s="1188" t="s">
        <v>2002</v>
      </c>
      <c r="C259" s="1189">
        <v>3</v>
      </c>
      <c r="D259" s="1190" t="s">
        <v>388</v>
      </c>
      <c r="E259" s="1191">
        <v>2</v>
      </c>
      <c r="F259" s="1192">
        <v>0.9</v>
      </c>
      <c r="G259" s="1192">
        <v>0</v>
      </c>
      <c r="H259" s="1192">
        <v>0.15</v>
      </c>
      <c r="I259" s="1193">
        <f t="shared" si="24"/>
        <v>0.81</v>
      </c>
      <c r="J259" s="1094"/>
      <c r="K259" s="1098"/>
    </row>
    <row r="260" spans="1:21" s="961" customFormat="1">
      <c r="A260" s="1092"/>
      <c r="B260" s="1188" t="s">
        <v>2003</v>
      </c>
      <c r="C260" s="1189">
        <v>3</v>
      </c>
      <c r="D260" s="1190" t="s">
        <v>388</v>
      </c>
      <c r="E260" s="1191">
        <v>2</v>
      </c>
      <c r="F260" s="1192">
        <v>0.6</v>
      </c>
      <c r="G260" s="1192">
        <v>0</v>
      </c>
      <c r="H260" s="1192">
        <v>0.15</v>
      </c>
      <c r="I260" s="1193">
        <f t="shared" si="24"/>
        <v>0.54</v>
      </c>
      <c r="J260" s="1094"/>
      <c r="K260" s="1098"/>
    </row>
    <row r="261" spans="1:21" s="961" customFormat="1">
      <c r="A261" s="1092"/>
      <c r="B261" s="1188" t="s">
        <v>2004</v>
      </c>
      <c r="C261" s="1189">
        <v>3</v>
      </c>
      <c r="D261" s="1190" t="s">
        <v>388</v>
      </c>
      <c r="E261" s="1191">
        <v>2</v>
      </c>
      <c r="F261" s="1192">
        <v>0.3</v>
      </c>
      <c r="G261" s="1192">
        <v>0</v>
      </c>
      <c r="H261" s="1192">
        <v>0.15</v>
      </c>
      <c r="I261" s="1193">
        <f t="shared" si="24"/>
        <v>0.27</v>
      </c>
      <c r="J261" s="1094"/>
      <c r="K261" s="1098"/>
    </row>
    <row r="262" spans="1:21" s="961" customFormat="1" ht="11.25">
      <c r="A262" s="1092"/>
      <c r="B262" s="1093"/>
      <c r="C262" s="1131"/>
      <c r="D262" s="1154"/>
      <c r="E262" s="1145"/>
      <c r="F262" s="1093"/>
      <c r="G262" s="1093"/>
      <c r="H262" s="1093"/>
      <c r="I262" s="1106">
        <f>SUM(I255:I261)</f>
        <v>184.73</v>
      </c>
      <c r="J262" s="1097">
        <f>data1!E469</f>
        <v>256.19</v>
      </c>
      <c r="K262" s="1098">
        <f>ROUND((J262*I262),0)</f>
        <v>47326</v>
      </c>
      <c r="L262" s="981">
        <f>ROUND(data1!H469*$I$262,2)</f>
        <v>0</v>
      </c>
      <c r="M262" s="981">
        <f>ROUND(data1!I469*$I$262,2)</f>
        <v>4568.37</v>
      </c>
      <c r="N262" s="981">
        <f>ROUND(data1!J469*$I$262,2)</f>
        <v>0</v>
      </c>
      <c r="O262" s="981">
        <f>ROUND(data1!K469*$I$262,2)</f>
        <v>6297.45</v>
      </c>
      <c r="P262" s="981">
        <f>ROUND(data1!L469*$I$262,2)</f>
        <v>0</v>
      </c>
      <c r="Q262" s="981">
        <f>ROUND(data1!M469*$I$262,2)</f>
        <v>0</v>
      </c>
      <c r="R262" s="981">
        <f>ROUND(data1!N469*$I$262,2)</f>
        <v>0</v>
      </c>
      <c r="S262" s="981">
        <f>ROUND(data1!O469*$I$262,2)</f>
        <v>0</v>
      </c>
      <c r="T262" s="981">
        <f>ROUND(data1!P469*$I$262,2)</f>
        <v>36462.01</v>
      </c>
      <c r="U262" s="981">
        <f>SUM(L262:T262)</f>
        <v>47327.83</v>
      </c>
    </row>
    <row r="263" spans="1:21" s="961" customFormat="1" ht="11.25">
      <c r="A263" s="1092"/>
      <c r="B263" s="1093"/>
      <c r="C263" s="1131"/>
      <c r="D263" s="1154"/>
      <c r="E263" s="1145"/>
      <c r="F263" s="1093"/>
      <c r="G263" s="1093"/>
      <c r="H263" s="1093"/>
      <c r="I263" s="1107" t="s">
        <v>114</v>
      </c>
      <c r="J263" s="1094"/>
      <c r="K263" s="1098"/>
    </row>
    <row r="264" spans="1:21" s="961" customFormat="1" ht="88.5" customHeight="1">
      <c r="A264" s="1092">
        <v>13</v>
      </c>
      <c r="B264" s="1289" t="s">
        <v>1313</v>
      </c>
      <c r="C264" s="1289"/>
      <c r="D264" s="1289"/>
      <c r="E264" s="1289"/>
      <c r="F264" s="1289"/>
      <c r="G264" s="1289"/>
      <c r="H264" s="1289"/>
      <c r="I264" s="1107"/>
      <c r="J264" s="1094"/>
      <c r="K264" s="1098"/>
    </row>
    <row r="265" spans="1:21" s="961" customFormat="1" ht="11.25" customHeight="1">
      <c r="A265" s="1092"/>
      <c r="B265" s="1117" t="s">
        <v>1226</v>
      </c>
      <c r="C265" s="1138"/>
      <c r="D265" s="1159"/>
      <c r="E265" s="1150"/>
      <c r="F265" s="1124"/>
      <c r="G265" s="1124"/>
      <c r="H265" s="1124"/>
      <c r="I265" s="1107"/>
      <c r="J265" s="1094"/>
      <c r="K265" s="1098"/>
    </row>
    <row r="266" spans="1:21" s="961" customFormat="1" ht="11.25" customHeight="1">
      <c r="A266" s="1092"/>
      <c r="B266" s="1194" t="s">
        <v>1958</v>
      </c>
      <c r="C266" s="1195">
        <v>1</v>
      </c>
      <c r="D266" s="1196" t="s">
        <v>388</v>
      </c>
      <c r="E266" s="1197">
        <v>1</v>
      </c>
      <c r="F266" s="1198">
        <f>8.57-0.23</f>
        <v>8.34</v>
      </c>
      <c r="G266" s="1198">
        <v>3.66</v>
      </c>
      <c r="H266" s="1199">
        <v>0</v>
      </c>
      <c r="I266" s="1193">
        <f t="shared" ref="I266:I286" si="25">ROUND(IF(AND(F266:H266),C266*E266*F266*G266*H266,IF(AND(F266,G266),C266*E266*F266*G266,IF(AND(F266,H266),C266*E266*F266*H266,IF(AND(G266,H266),C266*E266*G266*H266,IF(F266,C266*E266*F266,IF(G266,C266*E266*G266,IF(H266,C266*E266*H266,C266*E266))))))),2)</f>
        <v>30.52</v>
      </c>
      <c r="J266" s="1094"/>
      <c r="K266" s="1098"/>
    </row>
    <row r="267" spans="1:21" s="961" customFormat="1">
      <c r="A267" s="1092"/>
      <c r="B267" s="1194" t="s">
        <v>1985</v>
      </c>
      <c r="C267" s="1195">
        <v>1</v>
      </c>
      <c r="D267" s="1196" t="s">
        <v>388</v>
      </c>
      <c r="E267" s="1197">
        <v>2</v>
      </c>
      <c r="F267" s="1198">
        <v>8.34</v>
      </c>
      <c r="G267" s="1198">
        <v>0</v>
      </c>
      <c r="H267" s="1199">
        <v>0.3</v>
      </c>
      <c r="I267" s="1193">
        <f t="shared" si="25"/>
        <v>5</v>
      </c>
      <c r="J267" s="1094"/>
      <c r="K267" s="1098"/>
    </row>
    <row r="268" spans="1:21" s="961" customFormat="1">
      <c r="A268" s="1092"/>
      <c r="B268" s="1194" t="s">
        <v>1986</v>
      </c>
      <c r="C268" s="1195">
        <v>1</v>
      </c>
      <c r="D268" s="1196" t="s">
        <v>388</v>
      </c>
      <c r="E268" s="1197">
        <v>4</v>
      </c>
      <c r="F268" s="1198">
        <v>3.66</v>
      </c>
      <c r="G268" s="1198">
        <v>0</v>
      </c>
      <c r="H268" s="1199">
        <v>0.3</v>
      </c>
      <c r="I268" s="1193">
        <f t="shared" si="25"/>
        <v>4.3899999999999997</v>
      </c>
      <c r="J268" s="1094"/>
      <c r="K268" s="1098"/>
    </row>
    <row r="269" spans="1:21" s="961" customFormat="1">
      <c r="A269" s="1092"/>
      <c r="B269" s="1194" t="s">
        <v>1960</v>
      </c>
      <c r="C269" s="1195">
        <v>1</v>
      </c>
      <c r="D269" s="1196" t="s">
        <v>388</v>
      </c>
      <c r="E269" s="1197">
        <v>1</v>
      </c>
      <c r="F269" s="1198">
        <v>3.05</v>
      </c>
      <c r="G269" s="1198">
        <v>3.66</v>
      </c>
      <c r="H269" s="1199">
        <v>0</v>
      </c>
      <c r="I269" s="1193">
        <f t="shared" si="25"/>
        <v>11.16</v>
      </c>
      <c r="J269" s="1094"/>
      <c r="K269" s="1098"/>
    </row>
    <row r="270" spans="1:21" s="961" customFormat="1">
      <c r="A270" s="1092"/>
      <c r="B270" s="1194" t="s">
        <v>1987</v>
      </c>
      <c r="C270" s="1195">
        <v>1</v>
      </c>
      <c r="D270" s="1196" t="s">
        <v>388</v>
      </c>
      <c r="E270" s="1197">
        <v>2</v>
      </c>
      <c r="F270" s="1198">
        <f>+(3.05+3.66)</f>
        <v>6.71</v>
      </c>
      <c r="G270" s="1198">
        <v>0</v>
      </c>
      <c r="H270" s="1199">
        <v>0.3</v>
      </c>
      <c r="I270" s="1193">
        <f t="shared" si="25"/>
        <v>4.03</v>
      </c>
      <c r="J270" s="1094"/>
      <c r="K270" s="1098"/>
    </row>
    <row r="271" spans="1:21" s="961" customFormat="1">
      <c r="A271" s="1092"/>
      <c r="B271" s="1194" t="s">
        <v>1270</v>
      </c>
      <c r="C271" s="1195">
        <v>1</v>
      </c>
      <c r="D271" s="1196" t="s">
        <v>388</v>
      </c>
      <c r="E271" s="1197">
        <v>1</v>
      </c>
      <c r="F271" s="1198">
        <v>1.5</v>
      </c>
      <c r="G271" s="1198">
        <v>3.66</v>
      </c>
      <c r="H271" s="1199">
        <v>0</v>
      </c>
      <c r="I271" s="1193">
        <f t="shared" si="25"/>
        <v>5.49</v>
      </c>
      <c r="J271" s="1094"/>
      <c r="K271" s="1098"/>
    </row>
    <row r="272" spans="1:21" s="961" customFormat="1">
      <c r="A272" s="1092"/>
      <c r="B272" s="1194" t="s">
        <v>1987</v>
      </c>
      <c r="C272" s="1195">
        <v>1</v>
      </c>
      <c r="D272" s="1196" t="s">
        <v>388</v>
      </c>
      <c r="E272" s="1197">
        <v>2</v>
      </c>
      <c r="F272" s="1198">
        <f>3.66+1.55</f>
        <v>5.21</v>
      </c>
      <c r="G272" s="1198">
        <v>0</v>
      </c>
      <c r="H272" s="1199">
        <v>0.3</v>
      </c>
      <c r="I272" s="1193">
        <f t="shared" si="25"/>
        <v>3.13</v>
      </c>
      <c r="J272" s="1094"/>
      <c r="K272" s="1098"/>
    </row>
    <row r="273" spans="1:21" s="961" customFormat="1">
      <c r="A273" s="1092"/>
      <c r="B273" s="1194" t="s">
        <v>864</v>
      </c>
      <c r="C273" s="1195">
        <v>1</v>
      </c>
      <c r="D273" s="1196" t="s">
        <v>388</v>
      </c>
      <c r="E273" s="1197">
        <v>1</v>
      </c>
      <c r="F273" s="1198">
        <v>3.66</v>
      </c>
      <c r="G273" s="1198">
        <v>3.66</v>
      </c>
      <c r="H273" s="1199">
        <v>0</v>
      </c>
      <c r="I273" s="1193">
        <f t="shared" si="25"/>
        <v>13.4</v>
      </c>
      <c r="J273" s="1094"/>
      <c r="K273" s="1098"/>
    </row>
    <row r="274" spans="1:21" s="961" customFormat="1">
      <c r="A274" s="1092"/>
      <c r="B274" s="1194" t="s">
        <v>1987</v>
      </c>
      <c r="C274" s="1195">
        <v>1</v>
      </c>
      <c r="D274" s="1196" t="s">
        <v>388</v>
      </c>
      <c r="E274" s="1197">
        <v>2</v>
      </c>
      <c r="F274" s="1198">
        <f>3.66+3.66</f>
        <v>7.32</v>
      </c>
      <c r="G274" s="1198">
        <v>0</v>
      </c>
      <c r="H274" s="1199">
        <v>0.3</v>
      </c>
      <c r="I274" s="1193">
        <f t="shared" si="25"/>
        <v>4.3899999999999997</v>
      </c>
      <c r="J274" s="1094"/>
      <c r="K274" s="1098"/>
    </row>
    <row r="275" spans="1:21" s="961" customFormat="1">
      <c r="A275" s="1092"/>
      <c r="B275" s="1194" t="s">
        <v>628</v>
      </c>
      <c r="C275" s="1195">
        <v>1</v>
      </c>
      <c r="D275" s="1196" t="s">
        <v>388</v>
      </c>
      <c r="E275" s="1197">
        <v>1</v>
      </c>
      <c r="F275" s="1198">
        <v>8.6999999999999993</v>
      </c>
      <c r="G275" s="1198">
        <v>4.1550000000000002</v>
      </c>
      <c r="H275" s="1199">
        <v>0</v>
      </c>
      <c r="I275" s="1193">
        <f t="shared" si="25"/>
        <v>36.15</v>
      </c>
      <c r="J275" s="1094"/>
      <c r="K275" s="1098"/>
    </row>
    <row r="276" spans="1:21" s="961" customFormat="1">
      <c r="A276" s="1092"/>
      <c r="B276" s="1194" t="s">
        <v>1987</v>
      </c>
      <c r="C276" s="1195">
        <v>1</v>
      </c>
      <c r="D276" s="1196" t="s">
        <v>388</v>
      </c>
      <c r="E276" s="1197">
        <v>2</v>
      </c>
      <c r="F276" s="1198">
        <f>8.7+4.16</f>
        <v>12.86</v>
      </c>
      <c r="G276" s="1198">
        <v>0</v>
      </c>
      <c r="H276" s="1199">
        <v>0.3</v>
      </c>
      <c r="I276" s="1193">
        <f t="shared" si="25"/>
        <v>7.72</v>
      </c>
      <c r="J276" s="1094"/>
      <c r="K276" s="1098"/>
    </row>
    <row r="277" spans="1:21" s="961" customFormat="1">
      <c r="A277" s="1092"/>
      <c r="B277" s="1194" t="s">
        <v>1987</v>
      </c>
      <c r="C277" s="1195">
        <v>1</v>
      </c>
      <c r="D277" s="1196" t="s">
        <v>388</v>
      </c>
      <c r="E277" s="1197">
        <v>1</v>
      </c>
      <c r="F277" s="1198">
        <v>1.35</v>
      </c>
      <c r="G277" s="1198">
        <v>1.65</v>
      </c>
      <c r="H277" s="1199">
        <v>0</v>
      </c>
      <c r="I277" s="1193">
        <f t="shared" si="25"/>
        <v>2.23</v>
      </c>
      <c r="J277" s="1094"/>
      <c r="K277" s="1098"/>
    </row>
    <row r="278" spans="1:21" s="961" customFormat="1">
      <c r="A278" s="1092"/>
      <c r="B278" s="1194" t="s">
        <v>1504</v>
      </c>
      <c r="C278" s="1195">
        <v>1</v>
      </c>
      <c r="D278" s="1196" t="s">
        <v>388</v>
      </c>
      <c r="E278" s="1197">
        <v>1</v>
      </c>
      <c r="F278" s="1198">
        <v>1.35</v>
      </c>
      <c r="G278" s="1198">
        <v>1.95</v>
      </c>
      <c r="H278" s="1199">
        <v>0</v>
      </c>
      <c r="I278" s="1193">
        <f t="shared" si="25"/>
        <v>2.63</v>
      </c>
      <c r="J278" s="1094"/>
      <c r="K278" s="1098"/>
    </row>
    <row r="279" spans="1:21" s="961" customFormat="1">
      <c r="A279" s="1092"/>
      <c r="B279" s="1188" t="s">
        <v>1988</v>
      </c>
      <c r="C279" s="1189">
        <v>2</v>
      </c>
      <c r="D279" s="1190" t="s">
        <v>388</v>
      </c>
      <c r="E279" s="1191">
        <v>3</v>
      </c>
      <c r="F279" s="1192">
        <v>1.35</v>
      </c>
      <c r="G279" s="1192">
        <v>0</v>
      </c>
      <c r="H279" s="1192">
        <v>0.3</v>
      </c>
      <c r="I279" s="1193">
        <f t="shared" si="25"/>
        <v>2.4300000000000002</v>
      </c>
      <c r="J279" s="1094"/>
      <c r="K279" s="1098"/>
    </row>
    <row r="280" spans="1:21" s="961" customFormat="1">
      <c r="A280" s="1092"/>
      <c r="B280" s="1188"/>
      <c r="C280" s="1189"/>
      <c r="D280" s="1190"/>
      <c r="E280" s="1191"/>
      <c r="F280" s="1192"/>
      <c r="G280" s="1192"/>
      <c r="H280" s="1192"/>
      <c r="I280" s="1193"/>
      <c r="J280" s="1094"/>
      <c r="K280" s="1098"/>
    </row>
    <row r="281" spans="1:21" s="961" customFormat="1">
      <c r="A281" s="1092"/>
      <c r="B281" s="1188" t="s">
        <v>1989</v>
      </c>
      <c r="C281" s="1189">
        <v>1</v>
      </c>
      <c r="D281" s="1190" t="s">
        <v>388</v>
      </c>
      <c r="E281" s="1191">
        <v>1</v>
      </c>
      <c r="F281" s="1192">
        <v>13.04</v>
      </c>
      <c r="G281" s="1192">
        <v>1.25</v>
      </c>
      <c r="H281" s="1192">
        <v>0</v>
      </c>
      <c r="I281" s="1193">
        <f t="shared" si="25"/>
        <v>16.3</v>
      </c>
      <c r="J281" s="1094"/>
      <c r="K281" s="1098"/>
    </row>
    <row r="282" spans="1:21" s="961" customFormat="1">
      <c r="A282" s="1092"/>
      <c r="B282" s="1188" t="s">
        <v>1990</v>
      </c>
      <c r="C282" s="1189">
        <v>1</v>
      </c>
      <c r="D282" s="1190" t="s">
        <v>388</v>
      </c>
      <c r="E282" s="1191">
        <v>1</v>
      </c>
      <c r="F282" s="1192">
        <v>1.2</v>
      </c>
      <c r="G282" s="1192">
        <v>1.25</v>
      </c>
      <c r="H282" s="1192">
        <v>0</v>
      </c>
      <c r="I282" s="1193">
        <f t="shared" si="25"/>
        <v>1.5</v>
      </c>
      <c r="J282" s="1094"/>
      <c r="K282" s="1098"/>
    </row>
    <row r="283" spans="1:21" s="961" customFormat="1">
      <c r="A283" s="1092"/>
      <c r="B283" s="1188" t="s">
        <v>1991</v>
      </c>
      <c r="C283" s="1189">
        <v>1</v>
      </c>
      <c r="D283" s="1190" t="s">
        <v>388</v>
      </c>
      <c r="E283" s="1191">
        <v>3</v>
      </c>
      <c r="F283" s="1192">
        <v>1.2</v>
      </c>
      <c r="G283" s="1192">
        <v>1.25</v>
      </c>
      <c r="H283" s="1192">
        <v>0</v>
      </c>
      <c r="I283" s="1193">
        <f t="shared" si="25"/>
        <v>4.5</v>
      </c>
      <c r="J283" s="1094"/>
      <c r="K283" s="1098"/>
    </row>
    <row r="284" spans="1:21" s="961" customFormat="1">
      <c r="A284" s="1092"/>
      <c r="B284" s="1188" t="s">
        <v>1978</v>
      </c>
      <c r="C284" s="1189">
        <v>1</v>
      </c>
      <c r="D284" s="1190" t="s">
        <v>388</v>
      </c>
      <c r="E284" s="1191">
        <v>2</v>
      </c>
      <c r="F284" s="1192">
        <v>1.2</v>
      </c>
      <c r="G284" s="1192">
        <v>1.25</v>
      </c>
      <c r="H284" s="1192">
        <v>0</v>
      </c>
      <c r="I284" s="1193">
        <f t="shared" si="25"/>
        <v>3</v>
      </c>
      <c r="J284" s="1094"/>
      <c r="K284" s="1098"/>
    </row>
    <row r="285" spans="1:21" s="961" customFormat="1">
      <c r="A285" s="1092"/>
      <c r="B285" s="1188" t="s">
        <v>1992</v>
      </c>
      <c r="C285" s="1189">
        <v>1</v>
      </c>
      <c r="D285" s="1190" t="s">
        <v>388</v>
      </c>
      <c r="E285" s="1191">
        <v>2</v>
      </c>
      <c r="F285" s="1192">
        <v>25.5</v>
      </c>
      <c r="G285" s="1192">
        <v>0.3</v>
      </c>
      <c r="H285" s="1192">
        <v>0</v>
      </c>
      <c r="I285" s="1193">
        <f t="shared" si="25"/>
        <v>15.3</v>
      </c>
      <c r="J285" s="1094"/>
      <c r="K285" s="1098"/>
    </row>
    <row r="286" spans="1:21" s="961" customFormat="1">
      <c r="A286" s="1092"/>
      <c r="B286" s="1188" t="s">
        <v>1993</v>
      </c>
      <c r="C286" s="1189">
        <v>1</v>
      </c>
      <c r="D286" s="1190" t="s">
        <v>388</v>
      </c>
      <c r="E286" s="1191">
        <v>1</v>
      </c>
      <c r="F286" s="1192">
        <v>25.5</v>
      </c>
      <c r="G286" s="1192">
        <v>0</v>
      </c>
      <c r="H286" s="1203">
        <v>0.14499999999999999</v>
      </c>
      <c r="I286" s="1193">
        <f t="shared" si="25"/>
        <v>3.7</v>
      </c>
      <c r="J286" s="1094"/>
      <c r="K286" s="1098"/>
    </row>
    <row r="287" spans="1:21" s="961" customFormat="1" ht="11.25">
      <c r="A287" s="1092"/>
      <c r="B287" s="1093"/>
      <c r="C287" s="1131"/>
      <c r="D287" s="1154"/>
      <c r="E287" s="1145"/>
      <c r="F287" s="1093"/>
      <c r="G287" s="1093"/>
      <c r="H287" s="1093"/>
      <c r="I287" s="1106">
        <f>SUM(I266:I286)</f>
        <v>176.97000000000003</v>
      </c>
      <c r="J287" s="1097">
        <f>data1!E728</f>
        <v>263.07</v>
      </c>
      <c r="K287" s="1098">
        <f>ROUND((J287*I287)/1,0)</f>
        <v>46555</v>
      </c>
      <c r="L287" s="981">
        <f>ROUND(data1!H728*$I$287,2)</f>
        <v>0</v>
      </c>
      <c r="M287" s="981">
        <f>ROUND(data1!I728*$I$287,2)</f>
        <v>5478.99</v>
      </c>
      <c r="N287" s="981">
        <f>ROUND(data1!J728*$I$287,2)</f>
        <v>0</v>
      </c>
      <c r="O287" s="981">
        <f>ROUND(data1!K728*$I$287,2)</f>
        <v>4318.07</v>
      </c>
      <c r="P287" s="981">
        <f>ROUND(data1!L728*$I$287,2)</f>
        <v>0</v>
      </c>
      <c r="Q287" s="981">
        <f>ROUND(data1!M728*$I$287,2)</f>
        <v>0</v>
      </c>
      <c r="R287" s="981">
        <f>ROUND(data1!N728*$I$287,2)</f>
        <v>0</v>
      </c>
      <c r="S287" s="981">
        <f>ROUND(data1!O728*$I$287,2)</f>
        <v>0</v>
      </c>
      <c r="T287" s="981">
        <f>ROUND(data1!P728*$I$287,2)</f>
        <v>36758.44</v>
      </c>
      <c r="U287" s="981">
        <f>ROUND(data1!Q728*$I$287,2)</f>
        <v>46555.5</v>
      </c>
    </row>
    <row r="288" spans="1:21" s="961" customFormat="1" ht="11.25">
      <c r="A288" s="1092"/>
      <c r="B288" s="1093"/>
      <c r="C288" s="1131"/>
      <c r="D288" s="1154"/>
      <c r="E288" s="1145"/>
      <c r="F288" s="1093"/>
      <c r="G288" s="1093"/>
      <c r="H288" s="1093"/>
      <c r="I288" s="1107" t="s">
        <v>114</v>
      </c>
      <c r="J288" s="1094"/>
      <c r="K288" s="1098"/>
    </row>
    <row r="289" spans="1:21" s="961" customFormat="1" ht="102.75" customHeight="1">
      <c r="A289" s="1092">
        <v>14</v>
      </c>
      <c r="B289" s="1289" t="s">
        <v>1266</v>
      </c>
      <c r="C289" s="1289"/>
      <c r="D289" s="1289"/>
      <c r="E289" s="1289"/>
      <c r="F289" s="1289"/>
      <c r="G289" s="1289"/>
      <c r="H289" s="1289"/>
      <c r="I289" s="1107"/>
      <c r="J289" s="1094"/>
      <c r="K289" s="1098"/>
    </row>
    <row r="290" spans="1:21" s="961" customFormat="1" ht="11.25" customHeight="1">
      <c r="A290" s="1092"/>
      <c r="B290" s="1114" t="s">
        <v>261</v>
      </c>
      <c r="C290" s="1138"/>
      <c r="D290" s="1159"/>
      <c r="E290" s="1150"/>
      <c r="F290" s="1124"/>
      <c r="G290" s="1124"/>
      <c r="H290" s="1124"/>
      <c r="I290" s="1107"/>
      <c r="J290" s="1094"/>
      <c r="K290" s="1098"/>
    </row>
    <row r="291" spans="1:21" s="961" customFormat="1">
      <c r="A291" s="1092"/>
      <c r="B291" s="1194" t="s">
        <v>1958</v>
      </c>
      <c r="C291" s="1195">
        <v>1</v>
      </c>
      <c r="D291" s="1196" t="s">
        <v>388</v>
      </c>
      <c r="E291" s="1197">
        <v>1</v>
      </c>
      <c r="F291" s="1198">
        <v>8.34</v>
      </c>
      <c r="G291" s="1198">
        <v>3.66</v>
      </c>
      <c r="H291" s="1199">
        <v>0</v>
      </c>
      <c r="I291" s="1180">
        <f t="shared" ref="I291" si="26">ROUND(IF(AND(F291:H291),C291*E291*F291*G291*H291,IF(AND(F291,G291),C291*E291*F291*G291,IF(AND(F291,H291),C291*E291*F291*H291,IF(AND(G291,H291),C291*E291*G291*H291,IF(F291,C291*E291*F291,IF(G291,C291*E291*G291,IF(H291,C291*E291*H291,C291*E291))))))),2)</f>
        <v>30.52</v>
      </c>
      <c r="J291" s="1094"/>
      <c r="K291" s="1098"/>
    </row>
    <row r="292" spans="1:21" s="961" customFormat="1">
      <c r="A292" s="1092"/>
      <c r="B292" s="1194" t="s">
        <v>1959</v>
      </c>
      <c r="C292" s="1195">
        <v>1</v>
      </c>
      <c r="D292" s="1196" t="s">
        <v>388</v>
      </c>
      <c r="E292" s="1197">
        <v>1</v>
      </c>
      <c r="F292" s="1198">
        <v>2.3650000000000002</v>
      </c>
      <c r="G292" s="1198">
        <v>1.43</v>
      </c>
      <c r="H292" s="1199">
        <v>0</v>
      </c>
      <c r="I292" s="1180">
        <f>-ROUND(IF(AND(F292:H292),C292*E292*F292*G292*H292,IF(AND(F292,G292),C292*E292*F292*G292,IF(AND(F292,H292),C292*E292*F292*H292,IF(AND(G292,H292),C292*E292*G292*H292,IF(F292,C292*E292*F292,IF(G292,C292*E292*G292,IF(H292,C292*E292*H292,C292*E292))))))),2)</f>
        <v>-3.38</v>
      </c>
      <c r="J292" s="1094"/>
      <c r="K292" s="1098"/>
    </row>
    <row r="293" spans="1:21" s="961" customFormat="1">
      <c r="A293" s="1092"/>
      <c r="B293" s="1194" t="s">
        <v>1960</v>
      </c>
      <c r="C293" s="1195">
        <v>1</v>
      </c>
      <c r="D293" s="1196" t="s">
        <v>388</v>
      </c>
      <c r="E293" s="1197">
        <v>1</v>
      </c>
      <c r="F293" s="1198">
        <v>3.05</v>
      </c>
      <c r="G293" s="1198">
        <v>3.66</v>
      </c>
      <c r="H293" s="1199">
        <v>0</v>
      </c>
      <c r="I293" s="1180">
        <f t="shared" ref="I293:I298" si="27">ROUND(IF(AND(F293:H293),C293*E293*F293*G293*H293,IF(AND(F293,G293),C293*E293*F293*G293,IF(AND(F293,H293),C293*E293*F293*H293,IF(AND(G293,H293),C293*E293*G293*H293,IF(F293,C293*E293*F293,IF(G293,C293*E293*G293,IF(H293,C293*E293*H293,C293*E293))))))),2)</f>
        <v>11.16</v>
      </c>
      <c r="J293" s="1094"/>
      <c r="K293" s="1098"/>
    </row>
    <row r="294" spans="1:21" s="961" customFormat="1">
      <c r="A294" s="1092"/>
      <c r="B294" s="1194" t="s">
        <v>1961</v>
      </c>
      <c r="C294" s="1195">
        <v>1</v>
      </c>
      <c r="D294" s="1196" t="s">
        <v>388</v>
      </c>
      <c r="E294" s="1197">
        <v>1</v>
      </c>
      <c r="F294" s="1198">
        <v>1.5</v>
      </c>
      <c r="G294" s="1198">
        <v>3.66</v>
      </c>
      <c r="H294" s="1199">
        <v>0</v>
      </c>
      <c r="I294" s="1180">
        <f t="shared" si="27"/>
        <v>5.49</v>
      </c>
      <c r="J294" s="1094"/>
      <c r="K294" s="1098"/>
    </row>
    <row r="295" spans="1:21" s="961" customFormat="1">
      <c r="A295" s="1092"/>
      <c r="B295" s="1194" t="s">
        <v>864</v>
      </c>
      <c r="C295" s="1195">
        <v>1</v>
      </c>
      <c r="D295" s="1196" t="s">
        <v>388</v>
      </c>
      <c r="E295" s="1197">
        <v>1</v>
      </c>
      <c r="F295" s="1198">
        <v>3.66</v>
      </c>
      <c r="G295" s="1198">
        <v>3.66</v>
      </c>
      <c r="H295" s="1199">
        <v>0</v>
      </c>
      <c r="I295" s="1180">
        <f t="shared" si="27"/>
        <v>13.4</v>
      </c>
      <c r="J295" s="1094"/>
      <c r="K295" s="1098"/>
    </row>
    <row r="296" spans="1:21" s="961" customFormat="1">
      <c r="A296" s="1092"/>
      <c r="B296" s="1194" t="s">
        <v>628</v>
      </c>
      <c r="C296" s="1195">
        <v>1</v>
      </c>
      <c r="D296" s="1196" t="s">
        <v>388</v>
      </c>
      <c r="E296" s="1197">
        <v>1</v>
      </c>
      <c r="F296" s="1198">
        <v>8.6999999999999993</v>
      </c>
      <c r="G296" s="1198">
        <v>4.1550000000000002</v>
      </c>
      <c r="H296" s="1199">
        <v>0</v>
      </c>
      <c r="I296" s="1180">
        <f t="shared" si="27"/>
        <v>36.15</v>
      </c>
      <c r="J296" s="1094"/>
      <c r="K296" s="1098"/>
    </row>
    <row r="297" spans="1:21" s="961" customFormat="1">
      <c r="A297" s="1092"/>
      <c r="B297" s="1194" t="s">
        <v>1504</v>
      </c>
      <c r="C297" s="1195">
        <v>1</v>
      </c>
      <c r="D297" s="1196" t="s">
        <v>388</v>
      </c>
      <c r="E297" s="1197">
        <v>1</v>
      </c>
      <c r="F297" s="1198">
        <v>1.35</v>
      </c>
      <c r="G297" s="1198">
        <v>1.65</v>
      </c>
      <c r="H297" s="1199">
        <v>0</v>
      </c>
      <c r="I297" s="1180">
        <f t="shared" si="27"/>
        <v>2.23</v>
      </c>
      <c r="J297" s="1094"/>
      <c r="K297" s="1098"/>
    </row>
    <row r="298" spans="1:21" s="961" customFormat="1">
      <c r="A298" s="1092"/>
      <c r="B298" s="1194" t="s">
        <v>1504</v>
      </c>
      <c r="C298" s="1195">
        <v>1</v>
      </c>
      <c r="D298" s="1196" t="s">
        <v>388</v>
      </c>
      <c r="E298" s="1197">
        <v>1</v>
      </c>
      <c r="F298" s="1198">
        <v>1.35</v>
      </c>
      <c r="G298" s="1198">
        <v>1.95</v>
      </c>
      <c r="H298" s="1199">
        <v>0</v>
      </c>
      <c r="I298" s="1180">
        <f t="shared" si="27"/>
        <v>2.63</v>
      </c>
      <c r="J298" s="1094"/>
      <c r="K298" s="1098"/>
    </row>
    <row r="299" spans="1:21" s="961" customFormat="1" ht="11.25">
      <c r="A299" s="1092"/>
      <c r="B299" s="1093"/>
      <c r="C299" s="1131"/>
      <c r="D299" s="1154"/>
      <c r="E299" s="1145"/>
      <c r="F299" s="1093"/>
      <c r="G299" s="1093"/>
      <c r="H299" s="1093"/>
      <c r="I299" s="1106">
        <f>SUM(I291:I298)</f>
        <v>98.2</v>
      </c>
      <c r="J299" s="1097">
        <f>data1!E497</f>
        <v>979.99</v>
      </c>
      <c r="K299" s="1098">
        <f>ROUND((J299*I299),0)</f>
        <v>96235</v>
      </c>
      <c r="L299" s="961">
        <f>ROUND($I$299*data1!H497,2)</f>
        <v>0</v>
      </c>
      <c r="M299" s="961">
        <f>ROUND($I$299*data1!I497,2)</f>
        <v>2559.09</v>
      </c>
      <c r="N299" s="961">
        <f>ROUND($I$299*data1!J497,2)</f>
        <v>0</v>
      </c>
      <c r="O299" s="961">
        <f>ROUND($I$299*data1!K497,2)</f>
        <v>2129.96</v>
      </c>
      <c r="P299" s="961">
        <f>ROUND($I$299*data1!L497,2)</f>
        <v>0</v>
      </c>
      <c r="Q299" s="961">
        <f>ROUND($I$299*data1!M497,2)</f>
        <v>0</v>
      </c>
      <c r="R299" s="961">
        <f>ROUND($I$299*data1!N497,2)</f>
        <v>0</v>
      </c>
      <c r="S299" s="961">
        <f>ROUND($I$299*data1!O497,2)</f>
        <v>0</v>
      </c>
      <c r="T299" s="961">
        <f>ROUND($I$299*data1!P497,2)</f>
        <v>91545.97</v>
      </c>
      <c r="U299" s="961">
        <f>SUM(L299:T299)</f>
        <v>96235.02</v>
      </c>
    </row>
    <row r="300" spans="1:21" s="961" customFormat="1" ht="11.25">
      <c r="A300" s="1092"/>
      <c r="B300" s="1093"/>
      <c r="C300" s="1131"/>
      <c r="D300" s="1154"/>
      <c r="E300" s="1145"/>
      <c r="F300" s="1093"/>
      <c r="G300" s="1093"/>
      <c r="H300" s="1093"/>
      <c r="I300" s="1106" t="s">
        <v>114</v>
      </c>
      <c r="J300" s="1094" t="s">
        <v>114</v>
      </c>
      <c r="K300" s="1098"/>
    </row>
    <row r="301" spans="1:21" s="961" customFormat="1" ht="92.25" customHeight="1">
      <c r="A301" s="1092">
        <v>15</v>
      </c>
      <c r="B301" s="1289" t="s">
        <v>485</v>
      </c>
      <c r="C301" s="1289"/>
      <c r="D301" s="1289"/>
      <c r="E301" s="1289"/>
      <c r="F301" s="1289"/>
      <c r="G301" s="1289"/>
      <c r="H301" s="1289"/>
      <c r="I301" s="1106"/>
      <c r="J301" s="1094"/>
      <c r="K301" s="1098"/>
    </row>
    <row r="302" spans="1:21" s="961" customFormat="1">
      <c r="A302" s="1092"/>
      <c r="B302" s="1188" t="s">
        <v>1994</v>
      </c>
      <c r="C302" s="1189">
        <v>1</v>
      </c>
      <c r="D302" s="1190" t="s">
        <v>388</v>
      </c>
      <c r="E302" s="1191">
        <v>1</v>
      </c>
      <c r="F302" s="1192">
        <v>24</v>
      </c>
      <c r="G302" s="1192">
        <v>0</v>
      </c>
      <c r="H302" s="1192">
        <v>0.1</v>
      </c>
      <c r="I302" s="1193">
        <f t="shared" ref="I302:I308" si="28">ROUND(IF(AND(F302:H302),C302*E302*F302*G302*H302,IF(AND(F302,G302),C302*E302*F302*G302,IF(AND(F302,H302),C302*E302*F302*H302,IF(AND(G302,H302),C302*E302*G302*H302,IF(F302,C302*E302*F302,IF(G302,C302*E302*G302,IF(H302,C302*E302*H302,C302*E302))))))),2)</f>
        <v>2.4</v>
      </c>
      <c r="J302" s="1094"/>
      <c r="K302" s="1098"/>
    </row>
    <row r="303" spans="1:21" s="961" customFormat="1">
      <c r="A303" s="1092"/>
      <c r="B303" s="1188" t="s">
        <v>1620</v>
      </c>
      <c r="C303" s="1189">
        <v>1</v>
      </c>
      <c r="D303" s="1190" t="s">
        <v>388</v>
      </c>
      <c r="E303" s="1191">
        <v>1</v>
      </c>
      <c r="F303" s="1192">
        <f>3.335*2</f>
        <v>6.67</v>
      </c>
      <c r="G303" s="1192">
        <v>0</v>
      </c>
      <c r="H303" s="1192">
        <v>0.1</v>
      </c>
      <c r="I303" s="1193">
        <f t="shared" si="28"/>
        <v>0.67</v>
      </c>
      <c r="J303" s="1094"/>
      <c r="K303" s="1098"/>
    </row>
    <row r="304" spans="1:21" s="961" customFormat="1">
      <c r="A304" s="1092"/>
      <c r="B304" s="1188" t="s">
        <v>864</v>
      </c>
      <c r="C304" s="1189">
        <v>1</v>
      </c>
      <c r="D304" s="1190" t="s">
        <v>388</v>
      </c>
      <c r="E304" s="1191">
        <v>1</v>
      </c>
      <c r="F304" s="1192">
        <v>14.64</v>
      </c>
      <c r="G304" s="1192">
        <v>0</v>
      </c>
      <c r="H304" s="1192">
        <v>0.1</v>
      </c>
      <c r="I304" s="1193">
        <f t="shared" si="28"/>
        <v>1.46</v>
      </c>
      <c r="J304" s="1094"/>
      <c r="K304" s="1098"/>
    </row>
    <row r="305" spans="1:22" s="961" customFormat="1">
      <c r="A305" s="1092"/>
      <c r="B305" s="1188" t="s">
        <v>1270</v>
      </c>
      <c r="C305" s="1189">
        <v>1</v>
      </c>
      <c r="D305" s="1190" t="s">
        <v>388</v>
      </c>
      <c r="E305" s="1191">
        <v>1</v>
      </c>
      <c r="F305" s="1192">
        <v>10.98</v>
      </c>
      <c r="G305" s="1192">
        <v>0</v>
      </c>
      <c r="H305" s="1192">
        <v>0.1</v>
      </c>
      <c r="I305" s="1193">
        <f t="shared" si="28"/>
        <v>1.1000000000000001</v>
      </c>
      <c r="J305" s="1094"/>
      <c r="K305" s="1098"/>
    </row>
    <row r="306" spans="1:22" s="961" customFormat="1">
      <c r="A306" s="1092"/>
      <c r="B306" s="1188" t="s">
        <v>1995</v>
      </c>
      <c r="C306" s="1189">
        <v>1</v>
      </c>
      <c r="D306" s="1190" t="s">
        <v>388</v>
      </c>
      <c r="E306" s="1191">
        <v>1</v>
      </c>
      <c r="F306" s="1192">
        <v>22.33</v>
      </c>
      <c r="G306" s="1192">
        <v>0</v>
      </c>
      <c r="H306" s="1192">
        <v>0.1</v>
      </c>
      <c r="I306" s="1193">
        <f t="shared" si="28"/>
        <v>2.23</v>
      </c>
      <c r="J306" s="1094"/>
      <c r="K306" s="1098"/>
    </row>
    <row r="307" spans="1:22" s="961" customFormat="1">
      <c r="A307" s="1092"/>
      <c r="B307" s="1188" t="s">
        <v>1996</v>
      </c>
      <c r="C307" s="1189">
        <v>1</v>
      </c>
      <c r="D307" s="1190" t="s">
        <v>388</v>
      </c>
      <c r="E307" s="1191">
        <v>2</v>
      </c>
      <c r="F307" s="1192">
        <v>12.6</v>
      </c>
      <c r="G307" s="1192">
        <v>0</v>
      </c>
      <c r="H307" s="1192">
        <v>0.1</v>
      </c>
      <c r="I307" s="1193">
        <f t="shared" si="28"/>
        <v>2.52</v>
      </c>
      <c r="J307" s="1094"/>
      <c r="K307" s="1098"/>
    </row>
    <row r="308" spans="1:22" s="961" customFormat="1">
      <c r="A308" s="1092"/>
      <c r="B308" s="1188" t="s">
        <v>628</v>
      </c>
      <c r="C308" s="1189">
        <v>1</v>
      </c>
      <c r="D308" s="1190" t="s">
        <v>388</v>
      </c>
      <c r="E308" s="1191">
        <v>1</v>
      </c>
      <c r="F308" s="1192">
        <v>25.71</v>
      </c>
      <c r="G308" s="1192">
        <v>0</v>
      </c>
      <c r="H308" s="1192">
        <v>0.1</v>
      </c>
      <c r="I308" s="1193">
        <f t="shared" si="28"/>
        <v>2.57</v>
      </c>
      <c r="J308" s="1094"/>
      <c r="K308" s="1098"/>
    </row>
    <row r="309" spans="1:22" s="961" customFormat="1">
      <c r="A309" s="1092"/>
      <c r="B309" s="1188" t="s">
        <v>1997</v>
      </c>
      <c r="C309" s="1189">
        <v>1</v>
      </c>
      <c r="D309" s="1190" t="s">
        <v>388</v>
      </c>
      <c r="E309" s="1191">
        <v>5</v>
      </c>
      <c r="F309" s="1192">
        <v>1.2</v>
      </c>
      <c r="G309" s="1192">
        <v>0</v>
      </c>
      <c r="H309" s="1192">
        <v>0.1</v>
      </c>
      <c r="I309" s="1193">
        <f>-ROUND(IF(AND(F309:H309),C309*E309*F309*G309*H309,IF(AND(F309,G309),C309*E309*F309*G309,IF(AND(F309,H309),C309*E309*F309*H309,IF(AND(G309,H309),C309*E309*G309*H309,IF(F309,C309*E309*F309,IF(G309,C309*E309*G309,IF(H309,C309*E309*H309,C309*E309))))))),2)</f>
        <v>-0.6</v>
      </c>
      <c r="J309" s="1094"/>
      <c r="K309" s="1098"/>
    </row>
    <row r="310" spans="1:22" s="961" customFormat="1">
      <c r="A310" s="1092"/>
      <c r="B310" s="1188" t="s">
        <v>1997</v>
      </c>
      <c r="C310" s="1189">
        <v>1</v>
      </c>
      <c r="D310" s="1190" t="s">
        <v>388</v>
      </c>
      <c r="E310" s="1191">
        <v>2</v>
      </c>
      <c r="F310" s="1192">
        <v>0.9</v>
      </c>
      <c r="G310" s="1192">
        <v>0</v>
      </c>
      <c r="H310" s="1192">
        <v>0.1</v>
      </c>
      <c r="I310" s="1193">
        <f>-ROUND(IF(AND(F310:H310),C310*E310*F310*G310*H310,IF(AND(F310,G310),C310*E310*F310*G310,IF(AND(F310,H310),C310*E310*F310*H310,IF(AND(G310,H310),C310*E310*G310*H310,IF(F310,C310*E310*F310,IF(G310,C310*E310*G310,IF(H310,C310*E310*H310,C310*E310))))))),2)</f>
        <v>-0.18</v>
      </c>
      <c r="J310" s="1094"/>
      <c r="K310" s="1098"/>
      <c r="V310" s="961">
        <f>1.25*0.15</f>
        <v>0.1875</v>
      </c>
    </row>
    <row r="311" spans="1:22" s="961" customFormat="1">
      <c r="A311" s="1092"/>
      <c r="B311" s="1188" t="s">
        <v>1997</v>
      </c>
      <c r="C311" s="1189">
        <v>1</v>
      </c>
      <c r="D311" s="1190" t="s">
        <v>388</v>
      </c>
      <c r="E311" s="1191">
        <v>3</v>
      </c>
      <c r="F311" s="1192">
        <v>0.75</v>
      </c>
      <c r="G311" s="1192">
        <v>0</v>
      </c>
      <c r="H311" s="1192">
        <v>0.1</v>
      </c>
      <c r="I311" s="1193">
        <f>-ROUND(IF(AND(F311:H311),C311*E311*F311*G311*H311,IF(AND(F311,G311),C311*E311*F311*G311,IF(AND(F311,H311),C311*E311*F311*H311,IF(AND(G311,H311),C311*E311*G311*H311,IF(F311,C311*E311*F311,IF(G311,C311*E311*G311,IF(H311,C311*E311*H311,C311*E311))))))),2)</f>
        <v>-0.23</v>
      </c>
      <c r="J311" s="1094"/>
      <c r="K311" s="1098"/>
    </row>
    <row r="312" spans="1:22" s="961" customFormat="1" ht="11.25">
      <c r="A312" s="1092"/>
      <c r="B312" s="1093"/>
      <c r="C312" s="1139"/>
      <c r="D312" s="1154"/>
      <c r="E312" s="1145"/>
      <c r="F312" s="1093"/>
      <c r="G312" s="1093"/>
      <c r="H312" s="1093"/>
      <c r="I312" s="1106">
        <f>SUM(I302:I311)</f>
        <v>11.94</v>
      </c>
      <c r="J312" s="1097">
        <f>data1!E522</f>
        <v>985.28</v>
      </c>
      <c r="K312" s="1098">
        <f>ROUND((J312*I312),0)</f>
        <v>11764</v>
      </c>
      <c r="L312" s="961">
        <f>ROUND($I$312*data1!H522,2)</f>
        <v>0</v>
      </c>
      <c r="M312" s="961">
        <f>ROUND($I$312*data1!I522,2)</f>
        <v>411.33</v>
      </c>
      <c r="N312" s="961">
        <f>ROUND($I$312*data1!J522,2)</f>
        <v>0</v>
      </c>
      <c r="O312" s="961">
        <f>ROUND($I$312*data1!K522,2)</f>
        <v>221.96</v>
      </c>
      <c r="P312" s="961">
        <f>ROUND($I$312*data1!L522,2)</f>
        <v>0</v>
      </c>
      <c r="Q312" s="961">
        <f>ROUND($I$312*data1!M522,2)</f>
        <v>0</v>
      </c>
      <c r="R312" s="961">
        <f>ROUND($I$312*data1!N522,2)</f>
        <v>0</v>
      </c>
      <c r="S312" s="961">
        <f>ROUND($I$312*data1!O522,2)</f>
        <v>0</v>
      </c>
      <c r="T312" s="961">
        <f>ROUND($I$312*data1!P522,2)</f>
        <v>11130.95</v>
      </c>
      <c r="U312" s="961">
        <f>SUM(L312:T312)</f>
        <v>11764.240000000002</v>
      </c>
    </row>
    <row r="313" spans="1:22" s="961" customFormat="1" ht="11.25">
      <c r="A313" s="1092"/>
      <c r="B313" s="1093"/>
      <c r="C313" s="1139"/>
      <c r="D313" s="1154"/>
      <c r="E313" s="1145"/>
      <c r="F313" s="1093"/>
      <c r="G313" s="1093"/>
      <c r="H313" s="1093"/>
      <c r="I313" s="1106" t="s">
        <v>114</v>
      </c>
      <c r="J313" s="1094" t="s">
        <v>114</v>
      </c>
      <c r="K313" s="1098"/>
    </row>
    <row r="314" spans="1:22" s="961" customFormat="1" ht="91.5" hidden="1" customHeight="1">
      <c r="A314" s="1092">
        <v>15</v>
      </c>
      <c r="B314" s="1289" t="s">
        <v>1130</v>
      </c>
      <c r="C314" s="1289"/>
      <c r="D314" s="1289"/>
      <c r="E314" s="1289"/>
      <c r="F314" s="1289"/>
      <c r="G314" s="1289"/>
      <c r="H314" s="1289"/>
      <c r="I314" s="1106"/>
      <c r="J314" s="1094"/>
      <c r="K314" s="1098"/>
    </row>
    <row r="315" spans="1:22" s="961" customFormat="1" ht="11.25" hidden="1">
      <c r="A315" s="1092"/>
      <c r="B315" s="1093" t="s">
        <v>1131</v>
      </c>
      <c r="C315" s="1139">
        <v>1</v>
      </c>
      <c r="D315" s="1154"/>
      <c r="E315" s="1145"/>
      <c r="F315" s="1093">
        <f>8.61-0.23</f>
        <v>8.379999999999999</v>
      </c>
      <c r="G315" s="1093">
        <f>3.465-0.23</f>
        <v>3.2349999999999999</v>
      </c>
      <c r="H315" s="1093"/>
      <c r="I315" s="1106">
        <f>ROUND(G315*F315,2)</f>
        <v>27.11</v>
      </c>
      <c r="J315" s="1094"/>
      <c r="K315" s="1098"/>
    </row>
    <row r="316" spans="1:22" s="961" customFormat="1" ht="11.25" hidden="1">
      <c r="A316" s="1092"/>
      <c r="B316" s="1093" t="s">
        <v>1056</v>
      </c>
      <c r="C316" s="1139">
        <v>1</v>
      </c>
      <c r="D316" s="1154"/>
      <c r="E316" s="1145"/>
      <c r="F316" s="1093">
        <v>2.4</v>
      </c>
      <c r="G316" s="1118">
        <v>3</v>
      </c>
      <c r="H316" s="1093"/>
      <c r="I316" s="1106">
        <f>ROUND(G316*F316,2)</f>
        <v>7.2</v>
      </c>
      <c r="J316" s="1094"/>
      <c r="K316" s="1098"/>
    </row>
    <row r="317" spans="1:22" s="961" customFormat="1" ht="11.25" hidden="1">
      <c r="A317" s="1092"/>
      <c r="B317" s="1093" t="s">
        <v>1057</v>
      </c>
      <c r="C317" s="1131"/>
      <c r="D317" s="1154"/>
      <c r="E317" s="1145"/>
      <c r="F317" s="1093"/>
      <c r="G317" s="1093"/>
      <c r="H317" s="1093"/>
      <c r="I317" s="1106">
        <v>0.19</v>
      </c>
      <c r="J317" s="1094"/>
      <c r="K317" s="1098"/>
    </row>
    <row r="318" spans="1:22" s="961" customFormat="1" ht="11.25" hidden="1">
      <c r="A318" s="1092"/>
      <c r="B318" s="1093"/>
      <c r="C318" s="1139"/>
      <c r="D318" s="1154"/>
      <c r="E318" s="1145"/>
      <c r="F318" s="1093"/>
      <c r="G318" s="1093"/>
      <c r="H318" s="1093"/>
      <c r="I318" s="1106"/>
      <c r="J318" s="1097">
        <f>data1!G583</f>
        <v>283.74</v>
      </c>
      <c r="K318" s="1098">
        <f>ROUND((J318*I318),0)</f>
        <v>0</v>
      </c>
      <c r="L318" s="961">
        <f>ROUND($I$318*data1!H583,2)</f>
        <v>0</v>
      </c>
      <c r="M318" s="961">
        <f>ROUND($I$318*data1!I583,2)</f>
        <v>0</v>
      </c>
      <c r="N318" s="961">
        <f>ROUND($I$318*data1!J583,2)</f>
        <v>0</v>
      </c>
      <c r="O318" s="961">
        <f>ROUND($I$318*data1!K583,2)</f>
        <v>0</v>
      </c>
      <c r="P318" s="961">
        <f>ROUND($I$318*data1!L583,2)</f>
        <v>0</v>
      </c>
      <c r="Q318" s="961">
        <f>ROUND($I$318*data1!M583,2)</f>
        <v>0</v>
      </c>
      <c r="R318" s="961">
        <f>ROUND($I$318*data1!N583,2)</f>
        <v>0</v>
      </c>
      <c r="S318" s="961">
        <f>ROUND($I$318*data1!O583,2)</f>
        <v>0</v>
      </c>
      <c r="T318" s="961">
        <f>ROUND($I$318*data1!P583,2)</f>
        <v>0</v>
      </c>
      <c r="U318" s="961">
        <f>ROUND($I$318*data1!Q583,2)</f>
        <v>0</v>
      </c>
    </row>
    <row r="319" spans="1:22" s="961" customFormat="1" ht="11.25" hidden="1">
      <c r="A319" s="1092"/>
      <c r="B319" s="1093"/>
      <c r="C319" s="1139"/>
      <c r="D319" s="1154"/>
      <c r="E319" s="1145"/>
      <c r="F319" s="1093"/>
      <c r="G319" s="1093"/>
      <c r="H319" s="1093"/>
      <c r="I319" s="1106"/>
      <c r="J319" s="1093"/>
      <c r="K319" s="1093"/>
    </row>
    <row r="320" spans="1:22" s="961" customFormat="1" ht="11.25" hidden="1">
      <c r="A320" s="1092"/>
      <c r="B320" s="1093"/>
      <c r="C320" s="1139"/>
      <c r="D320" s="1154"/>
      <c r="E320" s="1145"/>
      <c r="F320" s="1093"/>
      <c r="G320" s="1093"/>
      <c r="H320" s="1093"/>
      <c r="I320" s="1106"/>
      <c r="J320" s="1094"/>
      <c r="K320" s="1098"/>
    </row>
    <row r="321" spans="1:21" s="961" customFormat="1" ht="105" hidden="1" customHeight="1">
      <c r="A321" s="1092">
        <v>16</v>
      </c>
      <c r="B321" s="1290" t="s">
        <v>495</v>
      </c>
      <c r="C321" s="1290"/>
      <c r="D321" s="1290"/>
      <c r="E321" s="1290"/>
      <c r="F321" s="1290"/>
      <c r="G321" s="1290"/>
      <c r="H321" s="1290"/>
      <c r="I321" s="1106"/>
      <c r="J321" s="1094"/>
      <c r="K321" s="1098"/>
    </row>
    <row r="322" spans="1:21" s="961" customFormat="1" ht="11.25" hidden="1">
      <c r="A322" s="1092"/>
      <c r="B322" s="1107" t="s">
        <v>979</v>
      </c>
      <c r="C322" s="1131">
        <v>0</v>
      </c>
      <c r="D322" s="1154"/>
      <c r="E322" s="1145"/>
      <c r="F322" s="1093">
        <v>0</v>
      </c>
      <c r="G322" s="1093">
        <v>1.5</v>
      </c>
      <c r="H322" s="1093"/>
      <c r="I322" s="1106">
        <f>ROUND(G322*F322*C322,2)</f>
        <v>0</v>
      </c>
      <c r="J322" s="1094"/>
      <c r="K322" s="1098"/>
    </row>
    <row r="323" spans="1:21" s="961" customFormat="1" ht="11.25" hidden="1">
      <c r="A323" s="1092"/>
      <c r="B323" s="1093"/>
      <c r="C323" s="1131"/>
      <c r="D323" s="1154"/>
      <c r="E323" s="1145"/>
      <c r="F323" s="1093"/>
      <c r="G323" s="1093"/>
      <c r="H323" s="1093"/>
      <c r="I323" s="1106">
        <f>SUM(I322:I322)</f>
        <v>0</v>
      </c>
      <c r="J323" s="1097">
        <f>data1!E546</f>
        <v>676.26</v>
      </c>
      <c r="K323" s="1098">
        <f>ROUND((J323*I323),0)</f>
        <v>0</v>
      </c>
      <c r="L323" s="961">
        <f>ROUND($I$323*data1!H546,2)</f>
        <v>0</v>
      </c>
      <c r="M323" s="961">
        <f>ROUND($I$323*data1!I546,2)</f>
        <v>0</v>
      </c>
      <c r="N323" s="961">
        <f>ROUND($I$323*data1!J546,2)</f>
        <v>0</v>
      </c>
      <c r="O323" s="961">
        <f>ROUND($I$323*data1!K546,2)</f>
        <v>0</v>
      </c>
      <c r="P323" s="961">
        <f>ROUND($I$323*data1!L546,2)</f>
        <v>0</v>
      </c>
      <c r="Q323" s="961">
        <f>ROUND($I$323*data1!M546,2)</f>
        <v>0</v>
      </c>
      <c r="R323" s="961">
        <f>ROUND($I$323*data1!N546,2)</f>
        <v>0</v>
      </c>
      <c r="S323" s="961">
        <f>ROUND($I$323*data1!O546,2)</f>
        <v>0</v>
      </c>
      <c r="T323" s="961">
        <f>ROUND($I$323*data1!P546,2)</f>
        <v>0</v>
      </c>
      <c r="U323" s="961">
        <f>SUM(L323:T323)</f>
        <v>0</v>
      </c>
    </row>
    <row r="324" spans="1:21" s="961" customFormat="1" ht="11.25" hidden="1">
      <c r="A324" s="1092"/>
      <c r="B324" s="1093"/>
      <c r="C324" s="1131"/>
      <c r="D324" s="1154"/>
      <c r="E324" s="1145"/>
      <c r="F324" s="1093"/>
      <c r="G324" s="1093"/>
      <c r="H324" s="1093"/>
      <c r="I324" s="1106" t="s">
        <v>114</v>
      </c>
      <c r="J324" s="1094" t="s">
        <v>114</v>
      </c>
      <c r="K324" s="1098"/>
    </row>
    <row r="325" spans="1:21" s="961" customFormat="1" ht="93" hidden="1" customHeight="1">
      <c r="A325" s="1092">
        <v>17</v>
      </c>
      <c r="B325" s="1289" t="s">
        <v>499</v>
      </c>
      <c r="C325" s="1289"/>
      <c r="D325" s="1289"/>
      <c r="E325" s="1289"/>
      <c r="F325" s="1289"/>
      <c r="G325" s="1289"/>
      <c r="H325" s="1289"/>
      <c r="I325" s="1106"/>
      <c r="J325" s="1094"/>
      <c r="K325" s="1098"/>
    </row>
    <row r="326" spans="1:21" s="961" customFormat="1" ht="11.25" hidden="1">
      <c r="A326" s="1092"/>
      <c r="B326" s="1107" t="s">
        <v>980</v>
      </c>
      <c r="C326" s="1131">
        <v>0</v>
      </c>
      <c r="D326" s="1154"/>
      <c r="E326" s="1145"/>
      <c r="F326" s="1093">
        <v>0</v>
      </c>
      <c r="G326" s="1093"/>
      <c r="H326" s="1093">
        <v>0</v>
      </c>
      <c r="I326" s="1106">
        <f>ROUND(H326*F326*C326,2)</f>
        <v>0</v>
      </c>
      <c r="J326" s="1094"/>
      <c r="K326" s="1098"/>
    </row>
    <row r="327" spans="1:21" s="961" customFormat="1" ht="11.25" hidden="1">
      <c r="A327" s="1092"/>
      <c r="B327" s="1093" t="s">
        <v>629</v>
      </c>
      <c r="C327" s="1131">
        <v>0</v>
      </c>
      <c r="D327" s="1154"/>
      <c r="E327" s="1145"/>
      <c r="F327" s="1093">
        <v>0</v>
      </c>
      <c r="G327" s="1093"/>
      <c r="H327" s="1093">
        <v>0</v>
      </c>
      <c r="I327" s="1106">
        <f>-ROUND(H327*F327*C327,2)</f>
        <v>0</v>
      </c>
      <c r="J327" s="1094"/>
      <c r="K327" s="1098"/>
    </row>
    <row r="328" spans="1:21" s="961" customFormat="1" ht="11.25" hidden="1">
      <c r="A328" s="1092"/>
      <c r="B328" s="1093"/>
      <c r="C328" s="1131"/>
      <c r="D328" s="1154"/>
      <c r="E328" s="1145"/>
      <c r="F328" s="1093"/>
      <c r="G328" s="1093"/>
      <c r="H328" s="1093"/>
      <c r="I328" s="1106">
        <f>SUM(I326:I327)</f>
        <v>0</v>
      </c>
      <c r="J328" s="1097">
        <f>data1!E568</f>
        <v>485</v>
      </c>
      <c r="K328" s="1098">
        <f>ROUND((J328*I328),0)</f>
        <v>0</v>
      </c>
      <c r="L328" s="961">
        <f>ROUND($I$328*data1!H568,2)</f>
        <v>0</v>
      </c>
      <c r="M328" s="961">
        <f>ROUND($I$328*data1!I568,2)</f>
        <v>0</v>
      </c>
      <c r="N328" s="961">
        <f>ROUND($I$328*data1!J568,2)</f>
        <v>0</v>
      </c>
      <c r="O328" s="961">
        <f>ROUND($I$328*data1!K568,2)</f>
        <v>0</v>
      </c>
      <c r="P328" s="961">
        <f>ROUND($I$328*data1!L568,2)</f>
        <v>0</v>
      </c>
      <c r="Q328" s="961">
        <f>ROUND($I$328*data1!M568,2)</f>
        <v>0</v>
      </c>
      <c r="R328" s="961">
        <f>ROUND($I$328*data1!N568,2)</f>
        <v>0</v>
      </c>
      <c r="S328" s="961">
        <f>ROUND($I$328*data1!O568,2)</f>
        <v>0</v>
      </c>
      <c r="T328" s="961">
        <f>ROUND($I$328*data1!P568,2)</f>
        <v>0</v>
      </c>
      <c r="U328" s="961">
        <f>SUM(L328:T328)</f>
        <v>0</v>
      </c>
    </row>
    <row r="329" spans="1:21" s="961" customFormat="1" ht="11.25" hidden="1">
      <c r="A329" s="1092"/>
      <c r="B329" s="1093"/>
      <c r="C329" s="1131"/>
      <c r="D329" s="1154"/>
      <c r="E329" s="1145"/>
      <c r="F329" s="1093"/>
      <c r="G329" s="1093"/>
      <c r="H329" s="1093"/>
      <c r="I329" s="1106" t="s">
        <v>114</v>
      </c>
      <c r="J329" s="1094" t="s">
        <v>114</v>
      </c>
      <c r="K329" s="1098"/>
    </row>
    <row r="330" spans="1:21" s="961" customFormat="1" ht="91.5" customHeight="1">
      <c r="A330" s="1092">
        <v>16</v>
      </c>
      <c r="B330" s="1289" t="s">
        <v>1332</v>
      </c>
      <c r="C330" s="1289"/>
      <c r="D330" s="1289"/>
      <c r="E330" s="1289"/>
      <c r="F330" s="1289"/>
      <c r="G330" s="1289"/>
      <c r="H330" s="1289"/>
      <c r="I330" s="1106"/>
      <c r="J330" s="1094"/>
      <c r="K330" s="1098"/>
    </row>
    <row r="331" spans="1:21" s="974" customFormat="1">
      <c r="A331" s="1099"/>
      <c r="B331" s="1188" t="s">
        <v>1994</v>
      </c>
      <c r="C331" s="1189">
        <v>1</v>
      </c>
      <c r="D331" s="1190" t="s">
        <v>388</v>
      </c>
      <c r="E331" s="1191">
        <v>1</v>
      </c>
      <c r="F331" s="1192">
        <v>24</v>
      </c>
      <c r="G331" s="1192">
        <v>0</v>
      </c>
      <c r="H331" s="1192">
        <v>2.7</v>
      </c>
      <c r="I331" s="1193">
        <f t="shared" ref="I331:I337" si="29">ROUND(IF(AND(F331:H331),C331*E331*F331*G331*H331,IF(AND(F331,G331),C331*E331*F331*G331,IF(AND(F331,H331),C331*E331*F331*H331,IF(AND(G331,H331),C331*E331*G331*H331,IF(F331,C331*E331*F331,IF(G331,C331*E331*G331,IF(H331,C331*E331*H331,C331*E331))))))),2)</f>
        <v>64.8</v>
      </c>
      <c r="J331" s="1121"/>
      <c r="K331" s="1103"/>
    </row>
    <row r="332" spans="1:21" s="974" customFormat="1">
      <c r="A332" s="1099"/>
      <c r="B332" s="1188" t="s">
        <v>1620</v>
      </c>
      <c r="C332" s="1189">
        <v>1</v>
      </c>
      <c r="D332" s="1190" t="s">
        <v>388</v>
      </c>
      <c r="E332" s="1191">
        <v>1</v>
      </c>
      <c r="F332" s="1192">
        <f>3.335*2</f>
        <v>6.67</v>
      </c>
      <c r="G332" s="1192">
        <v>0</v>
      </c>
      <c r="H332" s="1192">
        <v>3</v>
      </c>
      <c r="I332" s="1193">
        <f t="shared" si="29"/>
        <v>20.010000000000002</v>
      </c>
      <c r="J332" s="1121"/>
      <c r="K332" s="1103"/>
    </row>
    <row r="333" spans="1:21" s="974" customFormat="1">
      <c r="A333" s="1099"/>
      <c r="B333" s="1188" t="s">
        <v>864</v>
      </c>
      <c r="C333" s="1189">
        <v>1</v>
      </c>
      <c r="D333" s="1190" t="s">
        <v>388</v>
      </c>
      <c r="E333" s="1191">
        <v>1</v>
      </c>
      <c r="F333" s="1192">
        <v>14.64</v>
      </c>
      <c r="G333" s="1192">
        <v>0</v>
      </c>
      <c r="H333" s="1192">
        <v>2.7</v>
      </c>
      <c r="I333" s="1193">
        <f t="shared" si="29"/>
        <v>39.53</v>
      </c>
      <c r="J333" s="1121"/>
      <c r="K333" s="1103"/>
    </row>
    <row r="334" spans="1:21" s="974" customFormat="1">
      <c r="A334" s="1099"/>
      <c r="B334" s="1188" t="s">
        <v>1270</v>
      </c>
      <c r="C334" s="1189">
        <v>1</v>
      </c>
      <c r="D334" s="1190" t="s">
        <v>388</v>
      </c>
      <c r="E334" s="1191">
        <v>1</v>
      </c>
      <c r="F334" s="1192">
        <v>10.98</v>
      </c>
      <c r="G334" s="1192">
        <v>0</v>
      </c>
      <c r="H334" s="1192">
        <v>2.7</v>
      </c>
      <c r="I334" s="1193">
        <f t="shared" si="29"/>
        <v>29.65</v>
      </c>
      <c r="J334" s="1121"/>
      <c r="K334" s="1103"/>
    </row>
    <row r="335" spans="1:21" s="974" customFormat="1">
      <c r="A335" s="1099"/>
      <c r="B335" s="1188" t="s">
        <v>1995</v>
      </c>
      <c r="C335" s="1189">
        <v>1</v>
      </c>
      <c r="D335" s="1190" t="s">
        <v>388</v>
      </c>
      <c r="E335" s="1191">
        <v>1</v>
      </c>
      <c r="F335" s="1192">
        <v>22.33</v>
      </c>
      <c r="G335" s="1192">
        <v>0</v>
      </c>
      <c r="H335" s="1192">
        <v>2.7</v>
      </c>
      <c r="I335" s="1193">
        <f t="shared" si="29"/>
        <v>60.29</v>
      </c>
      <c r="J335" s="1121"/>
      <c r="K335" s="1103"/>
    </row>
    <row r="336" spans="1:21" s="974" customFormat="1">
      <c r="A336" s="1099"/>
      <c r="B336" s="1188" t="s">
        <v>1996</v>
      </c>
      <c r="C336" s="1189">
        <v>1</v>
      </c>
      <c r="D336" s="1190" t="s">
        <v>388</v>
      </c>
      <c r="E336" s="1191">
        <v>2</v>
      </c>
      <c r="F336" s="1192">
        <v>12.6</v>
      </c>
      <c r="G336" s="1192">
        <v>0</v>
      </c>
      <c r="H336" s="1192">
        <v>3</v>
      </c>
      <c r="I336" s="1193">
        <f t="shared" si="29"/>
        <v>75.599999999999994</v>
      </c>
      <c r="J336" s="1121"/>
      <c r="K336" s="1103"/>
    </row>
    <row r="337" spans="1:21" s="974" customFormat="1">
      <c r="A337" s="1099"/>
      <c r="B337" s="1188" t="s">
        <v>628</v>
      </c>
      <c r="C337" s="1189">
        <v>1</v>
      </c>
      <c r="D337" s="1190" t="s">
        <v>388</v>
      </c>
      <c r="E337" s="1191">
        <v>1</v>
      </c>
      <c r="F337" s="1192">
        <v>25.71</v>
      </c>
      <c r="G337" s="1192">
        <v>0</v>
      </c>
      <c r="H337" s="1192">
        <v>2.7</v>
      </c>
      <c r="I337" s="1193">
        <f t="shared" si="29"/>
        <v>69.42</v>
      </c>
      <c r="J337" s="1121"/>
      <c r="K337" s="1103"/>
    </row>
    <row r="338" spans="1:21" s="974" customFormat="1">
      <c r="A338" s="1099"/>
      <c r="B338" s="1188" t="s">
        <v>1997</v>
      </c>
      <c r="C338" s="1189">
        <v>1</v>
      </c>
      <c r="D338" s="1190" t="s">
        <v>388</v>
      </c>
      <c r="E338" s="1191">
        <v>5</v>
      </c>
      <c r="F338" s="1192">
        <v>1.2</v>
      </c>
      <c r="G338" s="1192">
        <v>0</v>
      </c>
      <c r="H338" s="1192">
        <v>2.1</v>
      </c>
      <c r="I338" s="1193">
        <f>-ROUND(IF(AND(F338:H338),C338*E338*F338*G338*H338,IF(AND(F338,G338),C338*E338*F338*G338,IF(AND(F338,H338),C338*E338*F338*H338,IF(AND(G338,H338),C338*E338*G338*H338,IF(F338,C338*E338*F338,IF(G338,C338*E338*G338,IF(H338,C338*E338*H338,C338*E338))))))),2)</f>
        <v>-12.6</v>
      </c>
      <c r="J338" s="1121"/>
      <c r="K338" s="1103"/>
    </row>
    <row r="339" spans="1:21" s="974" customFormat="1">
      <c r="A339" s="1099"/>
      <c r="B339" s="1188" t="s">
        <v>1997</v>
      </c>
      <c r="C339" s="1189">
        <v>1</v>
      </c>
      <c r="D339" s="1190" t="s">
        <v>388</v>
      </c>
      <c r="E339" s="1191">
        <v>2</v>
      </c>
      <c r="F339" s="1192">
        <v>0.9</v>
      </c>
      <c r="G339" s="1192">
        <v>0</v>
      </c>
      <c r="H339" s="1192">
        <v>2.1</v>
      </c>
      <c r="I339" s="1193">
        <f>-ROUND(IF(AND(F339:H339),C339*E339*F339*G339*H339,IF(AND(F339,G339),C339*E339*F339*G339,IF(AND(F339,H339),C339*E339*F339*H339,IF(AND(G339,H339),C339*E339*G339*H339,IF(F339,C339*E339*F339,IF(G339,C339*E339*G339,IF(H339,C339*E339*H339,C339*E339))))))),2)</f>
        <v>-3.78</v>
      </c>
      <c r="J339" s="1121"/>
      <c r="K339" s="1103"/>
    </row>
    <row r="340" spans="1:21" s="961" customFormat="1">
      <c r="A340" s="1092"/>
      <c r="B340" s="1188" t="s">
        <v>1997</v>
      </c>
      <c r="C340" s="1189">
        <v>1</v>
      </c>
      <c r="D340" s="1190" t="s">
        <v>388</v>
      </c>
      <c r="E340" s="1191">
        <v>3</v>
      </c>
      <c r="F340" s="1192">
        <v>0.75</v>
      </c>
      <c r="G340" s="1192">
        <v>0</v>
      </c>
      <c r="H340" s="1192">
        <v>2.1</v>
      </c>
      <c r="I340" s="1193">
        <f>-ROUND(IF(AND(F340:H340),C340*E340*F340*G340*H340,IF(AND(F340,G340),C340*E340*F340*G340,IF(AND(F340,H340),C340*E340*F340*H340,IF(AND(G340,H340),C340*E340*G340*H340,IF(F340,C340*E340*F340,IF(G340,C340*E340*G340,IF(H340,C340*E340*H340,C340*E340))))))),2)</f>
        <v>-4.7300000000000004</v>
      </c>
      <c r="J340" s="1094"/>
      <c r="K340" s="1098"/>
    </row>
    <row r="341" spans="1:21" s="974" customFormat="1">
      <c r="A341" s="1099"/>
      <c r="B341" s="1188" t="s">
        <v>1998</v>
      </c>
      <c r="C341" s="1189">
        <v>1</v>
      </c>
      <c r="D341" s="1190" t="s">
        <v>388</v>
      </c>
      <c r="E341" s="1191">
        <v>9</v>
      </c>
      <c r="F341" s="1192">
        <v>0.9</v>
      </c>
      <c r="G341" s="1192">
        <v>0</v>
      </c>
      <c r="H341" s="1192">
        <v>1.35</v>
      </c>
      <c r="I341" s="1193">
        <f>-ROUND(IF(AND(F341:H341),C341*E341*F341*G341*H341,IF(AND(F341,G341),C341*E341*F341*G341,IF(AND(F341,H341),C341*E341*F341*H341,IF(AND(G341,H341),C341*E341*G341*H341,IF(F341,C341*E341*F341,IF(G341,C341*E341*G341,IF(H341,C341*E341*H341,C341*E341))))))),2)</f>
        <v>-10.94</v>
      </c>
      <c r="J341" s="1121"/>
      <c r="K341" s="1103"/>
    </row>
    <row r="342" spans="1:21" s="961" customFormat="1">
      <c r="A342" s="1092"/>
      <c r="B342" s="1188" t="s">
        <v>1999</v>
      </c>
      <c r="C342" s="1189">
        <v>1</v>
      </c>
      <c r="D342" s="1190" t="s">
        <v>388</v>
      </c>
      <c r="E342" s="1191">
        <v>15</v>
      </c>
      <c r="F342" s="1192">
        <v>0.6</v>
      </c>
      <c r="G342" s="1192">
        <v>0</v>
      </c>
      <c r="H342" s="1192">
        <v>0.3</v>
      </c>
      <c r="I342" s="1193">
        <f>-ROUND(IF(AND(F342:H342),C342*E342*F342*G342*H342,IF(AND(F342,G342),C342*E342*F342*G342,IF(AND(F342,H342),C342*E342*F342*H342,IF(AND(G342,H342),C342*E342*G342*H342,IF(F342,C342*E342*F342,IF(G342,C342*E342*G342,IF(H342,C342*E342*H342,C342*E342))))))),2)</f>
        <v>-2.7</v>
      </c>
      <c r="J342" s="1094"/>
      <c r="K342" s="1098"/>
    </row>
    <row r="343" spans="1:21" s="961" customFormat="1" ht="11.25">
      <c r="A343" s="1092"/>
      <c r="B343" s="1093"/>
      <c r="C343" s="1131"/>
      <c r="D343" s="1154"/>
      <c r="E343" s="1145"/>
      <c r="F343" s="1093"/>
      <c r="G343" s="1093"/>
      <c r="H343" s="1093"/>
      <c r="I343" s="1106"/>
      <c r="J343" s="1097">
        <f>data1!E649</f>
        <v>140.28</v>
      </c>
      <c r="K343" s="1098">
        <f>ROUND((J343*I343),0)</f>
        <v>0</v>
      </c>
      <c r="T343" s="969">
        <f>K343</f>
        <v>0</v>
      </c>
      <c r="U343" s="961">
        <f>SUM(L343:T343)</f>
        <v>0</v>
      </c>
    </row>
    <row r="344" spans="1:21" s="961" customFormat="1" ht="11.25">
      <c r="A344" s="1092"/>
      <c r="B344" s="1093"/>
      <c r="C344" s="1131"/>
      <c r="D344" s="1154"/>
      <c r="E344" s="1145"/>
      <c r="F344" s="1093"/>
      <c r="G344" s="1093"/>
      <c r="H344" s="1093"/>
      <c r="I344" s="1107" t="s">
        <v>114</v>
      </c>
      <c r="J344" s="1094" t="s">
        <v>625</v>
      </c>
      <c r="K344" s="1098"/>
    </row>
    <row r="345" spans="1:21" s="961" customFormat="1" ht="91.5" customHeight="1">
      <c r="A345" s="1092">
        <v>17</v>
      </c>
      <c r="B345" s="1289" t="str">
        <f>data1!C663</f>
        <v>Painting to new walls with 2 coats of Plastic Emulsion Paint Asian/ Berger/ Nerolac/ Saicoat/Indocem or Equivalent and shade over Priming Coat with Cement Primer Waterbase Interior Gr- 1 Asian/ Berger/ Nerolac/ Saicoat/Indocem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912  for external walls.</v>
      </c>
      <c r="C345" s="1289"/>
      <c r="D345" s="1289"/>
      <c r="E345" s="1289"/>
      <c r="F345" s="1289"/>
      <c r="G345" s="1289"/>
      <c r="H345" s="1289"/>
      <c r="I345" s="1106"/>
      <c r="J345" s="1094"/>
      <c r="K345" s="1098"/>
    </row>
    <row r="346" spans="1:21" s="961" customFormat="1">
      <c r="A346" s="1092"/>
      <c r="B346" s="1188" t="s">
        <v>2000</v>
      </c>
      <c r="C346" s="1189">
        <v>1</v>
      </c>
      <c r="D346" s="1190" t="s">
        <v>388</v>
      </c>
      <c r="E346" s="1191">
        <v>1</v>
      </c>
      <c r="F346" s="1192">
        <v>48.5</v>
      </c>
      <c r="G346" s="1192">
        <v>0</v>
      </c>
      <c r="H346" s="1192">
        <v>3.6</v>
      </c>
      <c r="I346" s="1193">
        <f t="shared" ref="I346:I350" si="30">ROUND(IF(AND(F346:H346),C346*E346*F346*G346*H346,IF(AND(F346,G346),C346*E346*F346*G346,IF(AND(F346,H346),C346*E346*F346*H346,IF(AND(G346,H346),C346*E346*G346*H346,IF(F346,C346*E346*F346,IF(G346,C346*E346*G346,IF(H346,C346*E346*H346,C346*E346))))))),2)</f>
        <v>174.6</v>
      </c>
      <c r="J346" s="1094"/>
      <c r="K346" s="1098"/>
    </row>
    <row r="347" spans="1:21" s="961" customFormat="1">
      <c r="A347" s="1092"/>
      <c r="B347" s="1188" t="s">
        <v>2001</v>
      </c>
      <c r="C347" s="1189">
        <v>1</v>
      </c>
      <c r="D347" s="1190" t="s">
        <v>388</v>
      </c>
      <c r="E347" s="1191">
        <v>3</v>
      </c>
      <c r="F347" s="1192">
        <v>2.1</v>
      </c>
      <c r="G347" s="1192">
        <v>0</v>
      </c>
      <c r="H347" s="1192">
        <v>1.35</v>
      </c>
      <c r="I347" s="1193">
        <f t="shared" si="30"/>
        <v>8.51</v>
      </c>
      <c r="J347" s="1094"/>
      <c r="K347" s="1098"/>
    </row>
    <row r="348" spans="1:21" s="961" customFormat="1">
      <c r="A348" s="1092"/>
      <c r="B348" s="1188" t="s">
        <v>2002</v>
      </c>
      <c r="C348" s="1189">
        <v>3</v>
      </c>
      <c r="D348" s="1190" t="s">
        <v>388</v>
      </c>
      <c r="E348" s="1191">
        <v>2</v>
      </c>
      <c r="F348" s="1192">
        <v>0.9</v>
      </c>
      <c r="G348" s="1192">
        <v>0</v>
      </c>
      <c r="H348" s="1192">
        <v>0.15</v>
      </c>
      <c r="I348" s="1193">
        <f t="shared" si="30"/>
        <v>0.81</v>
      </c>
      <c r="J348" s="1094"/>
      <c r="K348" s="1098"/>
    </row>
    <row r="349" spans="1:21" s="961" customFormat="1">
      <c r="A349" s="1092"/>
      <c r="B349" s="1188" t="s">
        <v>2003</v>
      </c>
      <c r="C349" s="1189">
        <v>3</v>
      </c>
      <c r="D349" s="1190" t="s">
        <v>388</v>
      </c>
      <c r="E349" s="1191">
        <v>2</v>
      </c>
      <c r="F349" s="1192">
        <v>0.6</v>
      </c>
      <c r="G349" s="1192">
        <v>0</v>
      </c>
      <c r="H349" s="1192">
        <v>0.15</v>
      </c>
      <c r="I349" s="1193">
        <f t="shared" si="30"/>
        <v>0.54</v>
      </c>
      <c r="J349" s="1094"/>
      <c r="K349" s="1098"/>
    </row>
    <row r="350" spans="1:21" s="961" customFormat="1">
      <c r="A350" s="1092"/>
      <c r="B350" s="1188" t="s">
        <v>2004</v>
      </c>
      <c r="C350" s="1189">
        <v>3</v>
      </c>
      <c r="D350" s="1190" t="s">
        <v>388</v>
      </c>
      <c r="E350" s="1191">
        <v>2</v>
      </c>
      <c r="F350" s="1192">
        <v>0.3</v>
      </c>
      <c r="G350" s="1192">
        <v>0</v>
      </c>
      <c r="H350" s="1192">
        <v>0.15</v>
      </c>
      <c r="I350" s="1193">
        <f t="shared" si="30"/>
        <v>0.27</v>
      </c>
      <c r="J350" s="1094"/>
      <c r="K350" s="1098"/>
    </row>
    <row r="351" spans="1:21" s="961" customFormat="1" ht="11.25">
      <c r="A351" s="1092"/>
      <c r="B351" s="1093"/>
      <c r="C351" s="1131"/>
      <c r="D351" s="1154"/>
      <c r="E351" s="1145"/>
      <c r="F351" s="1093"/>
      <c r="G351" s="1093"/>
      <c r="H351" s="1093"/>
      <c r="I351" s="1106"/>
      <c r="J351" s="1097">
        <f>data1!E683</f>
        <v>180.24</v>
      </c>
      <c r="K351" s="1098">
        <f>ROUND((J351*I351),0)</f>
        <v>0</v>
      </c>
      <c r="T351" s="969">
        <f>K351</f>
        <v>0</v>
      </c>
      <c r="U351" s="961">
        <f>SUM(L351:T351)</f>
        <v>0</v>
      </c>
    </row>
    <row r="352" spans="1:21" s="961" customFormat="1" ht="11.25">
      <c r="A352" s="1092"/>
      <c r="B352" s="1093"/>
      <c r="C352" s="1131"/>
      <c r="D352" s="1154"/>
      <c r="E352" s="1145"/>
      <c r="F352" s="1093"/>
      <c r="G352" s="1093"/>
      <c r="H352" s="1093"/>
      <c r="I352" s="1107" t="s">
        <v>114</v>
      </c>
      <c r="J352" s="1094" t="s">
        <v>625</v>
      </c>
      <c r="K352" s="1098"/>
    </row>
    <row r="353" spans="1:21" s="961" customFormat="1" ht="101.25" hidden="1" customHeight="1">
      <c r="A353" s="1092">
        <v>26</v>
      </c>
      <c r="B353" s="1290" t="s">
        <v>1173</v>
      </c>
      <c r="C353" s="1290"/>
      <c r="D353" s="1290"/>
      <c r="E353" s="1290"/>
      <c r="F353" s="1290"/>
      <c r="G353" s="1290"/>
      <c r="H353" s="1290"/>
      <c r="I353" s="1107"/>
      <c r="J353" s="1094"/>
      <c r="K353" s="1098"/>
    </row>
    <row r="354" spans="1:21" s="961" customFormat="1" ht="60" customHeight="1">
      <c r="A354" s="1092">
        <v>18</v>
      </c>
      <c r="B354" s="1289" t="s">
        <v>2015</v>
      </c>
      <c r="C354" s="1289"/>
      <c r="D354" s="1289"/>
      <c r="E354" s="1289"/>
      <c r="F354" s="1289"/>
      <c r="G354" s="1289"/>
      <c r="H354" s="1289"/>
      <c r="I354" s="1107"/>
      <c r="J354" s="1094"/>
      <c r="K354" s="1098"/>
    </row>
    <row r="355" spans="1:21" s="961" customFormat="1">
      <c r="A355" s="1092"/>
      <c r="B355" s="1188"/>
      <c r="C355" s="1189">
        <v>2</v>
      </c>
      <c r="D355" s="1190" t="s">
        <v>388</v>
      </c>
      <c r="E355" s="1191">
        <v>1</v>
      </c>
      <c r="F355" s="1192">
        <v>0</v>
      </c>
      <c r="G355" s="1192">
        <v>0</v>
      </c>
      <c r="H355" s="1192">
        <v>0</v>
      </c>
      <c r="I355" s="1193">
        <f t="shared" ref="I355" si="31">ROUND(IF(AND(F355:H355),C355*E355*F355*G355*H355,IF(AND(F355,G355),C355*E355*F355*G355,IF(AND(F355,H355),C355*E355*F355*H355,IF(AND(G355,H355),C355*E355*G355*H355,IF(F355,C355*E355*F355,IF(G355,C355*E355*G355,IF(H355,C355*E355*H355,C355*E355))))))),2)</f>
        <v>2</v>
      </c>
      <c r="J355" s="1094"/>
      <c r="K355" s="1098"/>
    </row>
    <row r="356" spans="1:21" s="961" customFormat="1" ht="11.25">
      <c r="A356" s="1092"/>
      <c r="B356" s="1093"/>
      <c r="C356" s="1131"/>
      <c r="D356" s="1154"/>
      <c r="E356" s="1145"/>
      <c r="F356" s="1093"/>
      <c r="G356" s="1093"/>
      <c r="H356" s="1093"/>
      <c r="I356" s="1106">
        <f>SUM(I355)</f>
        <v>2</v>
      </c>
      <c r="J356" s="1097">
        <f>data1!G1042</f>
        <v>6234.51</v>
      </c>
      <c r="K356" s="1098">
        <f>ROUND((J356*I356)/1,0)</f>
        <v>12469</v>
      </c>
      <c r="T356" s="969">
        <f>K356</f>
        <v>12469</v>
      </c>
      <c r="U356" s="961">
        <f>SUM(L356:T356)</f>
        <v>12469</v>
      </c>
    </row>
    <row r="357" spans="1:21" s="961" customFormat="1" ht="11.25">
      <c r="A357" s="1092"/>
      <c r="B357" s="1093"/>
      <c r="C357" s="1131"/>
      <c r="D357" s="1154"/>
      <c r="E357" s="1145"/>
      <c r="F357" s="1093"/>
      <c r="G357" s="1093"/>
      <c r="H357" s="1093"/>
      <c r="I357" s="1106"/>
      <c r="J357" s="1097" t="s">
        <v>107</v>
      </c>
      <c r="K357" s="1098"/>
    </row>
    <row r="358" spans="1:21" s="961" customFormat="1" ht="62.25" customHeight="1">
      <c r="A358" s="1092">
        <v>19</v>
      </c>
      <c r="B358" s="1289" t="s">
        <v>2060</v>
      </c>
      <c r="C358" s="1289"/>
      <c r="D358" s="1289"/>
      <c r="E358" s="1289"/>
      <c r="F358" s="1289"/>
      <c r="G358" s="1289"/>
      <c r="H358" s="1289"/>
      <c r="I358" s="1107"/>
      <c r="J358" s="1094"/>
      <c r="K358" s="1098"/>
    </row>
    <row r="359" spans="1:21" s="961" customFormat="1">
      <c r="A359" s="1092"/>
      <c r="B359" s="1188"/>
      <c r="C359" s="1189">
        <v>5</v>
      </c>
      <c r="D359" s="1190" t="s">
        <v>388</v>
      </c>
      <c r="E359" s="1191">
        <v>1</v>
      </c>
      <c r="F359" s="1192">
        <v>0</v>
      </c>
      <c r="G359" s="1192">
        <v>0</v>
      </c>
      <c r="H359" s="1192">
        <v>0</v>
      </c>
      <c r="I359" s="1193">
        <f t="shared" ref="I359" si="32">ROUND(IF(AND(F359:H359),C359*E359*F359*G359*H359,IF(AND(F359,G359),C359*E359*F359*G359,IF(AND(F359,H359),C359*E359*F359*H359,IF(AND(G359,H359),C359*E359*G359*H359,IF(F359,C359*E359*F359,IF(G359,C359*E359*G359,IF(H359,C359*E359*H359,C359*E359))))))),2)</f>
        <v>5</v>
      </c>
      <c r="J359" s="1094"/>
      <c r="K359" s="1098"/>
    </row>
    <row r="360" spans="1:21" s="961" customFormat="1" ht="11.25">
      <c r="A360" s="1092"/>
      <c r="B360" s="1093"/>
      <c r="C360" s="1131"/>
      <c r="D360" s="1154"/>
      <c r="E360" s="1145"/>
      <c r="F360" s="1093"/>
      <c r="G360" s="1093"/>
      <c r="H360" s="1093"/>
      <c r="I360" s="1106">
        <f>SUM(I359)</f>
        <v>5</v>
      </c>
      <c r="J360" s="1097">
        <f>data1!G1075</f>
        <v>8872.3459999999995</v>
      </c>
      <c r="K360" s="1098">
        <f>ROUND((J360*I360)/1,0)</f>
        <v>44362</v>
      </c>
      <c r="T360" s="969">
        <f>K360</f>
        <v>44362</v>
      </c>
      <c r="U360" s="961">
        <f>SUM(L360:T360)</f>
        <v>44362</v>
      </c>
    </row>
    <row r="361" spans="1:21" s="961" customFormat="1" ht="11.25">
      <c r="A361" s="1092"/>
      <c r="B361" s="1093"/>
      <c r="C361" s="1131"/>
      <c r="D361" s="1154"/>
      <c r="E361" s="1145"/>
      <c r="F361" s="1093"/>
      <c r="G361" s="1093"/>
      <c r="H361" s="1093"/>
      <c r="I361" s="1106"/>
      <c r="J361" s="1097" t="s">
        <v>107</v>
      </c>
      <c r="K361" s="1098"/>
    </row>
    <row r="362" spans="1:21" s="961" customFormat="1" ht="92.25" customHeight="1">
      <c r="A362" s="1092">
        <v>20</v>
      </c>
      <c r="B362" s="1289" t="s">
        <v>2061</v>
      </c>
      <c r="C362" s="1289"/>
      <c r="D362" s="1289"/>
      <c r="E362" s="1289"/>
      <c r="F362" s="1289"/>
      <c r="G362" s="1289"/>
      <c r="H362" s="1289"/>
      <c r="I362" s="1107"/>
      <c r="J362" s="1094"/>
      <c r="K362" s="1098"/>
    </row>
    <row r="363" spans="1:21" s="961" customFormat="1">
      <c r="A363" s="1092"/>
      <c r="B363" s="1188"/>
      <c r="C363" s="1189">
        <v>3</v>
      </c>
      <c r="D363" s="1190" t="s">
        <v>388</v>
      </c>
      <c r="E363" s="1191">
        <v>1</v>
      </c>
      <c r="F363" s="1192">
        <v>0</v>
      </c>
      <c r="G363" s="1192">
        <v>0</v>
      </c>
      <c r="H363" s="1192">
        <v>0</v>
      </c>
      <c r="I363" s="1193">
        <f t="shared" ref="I363" si="33">ROUND(IF(AND(F363:H363),C363*E363*F363*G363*H363,IF(AND(F363,G363),C363*E363*F363*G363,IF(AND(F363,H363),C363*E363*F363*H363,IF(AND(G363,H363),C363*E363*G363*H363,IF(F363,C363*E363*F363,IF(G363,C363*E363*G363,IF(H363,C363*E363*H363,C363*E363))))))),2)</f>
        <v>3</v>
      </c>
      <c r="J363" s="1094"/>
      <c r="K363" s="1098"/>
    </row>
    <row r="364" spans="1:21" s="961" customFormat="1" ht="11.25">
      <c r="A364" s="1092"/>
      <c r="B364" s="1093"/>
      <c r="C364" s="1131"/>
      <c r="D364" s="1154"/>
      <c r="E364" s="1145"/>
      <c r="F364" s="1093"/>
      <c r="G364" s="1093"/>
      <c r="H364" s="1093"/>
      <c r="I364" s="1106">
        <f>SUM(I363)</f>
        <v>3</v>
      </c>
      <c r="J364" s="1097">
        <f>data1!G1104</f>
        <v>6174.3280000000004</v>
      </c>
      <c r="K364" s="1098">
        <f>ROUND((J364*I364)/1,0)</f>
        <v>18523</v>
      </c>
      <c r="T364" s="969">
        <f>K364</f>
        <v>18523</v>
      </c>
      <c r="U364" s="961">
        <f>SUM(L364:T364)</f>
        <v>18523</v>
      </c>
    </row>
    <row r="365" spans="1:21" s="961" customFormat="1" ht="11.25">
      <c r="A365" s="1092"/>
      <c r="B365" s="1093"/>
      <c r="C365" s="1131"/>
      <c r="D365" s="1154"/>
      <c r="E365" s="1145"/>
      <c r="F365" s="1093"/>
      <c r="G365" s="1093"/>
      <c r="H365" s="1093"/>
      <c r="I365" s="1106"/>
      <c r="J365" s="1097" t="s">
        <v>107</v>
      </c>
      <c r="K365" s="1098"/>
    </row>
    <row r="366" spans="1:21" s="961" customFormat="1" ht="92.25" customHeight="1">
      <c r="A366" s="1092">
        <v>21</v>
      </c>
      <c r="B366" s="1289" t="s">
        <v>2062</v>
      </c>
      <c r="C366" s="1289"/>
      <c r="D366" s="1289"/>
      <c r="E366" s="1289"/>
      <c r="F366" s="1289"/>
      <c r="G366" s="1289"/>
      <c r="H366" s="1289"/>
      <c r="I366" s="1107"/>
      <c r="J366" s="1094"/>
      <c r="K366" s="1098"/>
    </row>
    <row r="367" spans="1:21" s="961" customFormat="1">
      <c r="A367" s="1092"/>
      <c r="B367" s="1188"/>
      <c r="C367" s="1189">
        <v>9</v>
      </c>
      <c r="D367" s="1190" t="s">
        <v>388</v>
      </c>
      <c r="E367" s="1191">
        <v>1</v>
      </c>
      <c r="F367" s="1192">
        <v>0</v>
      </c>
      <c r="G367" s="1192">
        <v>0</v>
      </c>
      <c r="H367" s="1192">
        <v>0</v>
      </c>
      <c r="I367" s="1193">
        <f t="shared" ref="I367" si="34">ROUND(IF(AND(F367:H367),C367*E367*F367*G367*H367,IF(AND(F367,G367),C367*E367*F367*G367,IF(AND(F367,H367),C367*E367*F367*H367,IF(AND(G367,H367),C367*E367*G367*H367,IF(F367,C367*E367*F367,IF(G367,C367*E367*G367,IF(H367,C367*E367*H367,C367*E367))))))),2)</f>
        <v>9</v>
      </c>
      <c r="J367" s="1094"/>
      <c r="K367" s="1098"/>
    </row>
    <row r="368" spans="1:21" s="961" customFormat="1" ht="11.25">
      <c r="A368" s="1092"/>
      <c r="B368" s="1093"/>
      <c r="C368" s="1131"/>
      <c r="D368" s="1154"/>
      <c r="E368" s="1145"/>
      <c r="F368" s="1093"/>
      <c r="G368" s="1093"/>
      <c r="H368" s="1093"/>
      <c r="I368" s="1106">
        <f>SUM(I367)</f>
        <v>9</v>
      </c>
      <c r="J368" s="1097">
        <f>data1!G1135</f>
        <v>6931.6140000000005</v>
      </c>
      <c r="K368" s="1098">
        <f>ROUND((J368*I368)/1,0)</f>
        <v>62385</v>
      </c>
      <c r="T368" s="969">
        <f>K368</f>
        <v>62385</v>
      </c>
      <c r="U368" s="961">
        <f>SUM(L368:T368)</f>
        <v>62385</v>
      </c>
    </row>
    <row r="369" spans="1:21" s="961" customFormat="1" ht="11.25">
      <c r="A369" s="1092"/>
      <c r="B369" s="1093"/>
      <c r="C369" s="1131"/>
      <c r="D369" s="1154"/>
      <c r="E369" s="1145"/>
      <c r="F369" s="1093"/>
      <c r="G369" s="1093"/>
      <c r="H369" s="1093"/>
      <c r="I369" s="1106"/>
      <c r="J369" s="1097" t="s">
        <v>107</v>
      </c>
      <c r="K369" s="1098"/>
    </row>
    <row r="370" spans="1:21" s="961" customFormat="1" ht="126" hidden="1" customHeight="1">
      <c r="A370" s="1092"/>
      <c r="B370" s="1289" t="s">
        <v>1175</v>
      </c>
      <c r="C370" s="1289"/>
      <c r="D370" s="1289"/>
      <c r="E370" s="1289"/>
      <c r="F370" s="1289"/>
      <c r="G370" s="1289"/>
      <c r="H370" s="1289"/>
      <c r="I370" s="1107"/>
      <c r="J370" s="1094"/>
      <c r="K370" s="1098"/>
    </row>
    <row r="371" spans="1:21" s="961" customFormat="1" ht="11.25" hidden="1">
      <c r="A371" s="1092"/>
      <c r="B371" s="1093" t="s">
        <v>1197</v>
      </c>
      <c r="C371" s="1131"/>
      <c r="D371" s="1154"/>
      <c r="E371" s="1145"/>
      <c r="F371" s="1093"/>
      <c r="G371" s="1093"/>
      <c r="H371" s="1093"/>
      <c r="I371" s="1107">
        <f>C371</f>
        <v>0</v>
      </c>
      <c r="J371" s="1097">
        <f>data1!G986</f>
        <v>9777.36</v>
      </c>
      <c r="K371" s="1098">
        <f>ROUND((J371*I371)/1,0)</f>
        <v>0</v>
      </c>
      <c r="T371" s="969">
        <f>K371</f>
        <v>0</v>
      </c>
      <c r="U371" s="961">
        <f>SUM(L371:T371)</f>
        <v>0</v>
      </c>
    </row>
    <row r="372" spans="1:21" s="961" customFormat="1" ht="11.25" hidden="1">
      <c r="A372" s="1092"/>
      <c r="B372" s="1093"/>
      <c r="C372" s="1131"/>
      <c r="D372" s="1154"/>
      <c r="E372" s="1145"/>
      <c r="F372" s="1093"/>
      <c r="G372" s="1093"/>
      <c r="H372" s="1093"/>
      <c r="I372" s="1107"/>
      <c r="J372" s="1097" t="s">
        <v>107</v>
      </c>
      <c r="K372" s="1098"/>
    </row>
    <row r="373" spans="1:21" s="961" customFormat="1" ht="117" hidden="1" customHeight="1">
      <c r="A373" s="1092"/>
      <c r="B373" s="1289" t="s">
        <v>1291</v>
      </c>
      <c r="C373" s="1289"/>
      <c r="D373" s="1289"/>
      <c r="E373" s="1289"/>
      <c r="F373" s="1289"/>
      <c r="G373" s="1289"/>
      <c r="H373" s="1289"/>
      <c r="I373" s="1107"/>
      <c r="J373" s="1097"/>
      <c r="K373" s="1098"/>
    </row>
    <row r="374" spans="1:21" s="977" customFormat="1" ht="33.75" hidden="1">
      <c r="A374" s="1112"/>
      <c r="B374" s="1120" t="s">
        <v>1196</v>
      </c>
      <c r="C374" s="1140"/>
      <c r="D374" s="1154"/>
      <c r="E374" s="1145"/>
      <c r="F374" s="1112"/>
      <c r="G374" s="1112"/>
      <c r="H374" s="1112"/>
      <c r="I374" s="1107">
        <f>C374</f>
        <v>0</v>
      </c>
      <c r="J374" s="1097">
        <f>data1!G939</f>
        <v>8697.7999999999993</v>
      </c>
      <c r="K374" s="1125">
        <f>ROUND((J374*I374)/1,0)</f>
        <v>0</v>
      </c>
      <c r="T374" s="992">
        <f>K374</f>
        <v>0</v>
      </c>
      <c r="U374" s="977">
        <f>SUM(L374:T374)</f>
        <v>0</v>
      </c>
    </row>
    <row r="375" spans="1:21" s="961" customFormat="1" ht="11.25" hidden="1">
      <c r="A375" s="1092"/>
      <c r="B375" s="1093"/>
      <c r="C375" s="1131"/>
      <c r="D375" s="1154"/>
      <c r="E375" s="1145"/>
      <c r="F375" s="1093"/>
      <c r="G375" s="1093"/>
      <c r="H375" s="1093"/>
      <c r="I375" s="1107"/>
      <c r="J375" s="1097" t="s">
        <v>107</v>
      </c>
      <c r="K375" s="1098"/>
    </row>
    <row r="376" spans="1:21" s="961" customFormat="1" ht="103.5" hidden="1" customHeight="1">
      <c r="A376" s="1092">
        <v>27</v>
      </c>
      <c r="B376" s="1290" t="s">
        <v>911</v>
      </c>
      <c r="C376" s="1290"/>
      <c r="D376" s="1290"/>
      <c r="E376" s="1290"/>
      <c r="F376" s="1290"/>
      <c r="G376" s="1290"/>
      <c r="H376" s="1290"/>
      <c r="I376" s="1107"/>
      <c r="J376" s="1097"/>
      <c r="K376" s="1098"/>
    </row>
    <row r="377" spans="1:21" s="961" customFormat="1" ht="11.25" hidden="1">
      <c r="A377" s="1092"/>
      <c r="B377" s="1093"/>
      <c r="C377" s="1131"/>
      <c r="D377" s="1154"/>
      <c r="E377" s="1145"/>
      <c r="F377" s="1093"/>
      <c r="G377" s="1093"/>
      <c r="H377" s="1093"/>
      <c r="I377" s="1107">
        <f>C377</f>
        <v>0</v>
      </c>
      <c r="J377" s="1097">
        <f>data1!G898</f>
        <v>7175.5</v>
      </c>
      <c r="K377" s="1098"/>
      <c r="T377" s="969">
        <f>K377</f>
        <v>0</v>
      </c>
      <c r="U377" s="961">
        <f>SUM(L377:T377)</f>
        <v>0</v>
      </c>
    </row>
    <row r="378" spans="1:21" s="961" customFormat="1" ht="11.25" hidden="1">
      <c r="A378" s="1092"/>
      <c r="B378" s="1093"/>
      <c r="C378" s="1131"/>
      <c r="D378" s="1154"/>
      <c r="E378" s="1145"/>
      <c r="F378" s="1093"/>
      <c r="G378" s="1093"/>
      <c r="H378" s="1093"/>
      <c r="I378" s="1107"/>
      <c r="J378" s="1097" t="s">
        <v>107</v>
      </c>
      <c r="K378" s="1098"/>
    </row>
    <row r="379" spans="1:21" s="961" customFormat="1" ht="158.25" hidden="1" customHeight="1">
      <c r="A379" s="1092">
        <v>22</v>
      </c>
      <c r="B379" s="1289" t="s">
        <v>720</v>
      </c>
      <c r="C379" s="1289"/>
      <c r="D379" s="1289"/>
      <c r="E379" s="1289"/>
      <c r="F379" s="1289"/>
      <c r="G379" s="1289"/>
      <c r="H379" s="1289"/>
      <c r="I379" s="1107"/>
      <c r="J379" s="1094"/>
      <c r="K379" s="1098"/>
    </row>
    <row r="380" spans="1:21" s="961" customFormat="1" ht="11.25" hidden="1">
      <c r="A380" s="1092"/>
      <c r="B380" s="1093"/>
      <c r="C380" s="1131"/>
      <c r="D380" s="1154"/>
      <c r="E380" s="1145"/>
      <c r="F380" s="1118">
        <v>0.9</v>
      </c>
      <c r="G380" s="1093"/>
      <c r="H380" s="1093">
        <v>1.35</v>
      </c>
      <c r="I380" s="1107">
        <f>C380*F380*H380</f>
        <v>0</v>
      </c>
      <c r="J380" s="1097">
        <f>data1!G990</f>
        <v>7288</v>
      </c>
      <c r="K380" s="1098">
        <f>ROUND((J380*I380)/1,0)</f>
        <v>0</v>
      </c>
      <c r="T380" s="969">
        <f>K380</f>
        <v>0</v>
      </c>
      <c r="U380" s="961">
        <f>SUM(L380:T380)</f>
        <v>0</v>
      </c>
    </row>
    <row r="381" spans="1:21" s="961" customFormat="1" ht="11.25" hidden="1">
      <c r="A381" s="1092"/>
      <c r="B381" s="1093"/>
      <c r="C381" s="1131"/>
      <c r="D381" s="1154"/>
      <c r="E381" s="1145"/>
      <c r="F381" s="1093"/>
      <c r="G381" s="1093"/>
      <c r="H381" s="1093"/>
      <c r="I381" s="1107" t="s">
        <v>114</v>
      </c>
      <c r="J381" s="1094" t="s">
        <v>114</v>
      </c>
      <c r="K381" s="1098"/>
    </row>
    <row r="382" spans="1:21" s="961" customFormat="1" ht="91.5" customHeight="1">
      <c r="A382" s="1092">
        <v>23</v>
      </c>
      <c r="B382" s="1289" t="s">
        <v>1185</v>
      </c>
      <c r="C382" s="1291"/>
      <c r="D382" s="1291"/>
      <c r="E382" s="1291"/>
      <c r="F382" s="1291"/>
      <c r="G382" s="1291"/>
      <c r="H382" s="1291"/>
      <c r="I382" s="1107"/>
      <c r="J382" s="1094"/>
      <c r="K382" s="1098"/>
    </row>
    <row r="383" spans="1:21" s="961" customFormat="1">
      <c r="A383" s="1092"/>
      <c r="B383" s="1204" t="s">
        <v>2005</v>
      </c>
      <c r="C383" s="1205">
        <v>5</v>
      </c>
      <c r="D383" s="1206" t="s">
        <v>388</v>
      </c>
      <c r="E383" s="1207">
        <v>2.25</v>
      </c>
      <c r="F383" s="1208">
        <v>1.2</v>
      </c>
      <c r="G383" s="1208">
        <v>0</v>
      </c>
      <c r="H383" s="1208">
        <v>2.1</v>
      </c>
      <c r="I383" s="1209">
        <f>ROUND(IF(AND(F383:H383),C383*E383*F383*G383*H383,IF(AND(F383,G383),C383*E383*F383*G383,IF(AND(F383,H383),C383*E383*F383*H383,IF(AND(G383,H383),C383*E383*G383*H383,IF(F383,C383*E383*F383,IF(G383,C383*E383*G383,IF(H383,C383*E383*H383,C383*E383))))))),2)</f>
        <v>28.35</v>
      </c>
      <c r="J383" s="1094"/>
      <c r="K383" s="1098"/>
    </row>
    <row r="384" spans="1:21" s="961" customFormat="1">
      <c r="A384" s="1092"/>
      <c r="B384" s="1204" t="s">
        <v>2006</v>
      </c>
      <c r="C384" s="1205">
        <v>2</v>
      </c>
      <c r="D384" s="1206" t="s">
        <v>388</v>
      </c>
      <c r="E384" s="1207">
        <v>2.25</v>
      </c>
      <c r="F384" s="1208">
        <v>0.9</v>
      </c>
      <c r="G384" s="1208">
        <v>0</v>
      </c>
      <c r="H384" s="1208">
        <v>2.1</v>
      </c>
      <c r="I384" s="1209">
        <f>ROUND(IF(AND(F384:H384),C384*E384*F384*G384*H384,IF(AND(F384,G384),C384*E384*F384*G384,IF(AND(F384,H384),C384*E384*F384*H384,IF(AND(G384,H384),C384*E384*G384*H384,IF(F384,C384*E384*F384,IF(G384,C384*E384*G384,IF(H384,C384*E384*H384,C384*E384))))))),2)</f>
        <v>8.51</v>
      </c>
      <c r="J384" s="1094"/>
      <c r="K384" s="1098"/>
    </row>
    <row r="385" spans="1:21" s="961" customFormat="1">
      <c r="A385" s="1092"/>
      <c r="B385" s="1204" t="s">
        <v>2007</v>
      </c>
      <c r="C385" s="1205">
        <v>3</v>
      </c>
      <c r="D385" s="1206" t="s">
        <v>388</v>
      </c>
      <c r="E385" s="1207">
        <v>2.25</v>
      </c>
      <c r="F385" s="1208">
        <v>0.75</v>
      </c>
      <c r="G385" s="1208">
        <v>0</v>
      </c>
      <c r="H385" s="1208">
        <v>2.1</v>
      </c>
      <c r="I385" s="1209">
        <f>ROUND(IF(AND(F385:H385),C385*E385*F385*G385*H385,IF(AND(F385,G385),C385*E385*F385*G385,IF(AND(F385,H385),C385*E385*F385*H385,IF(AND(G385,H385),C385*E385*G385*H385,IF(F385,C385*E385*F385,IF(G385,C385*E385*G385,IF(H385,C385*E385*H385,C385*E385))))))),2)</f>
        <v>10.63</v>
      </c>
      <c r="J385" s="1094"/>
      <c r="K385" s="1098"/>
    </row>
    <row r="386" spans="1:21" s="961" customFormat="1">
      <c r="A386" s="1092"/>
      <c r="B386" s="1204" t="s">
        <v>2008</v>
      </c>
      <c r="C386" s="1205">
        <v>9</v>
      </c>
      <c r="D386" s="1206" t="s">
        <v>388</v>
      </c>
      <c r="E386" s="1207">
        <v>2.75</v>
      </c>
      <c r="F386" s="1208">
        <v>0.9</v>
      </c>
      <c r="G386" s="1208">
        <v>0</v>
      </c>
      <c r="H386" s="1208">
        <v>1.35</v>
      </c>
      <c r="I386" s="1209">
        <f>ROUND(IF(AND(F386:H386),C386*E386*F386*G386*H386,IF(AND(F386,G386),C386*E386*F386*G386,IF(AND(F386,H386),C386*E386*F386*H386,IF(AND(G386,H386),C386*E386*G386*H386,IF(F386,C386*E386*F386,IF(G386,C386*E386*G386,IF(H386,C386*E386*H386,C386*E386))))))),2)</f>
        <v>30.07</v>
      </c>
      <c r="J386" s="1094"/>
      <c r="K386" s="1098"/>
    </row>
    <row r="387" spans="1:21" s="961" customFormat="1" ht="11.25">
      <c r="A387" s="1092"/>
      <c r="B387" s="1093"/>
      <c r="C387" s="1131"/>
      <c r="D387" s="1154"/>
      <c r="E387" s="1145"/>
      <c r="F387" s="1093"/>
      <c r="G387" s="1093"/>
      <c r="H387" s="1093"/>
      <c r="I387" s="1106"/>
      <c r="J387" s="1097">
        <f>data1!G697</f>
        <v>183.19</v>
      </c>
      <c r="K387" s="1098">
        <f>ROUND((J387*I387),0)</f>
        <v>0</v>
      </c>
      <c r="T387" s="969">
        <f>K387</f>
        <v>0</v>
      </c>
      <c r="U387" s="961">
        <f>SUM(L387:T387)</f>
        <v>0</v>
      </c>
    </row>
    <row r="388" spans="1:21" s="961" customFormat="1" ht="11.25">
      <c r="A388" s="1092"/>
      <c r="B388" s="1093"/>
      <c r="C388" s="1131"/>
      <c r="D388" s="1154"/>
      <c r="E388" s="1145"/>
      <c r="F388" s="1093"/>
      <c r="G388" s="1093"/>
      <c r="H388" s="1093"/>
      <c r="I388" s="1107" t="s">
        <v>114</v>
      </c>
      <c r="J388" s="1094" t="s">
        <v>106</v>
      </c>
      <c r="K388" s="1098"/>
    </row>
    <row r="389" spans="1:21" s="961" customFormat="1" ht="11.25" hidden="1">
      <c r="A389" s="1092">
        <v>22</v>
      </c>
      <c r="B389" s="1289" t="s">
        <v>1408</v>
      </c>
      <c r="C389" s="1289"/>
      <c r="D389" s="1289"/>
      <c r="E389" s="1289"/>
      <c r="F389" s="1289"/>
      <c r="G389" s="1289"/>
      <c r="H389" s="1289"/>
      <c r="I389" s="1107"/>
      <c r="J389" s="1094"/>
      <c r="K389" s="1098"/>
    </row>
    <row r="390" spans="1:21" s="961" customFormat="1" ht="11.25" hidden="1">
      <c r="A390" s="1092"/>
      <c r="B390" s="1093"/>
      <c r="C390" s="1131">
        <v>1</v>
      </c>
      <c r="D390" s="1154"/>
      <c r="E390" s="1145"/>
      <c r="F390" s="1093">
        <v>2.4</v>
      </c>
      <c r="G390" s="1093"/>
      <c r="H390" s="1093">
        <v>2.1</v>
      </c>
      <c r="I390" s="1107">
        <f>C390*F390*H390</f>
        <v>5.04</v>
      </c>
      <c r="J390" s="1094"/>
      <c r="K390" s="1098"/>
    </row>
    <row r="391" spans="1:21" s="961" customFormat="1" ht="11.25" hidden="1">
      <c r="A391" s="1092"/>
      <c r="B391" s="1093"/>
      <c r="C391" s="1131"/>
      <c r="D391" s="1154"/>
      <c r="E391" s="1145"/>
      <c r="F391" s="1093"/>
      <c r="G391" s="1093"/>
      <c r="H391" s="1093"/>
      <c r="I391" s="1107"/>
      <c r="J391" s="1126">
        <f>J407</f>
        <v>51205</v>
      </c>
      <c r="K391" s="1098">
        <f>ROUND((J391*I391/1000),0)</f>
        <v>0</v>
      </c>
    </row>
    <row r="392" spans="1:21" s="961" customFormat="1" ht="11.25" hidden="1">
      <c r="A392" s="1092"/>
      <c r="B392" s="1093"/>
      <c r="C392" s="1131"/>
      <c r="D392" s="1154"/>
      <c r="E392" s="1145"/>
      <c r="F392" s="1093"/>
      <c r="G392" s="1093"/>
      <c r="H392" s="1093"/>
      <c r="I392" s="1107" t="s">
        <v>114</v>
      </c>
      <c r="J392" s="1094"/>
      <c r="K392" s="1098"/>
    </row>
    <row r="393" spans="1:21" s="961" customFormat="1" ht="78.75" hidden="1" customHeight="1">
      <c r="A393" s="1092">
        <v>23</v>
      </c>
      <c r="B393" s="1289" t="s">
        <v>583</v>
      </c>
      <c r="C393" s="1289"/>
      <c r="D393" s="1289"/>
      <c r="E393" s="1289"/>
      <c r="F393" s="1289"/>
      <c r="G393" s="1289"/>
      <c r="H393" s="1289"/>
      <c r="I393" s="1107"/>
      <c r="J393" s="1094"/>
      <c r="K393" s="1098"/>
    </row>
    <row r="394" spans="1:21" s="961" customFormat="1" hidden="1">
      <c r="A394" s="1092"/>
      <c r="B394" s="1204" t="s">
        <v>2005</v>
      </c>
      <c r="C394" s="1205">
        <v>5</v>
      </c>
      <c r="D394" s="1206" t="s">
        <v>388</v>
      </c>
      <c r="E394" s="1207">
        <v>2.25</v>
      </c>
      <c r="F394" s="1208">
        <v>1.2</v>
      </c>
      <c r="G394" s="1208">
        <v>0</v>
      </c>
      <c r="H394" s="1208">
        <v>2.1</v>
      </c>
      <c r="I394" s="1209">
        <f>ROUND(IF(AND(F394:H394),C394*E394*F394*G394*H394,IF(AND(F394,G394),C394*E394*F394*G394,IF(AND(F394,H394),C394*E394*F394*H394,IF(AND(G394,H394),C394*E394*G394*H394,IF(F394,C394*E394*F394,IF(G394,C394*E394*G394,IF(H394,C394*E394*H394,C394*E394))))))),2)</f>
        <v>28.35</v>
      </c>
      <c r="J394" s="1094"/>
      <c r="K394" s="1098"/>
    </row>
    <row r="395" spans="1:21" s="961" customFormat="1" hidden="1">
      <c r="A395" s="1092"/>
      <c r="B395" s="1204" t="s">
        <v>2006</v>
      </c>
      <c r="C395" s="1205">
        <v>2</v>
      </c>
      <c r="D395" s="1206" t="s">
        <v>388</v>
      </c>
      <c r="E395" s="1207">
        <v>2.25</v>
      </c>
      <c r="F395" s="1208">
        <v>0.9</v>
      </c>
      <c r="G395" s="1208">
        <v>0</v>
      </c>
      <c r="H395" s="1208">
        <v>2.1</v>
      </c>
      <c r="I395" s="1209">
        <f>ROUND(IF(AND(F395:H395),C395*E395*F395*G395*H395,IF(AND(F395,G395),C395*E395*F395*G395,IF(AND(F395,H395),C395*E395*F395*H395,IF(AND(G395,H395),C395*E395*G395*H395,IF(F395,C395*E395*F395,IF(G395,C395*E395*G395,IF(H395,C395*E395*H395,C395*E395))))))),2)</f>
        <v>8.51</v>
      </c>
      <c r="J395" s="1094"/>
      <c r="K395" s="1098"/>
    </row>
    <row r="396" spans="1:21" s="961" customFormat="1" hidden="1">
      <c r="A396" s="1092"/>
      <c r="B396" s="1204" t="s">
        <v>2007</v>
      </c>
      <c r="C396" s="1205">
        <v>3</v>
      </c>
      <c r="D396" s="1206" t="s">
        <v>388</v>
      </c>
      <c r="E396" s="1207">
        <v>2.25</v>
      </c>
      <c r="F396" s="1208">
        <v>0.75</v>
      </c>
      <c r="G396" s="1208">
        <v>0</v>
      </c>
      <c r="H396" s="1208">
        <v>2.1</v>
      </c>
      <c r="I396" s="1209">
        <f>ROUND(IF(AND(F396:H396),C396*E396*F396*G396*H396,IF(AND(F396,G396),C396*E396*F396*G396,IF(AND(F396,H396),C396*E396*F396*H396,IF(AND(G396,H396),C396*E396*G396*H396,IF(F396,C396*E396*F396,IF(G396,C396*E396*G396,IF(H396,C396*E396*H396,C396*E396))))))),2)</f>
        <v>10.63</v>
      </c>
      <c r="J396" s="1094"/>
      <c r="K396" s="1098"/>
    </row>
    <row r="397" spans="1:21" s="961" customFormat="1" hidden="1">
      <c r="A397" s="1092"/>
      <c r="B397" s="1204" t="s">
        <v>2008</v>
      </c>
      <c r="C397" s="1205">
        <v>9</v>
      </c>
      <c r="D397" s="1206" t="s">
        <v>388</v>
      </c>
      <c r="E397" s="1207">
        <v>2.75</v>
      </c>
      <c r="F397" s="1208">
        <v>0.9</v>
      </c>
      <c r="G397" s="1208">
        <v>0</v>
      </c>
      <c r="H397" s="1208">
        <v>1.35</v>
      </c>
      <c r="I397" s="1209">
        <f>ROUND(IF(AND(F397:H397),C397*E397*F397*G397*H397,IF(AND(F397,G397),C397*E397*F397*G397,IF(AND(F397,H397),C397*E397*F397*H397,IF(AND(G397,H397),C397*E397*G397*H397,IF(F397,C397*E397*F397,IF(G397,C397*E397*G397,IF(H397,C397*E397*H397,C397*E397))))))),2)</f>
        <v>30.07</v>
      </c>
      <c r="J397" s="1094"/>
      <c r="K397" s="1098"/>
    </row>
    <row r="398" spans="1:21" s="961" customFormat="1" ht="11.25" hidden="1">
      <c r="A398" s="1092"/>
      <c r="B398" s="1093"/>
      <c r="C398" s="1131"/>
      <c r="D398" s="1154"/>
      <c r="E398" s="1145"/>
      <c r="F398" s="1093"/>
      <c r="G398" s="1093"/>
      <c r="H398" s="1093"/>
      <c r="I398" s="1106"/>
      <c r="J398" s="1097">
        <f>data1!G805</f>
        <v>133.91999999999999</v>
      </c>
      <c r="K398" s="1098">
        <f>ROUND((J398*I398),0)</f>
        <v>0</v>
      </c>
      <c r="T398" s="969">
        <f>K398</f>
        <v>0</v>
      </c>
    </row>
    <row r="399" spans="1:21" s="961" customFormat="1" ht="11.25" hidden="1">
      <c r="A399" s="1092"/>
      <c r="B399" s="1093"/>
      <c r="C399" s="1131"/>
      <c r="D399" s="1154"/>
      <c r="E399" s="1145"/>
      <c r="F399" s="1093"/>
      <c r="G399" s="1093"/>
      <c r="H399" s="1093"/>
      <c r="I399" s="1107" t="s">
        <v>114</v>
      </c>
      <c r="J399" s="1094"/>
      <c r="K399" s="1098"/>
    </row>
    <row r="400" spans="1:21" s="961" customFormat="1" ht="11.25" hidden="1">
      <c r="A400" s="1092"/>
      <c r="B400" s="1093"/>
      <c r="C400" s="1131"/>
      <c r="D400" s="1154"/>
      <c r="E400" s="1145"/>
      <c r="F400" s="1093"/>
      <c r="G400" s="1093"/>
      <c r="H400" s="1093"/>
      <c r="I400" s="1107"/>
      <c r="J400" s="1094"/>
      <c r="K400" s="1098"/>
    </row>
    <row r="401" spans="1:21" s="961" customFormat="1" ht="11.25" hidden="1">
      <c r="A401" s="1092">
        <v>24</v>
      </c>
      <c r="B401" s="1093" t="s">
        <v>1418</v>
      </c>
      <c r="C401" s="1131">
        <v>1</v>
      </c>
      <c r="D401" s="1154"/>
      <c r="E401" s="1145"/>
      <c r="F401" s="1093">
        <v>2.4</v>
      </c>
      <c r="G401" s="1093"/>
      <c r="H401" s="1093">
        <v>2</v>
      </c>
      <c r="I401" s="1107">
        <f>C401*F401*H401</f>
        <v>4.8</v>
      </c>
      <c r="J401" s="1094"/>
      <c r="K401" s="1098"/>
    </row>
    <row r="402" spans="1:21" s="961" customFormat="1" ht="11.25" hidden="1">
      <c r="A402" s="1092"/>
      <c r="B402" s="1093" t="s">
        <v>1419</v>
      </c>
      <c r="C402" s="1131"/>
      <c r="D402" s="1154"/>
      <c r="E402" s="1145"/>
      <c r="F402" s="1093"/>
      <c r="G402" s="1093"/>
      <c r="H402" s="1093"/>
      <c r="I402" s="1107">
        <v>48</v>
      </c>
      <c r="J402" s="1094"/>
      <c r="K402" s="1098"/>
    </row>
    <row r="403" spans="1:21" s="961" customFormat="1" ht="11.25" hidden="1">
      <c r="A403" s="1092"/>
      <c r="B403" s="1093"/>
      <c r="C403" s="1131"/>
      <c r="D403" s="1154"/>
      <c r="E403" s="1145"/>
      <c r="F403" s="1093"/>
      <c r="G403" s="1093"/>
      <c r="H403" s="1093"/>
      <c r="I403" s="1107">
        <f>I401*I402</f>
        <v>230.39999999999998</v>
      </c>
      <c r="J403" s="1093"/>
      <c r="K403" s="1093"/>
    </row>
    <row r="404" spans="1:21" s="961" customFormat="1" ht="11.25" hidden="1">
      <c r="A404" s="1092"/>
      <c r="B404" s="1093"/>
      <c r="C404" s="1131"/>
      <c r="D404" s="1154"/>
      <c r="E404" s="1145"/>
      <c r="F404" s="1093"/>
      <c r="G404" s="1093"/>
      <c r="H404" s="1093" t="s">
        <v>1420</v>
      </c>
      <c r="I404" s="1107"/>
      <c r="J404" s="1097">
        <f>J407</f>
        <v>51205</v>
      </c>
      <c r="K404" s="1098">
        <f>ROUND((J404*I404/1000),0)</f>
        <v>0</v>
      </c>
      <c r="S404" s="969">
        <f>ROUND(I404*data1!O345/1000,0)</f>
        <v>0</v>
      </c>
      <c r="T404" s="981">
        <f>ROUND((data1!P345*I404)/1000,0)</f>
        <v>0</v>
      </c>
      <c r="U404" s="961">
        <f>SUM(L404:T404)</f>
        <v>0</v>
      </c>
    </row>
    <row r="405" spans="1:21" s="961" customFormat="1" ht="124.5" customHeight="1">
      <c r="A405" s="1092">
        <v>24</v>
      </c>
      <c r="B405" s="1289" t="s">
        <v>1186</v>
      </c>
      <c r="C405" s="1289" t="s">
        <v>103</v>
      </c>
      <c r="D405" s="1289"/>
      <c r="E405" s="1289"/>
      <c r="F405" s="1289"/>
      <c r="G405" s="1289"/>
      <c r="H405" s="1289"/>
      <c r="I405" s="1107"/>
      <c r="J405" s="1093"/>
      <c r="K405" s="1093"/>
    </row>
    <row r="406" spans="1:21" s="961" customFormat="1" ht="11.25">
      <c r="A406" s="1092"/>
      <c r="B406" s="1107" t="s">
        <v>1187</v>
      </c>
      <c r="C406" s="1210"/>
      <c r="D406" s="1211"/>
      <c r="E406" s="1212"/>
      <c r="F406" s="1094"/>
      <c r="G406" s="1118"/>
      <c r="H406" s="1093"/>
      <c r="I406" s="1106">
        <v>4000</v>
      </c>
      <c r="J406" s="1094"/>
      <c r="K406" s="1098"/>
    </row>
    <row r="407" spans="1:21" s="961" customFormat="1" ht="11.25">
      <c r="A407" s="1092"/>
      <c r="B407" s="1093"/>
      <c r="C407" s="1131"/>
      <c r="D407" s="1154"/>
      <c r="E407" s="1145"/>
      <c r="F407" s="1093"/>
      <c r="G407" s="1093"/>
      <c r="H407" s="1093"/>
      <c r="I407" s="1106">
        <f>SUM(I406:I406)</f>
        <v>4000</v>
      </c>
      <c r="J407" s="1097">
        <f>data1!G345</f>
        <v>51205</v>
      </c>
      <c r="K407" s="1098">
        <f>ROUND((J407*I407/1000),0)</f>
        <v>204820</v>
      </c>
      <c r="S407" s="969">
        <f>ROUND(I407*data1!O345/1000,0)</f>
        <v>161700</v>
      </c>
      <c r="T407" s="981">
        <f>ROUND((data1!P345*I407)/1000,0)</f>
        <v>43120</v>
      </c>
      <c r="U407" s="961">
        <f>SUM(L407:T407)</f>
        <v>204820</v>
      </c>
    </row>
    <row r="408" spans="1:21" s="961" customFormat="1" ht="14.25" customHeight="1">
      <c r="A408" s="1092"/>
      <c r="B408" s="1127"/>
      <c r="C408" s="1131"/>
      <c r="D408" s="1154"/>
      <c r="E408" s="1145"/>
      <c r="F408" s="1093"/>
      <c r="G408" s="1093"/>
      <c r="H408" s="1093"/>
      <c r="I408" s="1107" t="s">
        <v>113</v>
      </c>
      <c r="J408" s="1094" t="s">
        <v>113</v>
      </c>
      <c r="K408" s="1098"/>
    </row>
    <row r="409" spans="1:21" s="961" customFormat="1" ht="14.25" customHeight="1">
      <c r="A409" s="1092"/>
      <c r="B409" s="1127"/>
      <c r="C409" s="1131"/>
      <c r="D409" s="1154"/>
      <c r="E409" s="1145"/>
      <c r="F409" s="1093"/>
      <c r="G409" s="1093"/>
      <c r="H409" s="1093"/>
      <c r="I409" s="1107"/>
      <c r="J409" s="1094"/>
      <c r="K409" s="1098"/>
    </row>
    <row r="410" spans="1:21" s="961" customFormat="1" ht="18" customHeight="1">
      <c r="A410" s="1092"/>
      <c r="B410" s="1127"/>
      <c r="C410" s="1131"/>
      <c r="D410" s="1154"/>
      <c r="E410" s="1145"/>
      <c r="F410" s="1093"/>
      <c r="G410" s="1093"/>
      <c r="H410" s="1093"/>
      <c r="I410" s="1107"/>
      <c r="J410" s="1094"/>
      <c r="K410" s="1164">
        <f t="shared" ref="K410:U410" si="35">SUM(K8:K409)</f>
        <v>1471734</v>
      </c>
      <c r="L410" s="969">
        <f t="shared" si="35"/>
        <v>10169</v>
      </c>
      <c r="M410" s="969">
        <f t="shared" si="35"/>
        <v>114719.18</v>
      </c>
      <c r="N410" s="969">
        <f t="shared" si="35"/>
        <v>69447</v>
      </c>
      <c r="O410" s="969">
        <f t="shared" si="35"/>
        <v>20509.979999999996</v>
      </c>
      <c r="P410" s="969">
        <f t="shared" si="35"/>
        <v>57005.71</v>
      </c>
      <c r="Q410" s="969">
        <f t="shared" si="35"/>
        <v>60231.539999999994</v>
      </c>
      <c r="R410" s="969">
        <f t="shared" si="35"/>
        <v>27637.37</v>
      </c>
      <c r="S410" s="969">
        <f t="shared" si="35"/>
        <v>161700</v>
      </c>
      <c r="T410" s="969">
        <f t="shared" si="35"/>
        <v>900370.97</v>
      </c>
      <c r="U410" s="969">
        <f t="shared" si="35"/>
        <v>1421790.7</v>
      </c>
    </row>
    <row r="411" spans="1:21" s="994" customFormat="1">
      <c r="A411" s="1128"/>
      <c r="B411" s="1128"/>
      <c r="C411" s="1141"/>
      <c r="D411" s="1160"/>
      <c r="E411" s="1151"/>
      <c r="F411" s="1128"/>
      <c r="G411" s="1128"/>
      <c r="H411" s="1128"/>
      <c r="I411" s="1129"/>
      <c r="J411" s="1128"/>
      <c r="K411" s="1130">
        <f>SUM(K410:K410)</f>
        <v>1471734</v>
      </c>
    </row>
    <row r="412" spans="1:21" s="994" customFormat="1">
      <c r="D412" s="1161"/>
      <c r="E412" s="1088"/>
      <c r="I412" s="995"/>
      <c r="K412" s="996"/>
    </row>
    <row r="413" spans="1:21" s="994" customFormat="1">
      <c r="D413" s="1161"/>
      <c r="E413" s="1088"/>
      <c r="I413" s="995"/>
      <c r="K413" s="996"/>
    </row>
    <row r="414" spans="1:21" s="994" customFormat="1">
      <c r="D414" s="1161"/>
      <c r="E414" s="1088"/>
      <c r="G414" s="997" t="str">
        <f>'lead 1'!I37</f>
        <v>Deputy Executive Engineer</v>
      </c>
      <c r="I414" s="995"/>
      <c r="J414" s="997" t="str">
        <f>'lead 1'!L37</f>
        <v>Assistant Engineer</v>
      </c>
      <c r="K414" s="998"/>
      <c r="L414" s="997"/>
    </row>
    <row r="415" spans="1:21">
      <c r="G415" s="997" t="str">
        <f>'lead 1'!I38</f>
        <v>PRI Sub Division</v>
      </c>
      <c r="J415" s="997" t="str">
        <f>'lead 1'!L38</f>
        <v>Mandal Praja parishad</v>
      </c>
      <c r="K415" s="1000"/>
      <c r="L415" s="1000"/>
    </row>
    <row r="416" spans="1:21" s="994" customFormat="1">
      <c r="C416" s="977"/>
      <c r="D416" s="985"/>
      <c r="E416" s="980"/>
      <c r="F416" s="977"/>
      <c r="G416" s="997" t="str">
        <f>'lead 1'!I39</f>
        <v>Kanigiri</v>
      </c>
      <c r="I416" s="965"/>
      <c r="J416" s="997" t="str">
        <f>'lead 1'!L39</f>
        <v>H.M.Padu</v>
      </c>
      <c r="K416" s="1000"/>
      <c r="L416" s="1000"/>
    </row>
    <row r="417" spans="2:13" s="994" customFormat="1">
      <c r="C417" s="977"/>
      <c r="D417" s="985"/>
      <c r="E417" s="980"/>
      <c r="F417" s="977"/>
      <c r="G417" s="1001"/>
      <c r="I417" s="995"/>
      <c r="J417" s="1002"/>
      <c r="K417" s="1002"/>
      <c r="L417" s="1002"/>
    </row>
    <row r="419" spans="2:13">
      <c r="B419" s="1003"/>
      <c r="C419" s="1003"/>
      <c r="D419" s="1163"/>
      <c r="E419" s="1090"/>
      <c r="F419" s="1003"/>
      <c r="G419" s="1003"/>
      <c r="H419" s="1003"/>
      <c r="I419" s="1004"/>
      <c r="J419" s="1003"/>
      <c r="K419" s="1003"/>
    </row>
    <row r="420" spans="2:13">
      <c r="B420" s="1003"/>
      <c r="C420" s="1003"/>
      <c r="D420" s="1163"/>
      <c r="E420" s="1090"/>
      <c r="F420" s="1003"/>
      <c r="G420" s="1003"/>
      <c r="H420" s="1003"/>
      <c r="I420" s="1004"/>
      <c r="J420" s="1003"/>
      <c r="K420" s="1003"/>
      <c r="M420" s="1005"/>
    </row>
  </sheetData>
  <mergeCells count="57">
    <mergeCell ref="B353:H353"/>
    <mergeCell ref="B345:H345"/>
    <mergeCell ref="B321:H321"/>
    <mergeCell ref="B56:H56"/>
    <mergeCell ref="B330:H330"/>
    <mergeCell ref="B314:H314"/>
    <mergeCell ref="B325:H325"/>
    <mergeCell ref="B229:H229"/>
    <mergeCell ref="B116:H116"/>
    <mergeCell ref="B140:H140"/>
    <mergeCell ref="B162:H162"/>
    <mergeCell ref="B214:H214"/>
    <mergeCell ref="B239:H239"/>
    <mergeCell ref="B240:F240"/>
    <mergeCell ref="B255:H255"/>
    <mergeCell ref="B174:H174"/>
    <mergeCell ref="A1:K1"/>
    <mergeCell ref="F5:H5"/>
    <mergeCell ref="C5:C6"/>
    <mergeCell ref="B5:B6"/>
    <mergeCell ref="A5:A6"/>
    <mergeCell ref="J5:J6"/>
    <mergeCell ref="K5:K6"/>
    <mergeCell ref="A2:K2"/>
    <mergeCell ref="C3:K3"/>
    <mergeCell ref="B34:H34"/>
    <mergeCell ref="B167:H167"/>
    <mergeCell ref="U5:U6"/>
    <mergeCell ref="B8:H8"/>
    <mergeCell ref="B30:H30"/>
    <mergeCell ref="L5:L6"/>
    <mergeCell ref="M5:M6"/>
    <mergeCell ref="N5:N6"/>
    <mergeCell ref="O5:O6"/>
    <mergeCell ref="P5:P6"/>
    <mergeCell ref="Q5:Q6"/>
    <mergeCell ref="I5:I6"/>
    <mergeCell ref="T5:T6"/>
    <mergeCell ref="R5:R6"/>
    <mergeCell ref="S5:S6"/>
    <mergeCell ref="B88:H88"/>
    <mergeCell ref="B405:H405"/>
    <mergeCell ref="B389:H389"/>
    <mergeCell ref="B393:H393"/>
    <mergeCell ref="B45:H45"/>
    <mergeCell ref="B354:H354"/>
    <mergeCell ref="B358:H358"/>
    <mergeCell ref="B362:H362"/>
    <mergeCell ref="B366:H366"/>
    <mergeCell ref="B379:H379"/>
    <mergeCell ref="B382:H382"/>
    <mergeCell ref="B301:H301"/>
    <mergeCell ref="B264:H264"/>
    <mergeCell ref="B376:H376"/>
    <mergeCell ref="B373:H373"/>
    <mergeCell ref="B289:H289"/>
    <mergeCell ref="B370:H370"/>
  </mergeCells>
  <phoneticPr fontId="4" type="noConversion"/>
  <printOptions horizontalCentered="1" gridLines="1"/>
  <pageMargins left="0.53" right="0.25" top="0.5" bottom="0.5" header="0.5" footer="0.5"/>
  <pageSetup paperSize="9" orientation="portrait" horizontalDpi="4294967293" verticalDpi="300" r:id="rId1"/>
  <headerFooter alignWithMargins="0"/>
</worksheet>
</file>

<file path=xl/worksheets/sheet10.xml><?xml version="1.0" encoding="utf-8"?>
<worksheet xmlns="http://schemas.openxmlformats.org/spreadsheetml/2006/main" xmlns:r="http://schemas.openxmlformats.org/officeDocument/2006/relationships">
  <sheetPr>
    <tabColor rgb="FF00B0F0"/>
  </sheetPr>
  <dimension ref="A1:V283"/>
  <sheetViews>
    <sheetView view="pageBreakPreview" zoomScaleSheetLayoutView="100" workbookViewId="0">
      <pane ySplit="6" topLeftCell="A115" activePane="bottomLeft" state="frozen"/>
      <selection activeCell="G348" sqref="G348"/>
      <selection pane="bottomLeft" activeCell="A116" sqref="A116:XFD119"/>
    </sheetView>
  </sheetViews>
  <sheetFormatPr defaultRowHeight="12.75"/>
  <cols>
    <col min="1" max="1" width="3" style="959" customWidth="1"/>
    <col min="2" max="2" width="31.7109375" style="959" customWidth="1"/>
    <col min="3" max="5" width="5" style="959" customWidth="1"/>
    <col min="6" max="6" width="6.42578125" style="959" customWidth="1"/>
    <col min="7" max="7" width="7.5703125" style="959" customWidth="1"/>
    <col min="8" max="8" width="5.42578125" style="959" customWidth="1"/>
    <col min="9" max="9" width="9.140625" style="959"/>
    <col min="10" max="10" width="7.140625" style="959" customWidth="1"/>
    <col min="11" max="11" width="7.42578125" style="959" customWidth="1"/>
    <col min="12" max="12" width="7.28515625" style="959" customWidth="1"/>
    <col min="13" max="16384" width="9.140625" style="959"/>
  </cols>
  <sheetData>
    <row r="1" spans="1:21" s="948" customFormat="1" ht="16.5">
      <c r="A1" s="1296" t="s">
        <v>93</v>
      </c>
      <c r="B1" s="1296"/>
      <c r="C1" s="1296"/>
      <c r="D1" s="1296"/>
      <c r="E1" s="1296"/>
      <c r="F1" s="1296"/>
      <c r="G1" s="1296"/>
      <c r="H1" s="1296"/>
      <c r="I1" s="1296"/>
      <c r="J1" s="1296"/>
      <c r="K1" s="1296"/>
    </row>
    <row r="2" spans="1:21" s="948" customFormat="1" ht="32.25" customHeight="1">
      <c r="A2" s="1313" t="str">
        <f>'ground floor'!A2:K2</f>
        <v>Name of the Work: Constrution of Bharat Nirman Seva Kendra (BNSK) Grama Panchayat building in Gayamvaripalli  GP of H.M.Padu Mandal</v>
      </c>
      <c r="B2" s="1313"/>
      <c r="C2" s="1313"/>
      <c r="D2" s="1313"/>
      <c r="E2" s="1313"/>
      <c r="F2" s="1313"/>
      <c r="G2" s="1313"/>
      <c r="H2" s="1313"/>
      <c r="I2" s="1313"/>
      <c r="J2" s="1313"/>
      <c r="K2" s="1313"/>
    </row>
    <row r="3" spans="1:21" s="948" customFormat="1" ht="11.25" customHeight="1">
      <c r="B3" s="1006" t="s">
        <v>728</v>
      </c>
      <c r="C3" s="1007" t="s">
        <v>729</v>
      </c>
      <c r="D3" s="1007"/>
      <c r="E3" s="1007"/>
      <c r="F3" s="1007"/>
      <c r="G3" s="1007"/>
      <c r="H3" s="1007"/>
      <c r="I3" s="1008"/>
      <c r="J3" s="1009"/>
      <c r="K3" s="956"/>
    </row>
    <row r="4" spans="1:21" s="948" customFormat="1" ht="18" customHeight="1">
      <c r="A4" s="951"/>
      <c r="B4" s="1010"/>
      <c r="C4" s="1011"/>
      <c r="D4" s="1011"/>
      <c r="E4" s="1011"/>
      <c r="F4" s="956"/>
      <c r="G4" s="956"/>
      <c r="H4" s="1314"/>
      <c r="I4" s="1314"/>
      <c r="J4" s="1314"/>
      <c r="K4" s="956"/>
    </row>
    <row r="5" spans="1:21" s="960" customFormat="1" ht="39.75" customHeight="1">
      <c r="A5" s="1315" t="s">
        <v>368</v>
      </c>
      <c r="B5" s="1317" t="s">
        <v>94</v>
      </c>
      <c r="C5" s="1317" t="s">
        <v>95</v>
      </c>
      <c r="D5" s="1085"/>
      <c r="E5" s="1085"/>
      <c r="F5" s="1319" t="s">
        <v>96</v>
      </c>
      <c r="G5" s="1320"/>
      <c r="H5" s="1321"/>
      <c r="I5" s="1317" t="s">
        <v>100</v>
      </c>
      <c r="J5" s="1317" t="s">
        <v>101</v>
      </c>
      <c r="K5" s="1317" t="s">
        <v>102</v>
      </c>
      <c r="L5" s="1012" t="s">
        <v>795</v>
      </c>
      <c r="M5" s="1012" t="s">
        <v>796</v>
      </c>
      <c r="N5" s="1012" t="s">
        <v>797</v>
      </c>
      <c r="O5" s="1012" t="s">
        <v>798</v>
      </c>
      <c r="P5" s="1012" t="s">
        <v>859</v>
      </c>
      <c r="Q5" s="1012" t="s">
        <v>799</v>
      </c>
      <c r="R5" s="1012" t="s">
        <v>800</v>
      </c>
      <c r="S5" s="1012" t="s">
        <v>855</v>
      </c>
      <c r="T5" s="1012" t="s">
        <v>801</v>
      </c>
      <c r="U5" s="1012" t="s">
        <v>790</v>
      </c>
    </row>
    <row r="6" spans="1:21" s="961" customFormat="1" ht="10.5" customHeight="1">
      <c r="A6" s="1316"/>
      <c r="B6" s="1316"/>
      <c r="C6" s="1316"/>
      <c r="D6" s="1074"/>
      <c r="E6" s="1074"/>
      <c r="F6" s="1013" t="s">
        <v>97</v>
      </c>
      <c r="G6" s="1013" t="s">
        <v>98</v>
      </c>
      <c r="H6" s="1013" t="s">
        <v>99</v>
      </c>
      <c r="I6" s="1316"/>
      <c r="J6" s="1316"/>
      <c r="K6" s="1316"/>
      <c r="L6" s="1014"/>
      <c r="M6" s="1014"/>
      <c r="N6" s="1014"/>
      <c r="O6" s="1014"/>
      <c r="P6" s="1014"/>
      <c r="Q6" s="1014"/>
      <c r="R6" s="1014"/>
      <c r="S6" s="1014"/>
      <c r="T6" s="1014"/>
      <c r="U6" s="1014"/>
    </row>
    <row r="7" spans="1:21">
      <c r="A7" s="958">
        <v>1</v>
      </c>
      <c r="B7" s="958">
        <v>2</v>
      </c>
      <c r="C7" s="958">
        <v>3</v>
      </c>
      <c r="D7" s="958"/>
      <c r="E7" s="958"/>
      <c r="F7" s="958">
        <v>4</v>
      </c>
      <c r="G7" s="958">
        <v>5</v>
      </c>
      <c r="H7" s="958">
        <v>6</v>
      </c>
      <c r="I7" s="958">
        <v>7</v>
      </c>
      <c r="J7" s="958">
        <v>8</v>
      </c>
      <c r="K7" s="958">
        <v>9</v>
      </c>
    </row>
    <row r="8" spans="1:21" s="961" customFormat="1" ht="151.5" customHeight="1">
      <c r="A8" s="960">
        <v>1</v>
      </c>
      <c r="B8" s="1318" t="s">
        <v>1944</v>
      </c>
      <c r="C8" s="1318"/>
      <c r="D8" s="1318"/>
      <c r="E8" s="1318"/>
      <c r="F8" s="1318"/>
      <c r="G8" s="1318"/>
      <c r="H8" s="1318"/>
      <c r="J8" s="962"/>
      <c r="K8" s="969"/>
    </row>
    <row r="9" spans="1:21" s="961" customFormat="1" ht="12" customHeight="1">
      <c r="A9" s="960"/>
      <c r="B9" s="978" t="s">
        <v>1073</v>
      </c>
      <c r="C9" s="972"/>
      <c r="D9" s="972"/>
      <c r="E9" s="972"/>
      <c r="F9" s="973"/>
      <c r="G9" s="973"/>
      <c r="H9" s="973"/>
      <c r="I9" s="973"/>
      <c r="J9" s="962"/>
      <c r="K9" s="969"/>
    </row>
    <row r="10" spans="1:21" s="961" customFormat="1" ht="12" customHeight="1">
      <c r="A10" s="960"/>
      <c r="B10" s="971" t="s">
        <v>1068</v>
      </c>
      <c r="C10" s="972">
        <v>1</v>
      </c>
      <c r="D10" s="972"/>
      <c r="E10" s="972"/>
      <c r="F10" s="973">
        <v>0.23</v>
      </c>
      <c r="G10" s="973">
        <v>0.23</v>
      </c>
      <c r="H10" s="973">
        <v>3.3</v>
      </c>
      <c r="I10" s="973">
        <f>ROUND(C10*F10*G10*H10,2)</f>
        <v>0.17</v>
      </c>
      <c r="J10" s="962"/>
      <c r="K10" s="969"/>
    </row>
    <row r="11" spans="1:21" s="961" customFormat="1" ht="12" customHeight="1">
      <c r="A11" s="960"/>
      <c r="B11" s="971" t="s">
        <v>1069</v>
      </c>
      <c r="C11" s="972">
        <v>6</v>
      </c>
      <c r="D11" s="972"/>
      <c r="E11" s="972"/>
      <c r="F11" s="973">
        <v>0.23</v>
      </c>
      <c r="G11" s="973">
        <v>0.23</v>
      </c>
      <c r="H11" s="973">
        <v>3.3</v>
      </c>
      <c r="I11" s="973">
        <f>ROUND(C11*F11*G11*H11,2)</f>
        <v>1.05</v>
      </c>
      <c r="J11" s="962"/>
      <c r="K11" s="969"/>
    </row>
    <row r="12" spans="1:21" s="961" customFormat="1" ht="12" customHeight="1">
      <c r="A12" s="960"/>
      <c r="B12" s="971" t="s">
        <v>1070</v>
      </c>
      <c r="C12" s="972">
        <v>1</v>
      </c>
      <c r="D12" s="972"/>
      <c r="E12" s="972"/>
      <c r="F12" s="973">
        <v>0.23</v>
      </c>
      <c r="G12" s="973">
        <v>0.23</v>
      </c>
      <c r="H12" s="973">
        <v>3.3</v>
      </c>
      <c r="I12" s="973">
        <f>ROUND(C12*F12*G12*H12,2)</f>
        <v>0.17</v>
      </c>
      <c r="J12" s="962"/>
      <c r="K12" s="969"/>
    </row>
    <row r="13" spans="1:21" s="961" customFormat="1" ht="12" customHeight="1">
      <c r="A13" s="960"/>
      <c r="B13" s="971" t="s">
        <v>1071</v>
      </c>
      <c r="C13" s="972">
        <v>5</v>
      </c>
      <c r="D13" s="972"/>
      <c r="E13" s="972"/>
      <c r="F13" s="973">
        <v>0.23</v>
      </c>
      <c r="G13" s="973">
        <v>0.23</v>
      </c>
      <c r="H13" s="973">
        <v>3.3</v>
      </c>
      <c r="I13" s="973">
        <f>ROUND(C13*F13*G13*H13,2)</f>
        <v>0.87</v>
      </c>
      <c r="J13" s="962"/>
      <c r="K13" s="969"/>
    </row>
    <row r="14" spans="1:21" s="961" customFormat="1" ht="12" customHeight="1">
      <c r="A14" s="960"/>
      <c r="B14" s="971" t="s">
        <v>1072</v>
      </c>
      <c r="C14" s="972">
        <v>2</v>
      </c>
      <c r="D14" s="972"/>
      <c r="E14" s="972"/>
      <c r="F14" s="973">
        <v>0.23</v>
      </c>
      <c r="G14" s="973">
        <v>0.23</v>
      </c>
      <c r="H14" s="973">
        <v>3.3</v>
      </c>
      <c r="I14" s="973">
        <f>ROUND(C14*F14*G14*H14,2)</f>
        <v>0.35</v>
      </c>
      <c r="J14" s="962"/>
      <c r="K14" s="969"/>
    </row>
    <row r="15" spans="1:21" s="961" customFormat="1" ht="12" customHeight="1">
      <c r="A15" s="960"/>
      <c r="B15" s="971" t="s">
        <v>1057</v>
      </c>
      <c r="C15" s="972"/>
      <c r="D15" s="972"/>
      <c r="E15" s="972"/>
      <c r="F15" s="973"/>
      <c r="G15" s="973"/>
      <c r="H15" s="973"/>
      <c r="I15" s="973">
        <v>0.04</v>
      </c>
      <c r="J15" s="962"/>
      <c r="K15" s="969"/>
    </row>
    <row r="16" spans="1:21" s="961" customFormat="1" ht="11.25">
      <c r="A16" s="960"/>
      <c r="C16" s="1015"/>
      <c r="D16" s="1015"/>
      <c r="E16" s="1015"/>
      <c r="F16" s="1015"/>
      <c r="G16" s="1015"/>
      <c r="H16" s="1015"/>
      <c r="I16" s="963"/>
      <c r="J16" s="970">
        <f>data1!F256</f>
        <v>9429.5619999999999</v>
      </c>
      <c r="K16" s="969">
        <f>ROUND((J16*I16),0)</f>
        <v>0</v>
      </c>
      <c r="L16" s="961">
        <f>ROUND($I$16*J321,2)</f>
        <v>0</v>
      </c>
      <c r="M16" s="961">
        <f>ROUND(data1!I257*'first floor'!$I$16,0)</f>
        <v>0</v>
      </c>
      <c r="N16" s="961">
        <f>ROUND(data1!J257*'first floor'!$I$16,2)</f>
        <v>0</v>
      </c>
      <c r="O16" s="961">
        <f>ROUND(data1!K257*'first floor'!$I$16,2)</f>
        <v>0</v>
      </c>
      <c r="P16" s="961">
        <f>ROUND(data1!L257*'first floor'!$I$16,0)</f>
        <v>0</v>
      </c>
      <c r="Q16" s="961">
        <f>ROUND(data1!M257*'first floor'!$I$16,0)</f>
        <v>0</v>
      </c>
      <c r="R16" s="961">
        <f>ROUND(data1!N257*'first floor'!$I$16,2)</f>
        <v>0</v>
      </c>
      <c r="S16" s="961">
        <f>ROUND(data1!O257*'first floor'!$I$16,2)</f>
        <v>0</v>
      </c>
      <c r="T16" s="961">
        <f>ROUND(data1!P257*'first floor'!$I$16,0)</f>
        <v>0</v>
      </c>
      <c r="U16" s="961">
        <f>SUM(L16:T16)</f>
        <v>0</v>
      </c>
    </row>
    <row r="17" spans="1:21" s="961" customFormat="1" ht="11.25">
      <c r="A17" s="960"/>
      <c r="I17" s="962" t="s">
        <v>112</v>
      </c>
      <c r="J17" s="962" t="s">
        <v>112</v>
      </c>
      <c r="K17" s="969"/>
    </row>
    <row r="18" spans="1:21" s="961" customFormat="1" ht="11.25">
      <c r="A18" s="960"/>
      <c r="B18" s="983" t="s">
        <v>1087</v>
      </c>
      <c r="G18" s="965"/>
      <c r="H18" s="965"/>
      <c r="I18" s="973"/>
      <c r="J18" s="962"/>
      <c r="K18" s="969"/>
    </row>
    <row r="19" spans="1:21" s="961" customFormat="1" ht="11.25">
      <c r="A19" s="960"/>
      <c r="B19" s="980" t="s">
        <v>1080</v>
      </c>
      <c r="C19" s="961">
        <v>1</v>
      </c>
      <c r="F19" s="961">
        <v>2.95</v>
      </c>
      <c r="G19" s="965">
        <v>0.115</v>
      </c>
      <c r="H19" s="965">
        <v>0.15</v>
      </c>
      <c r="I19" s="973">
        <f>ROUND(C19*F19*G19*H19,2)</f>
        <v>0.05</v>
      </c>
      <c r="J19" s="962"/>
      <c r="K19" s="969"/>
    </row>
    <row r="20" spans="1:21" s="961" customFormat="1" ht="11.25">
      <c r="A20" s="960"/>
      <c r="B20" s="980" t="s">
        <v>1199</v>
      </c>
      <c r="C20" s="961">
        <v>2</v>
      </c>
      <c r="F20" s="961">
        <f>2.82+3.01+3.465+0.23</f>
        <v>9.5250000000000004</v>
      </c>
      <c r="G20" s="965">
        <v>0.23</v>
      </c>
      <c r="H20" s="965">
        <v>0.15</v>
      </c>
      <c r="I20" s="973">
        <f>ROUND(C20*F20*G20*H20,2)</f>
        <v>0.66</v>
      </c>
      <c r="J20" s="962"/>
      <c r="K20" s="969"/>
    </row>
    <row r="21" spans="1:21" s="961" customFormat="1" ht="11.25">
      <c r="A21" s="960"/>
      <c r="B21" s="980" t="s">
        <v>1200</v>
      </c>
      <c r="C21" s="961">
        <v>2</v>
      </c>
      <c r="F21" s="961">
        <f>2.82+3.01+3.465+0.23</f>
        <v>9.5250000000000004</v>
      </c>
      <c r="G21" s="965">
        <v>0.115</v>
      </c>
      <c r="H21" s="965">
        <v>0.15</v>
      </c>
      <c r="I21" s="973">
        <f>ROUND(C21*F21*G21*H21,2)</f>
        <v>0.33</v>
      </c>
      <c r="J21" s="962"/>
      <c r="K21" s="969"/>
    </row>
    <row r="22" spans="1:21" s="961" customFormat="1" ht="11.25">
      <c r="A22" s="960"/>
      <c r="B22" s="980" t="s">
        <v>1201</v>
      </c>
      <c r="C22" s="961">
        <v>1</v>
      </c>
      <c r="F22" s="961">
        <v>5.45</v>
      </c>
      <c r="G22" s="965">
        <v>0.23</v>
      </c>
      <c r="H22" s="965">
        <v>0.15</v>
      </c>
      <c r="I22" s="973">
        <f>ROUND(C22*F22*G22*H22,2)</f>
        <v>0.19</v>
      </c>
      <c r="J22" s="962"/>
      <c r="K22" s="969"/>
    </row>
    <row r="23" spans="1:21" s="961" customFormat="1" ht="11.25">
      <c r="A23" s="960"/>
      <c r="B23" s="980" t="s">
        <v>1202</v>
      </c>
      <c r="C23" s="961">
        <v>1</v>
      </c>
      <c r="F23" s="961">
        <f>3.39+5.22+0.23</f>
        <v>8.84</v>
      </c>
      <c r="G23" s="965">
        <v>0.23</v>
      </c>
      <c r="H23" s="965">
        <v>0.15</v>
      </c>
      <c r="I23" s="973">
        <f>ROUND(C23*F23*G23*H23,2)</f>
        <v>0.3</v>
      </c>
      <c r="J23" s="962"/>
      <c r="K23" s="969"/>
    </row>
    <row r="24" spans="1:21" s="961" customFormat="1" ht="11.25">
      <c r="A24" s="960"/>
      <c r="B24" s="980" t="s">
        <v>1081</v>
      </c>
      <c r="C24" s="961">
        <v>12</v>
      </c>
      <c r="F24" s="961">
        <v>0.23</v>
      </c>
      <c r="G24" s="965">
        <v>0.23</v>
      </c>
      <c r="H24" s="965">
        <v>0.15</v>
      </c>
      <c r="I24" s="973">
        <f>-ROUND(C24*F24*G24*H24,2)</f>
        <v>-0.1</v>
      </c>
      <c r="J24" s="962"/>
      <c r="K24" s="969"/>
    </row>
    <row r="25" spans="1:21" s="961" customFormat="1" ht="11.25">
      <c r="A25" s="960"/>
      <c r="B25" s="980" t="s">
        <v>1057</v>
      </c>
      <c r="G25" s="965"/>
      <c r="H25" s="965"/>
      <c r="I25" s="973">
        <v>0.02</v>
      </c>
      <c r="J25" s="962"/>
      <c r="K25" s="969"/>
    </row>
    <row r="26" spans="1:21" s="961" customFormat="1" ht="11.25">
      <c r="A26" s="960"/>
      <c r="I26" s="970"/>
      <c r="J26" s="970">
        <f>data1!F245</f>
        <v>9471.2620000000006</v>
      </c>
      <c r="K26" s="969">
        <f>ROUND((J26*I26),0)</f>
        <v>0</v>
      </c>
      <c r="L26" s="961">
        <f>ROUND($I$26*data1!H246,2)</f>
        <v>0</v>
      </c>
      <c r="M26" s="961">
        <f>ROUND($I$26*data1!I246,2)</f>
        <v>0</v>
      </c>
      <c r="N26" s="961">
        <f>ROUND($I$26*data1!J246,2)</f>
        <v>0</v>
      </c>
      <c r="O26" s="961">
        <f>ROUND($I$26*data1!K246,2)</f>
        <v>0</v>
      </c>
      <c r="P26" s="961">
        <f>ROUND($I$26*data1!L246,2)</f>
        <v>0</v>
      </c>
      <c r="Q26" s="961">
        <f>ROUND($I$26*data1!M246,2)</f>
        <v>0</v>
      </c>
      <c r="R26" s="961">
        <f>ROUND($I$26*data1!N246,2)</f>
        <v>0</v>
      </c>
      <c r="S26" s="961">
        <f>ROUND($I$26*data1!O246,2)</f>
        <v>0</v>
      </c>
      <c r="T26" s="961">
        <f>ROUND($I$26*data1!P246,2)</f>
        <v>0</v>
      </c>
      <c r="U26" s="961">
        <f>SUM(L26:T26)</f>
        <v>0</v>
      </c>
    </row>
    <row r="27" spans="1:21" s="961" customFormat="1" ht="11.25">
      <c r="A27" s="960"/>
      <c r="I27" s="962" t="s">
        <v>112</v>
      </c>
      <c r="J27" s="962" t="s">
        <v>112</v>
      </c>
      <c r="K27" s="969"/>
    </row>
    <row r="28" spans="1:21" s="961" customFormat="1" ht="161.25" customHeight="1">
      <c r="A28" s="960">
        <v>2</v>
      </c>
      <c r="B28" s="1310" t="s">
        <v>1947</v>
      </c>
      <c r="C28" s="1310"/>
      <c r="D28" s="1310"/>
      <c r="E28" s="1310"/>
      <c r="F28" s="1310"/>
      <c r="G28" s="1310"/>
      <c r="H28" s="1310"/>
      <c r="J28" s="962"/>
      <c r="K28" s="969"/>
    </row>
    <row r="29" spans="1:21" s="961" customFormat="1" ht="11.25">
      <c r="A29" s="960"/>
      <c r="B29" s="552" t="s">
        <v>1203</v>
      </c>
      <c r="I29" s="962"/>
      <c r="J29" s="962"/>
      <c r="K29" s="969"/>
    </row>
    <row r="30" spans="1:21" s="961" customFormat="1" ht="11.25">
      <c r="A30" s="960"/>
      <c r="B30" s="334" t="s">
        <v>381</v>
      </c>
      <c r="C30" s="961">
        <v>8</v>
      </c>
      <c r="F30" s="961">
        <v>1.8</v>
      </c>
      <c r="I30" s="965">
        <f>ROUND(F30*C30,2)</f>
        <v>14.4</v>
      </c>
      <c r="J30" s="962"/>
      <c r="K30" s="969"/>
    </row>
    <row r="31" spans="1:21" s="961" customFormat="1" ht="13.5" customHeight="1">
      <c r="A31" s="960"/>
      <c r="B31" s="334" t="s">
        <v>1211</v>
      </c>
      <c r="C31" s="971">
        <v>1</v>
      </c>
      <c r="D31" s="1075"/>
      <c r="E31" s="1075"/>
      <c r="F31" s="982">
        <v>8.6999999999999993</v>
      </c>
      <c r="G31" s="971"/>
      <c r="H31" s="971"/>
      <c r="I31" s="963">
        <f>ROUND(F31*C31,2)</f>
        <v>8.6999999999999993</v>
      </c>
      <c r="J31" s="962"/>
      <c r="K31" s="969"/>
    </row>
    <row r="32" spans="1:21" s="961" customFormat="1" ht="11.25">
      <c r="A32" s="960"/>
      <c r="B32" s="333"/>
      <c r="C32" s="962"/>
      <c r="D32" s="962"/>
      <c r="E32" s="962"/>
      <c r="F32" s="962"/>
      <c r="G32" s="962"/>
      <c r="H32" s="962"/>
      <c r="I32" s="962"/>
      <c r="J32" s="970">
        <f>data1!F331</f>
        <v>818.20800000000008</v>
      </c>
      <c r="K32" s="969">
        <f>ROUND((J32*I32),0)</f>
        <v>0</v>
      </c>
      <c r="L32" s="961">
        <f>ROUND($I$32*data1!H332,2)</f>
        <v>0</v>
      </c>
      <c r="M32" s="961">
        <f>ROUND($I$32*data1!I332,2)</f>
        <v>0</v>
      </c>
      <c r="N32" s="961">
        <f>ROUND($I$32*data1!J332,2)</f>
        <v>0</v>
      </c>
      <c r="O32" s="961">
        <f>ROUND($I$32*data1!K332,2)</f>
        <v>0</v>
      </c>
      <c r="P32" s="961">
        <f>ROUND($I$32*data1!L332,2)</f>
        <v>0</v>
      </c>
      <c r="Q32" s="961">
        <f>ROUND($I$32*data1!M332,2)</f>
        <v>0</v>
      </c>
      <c r="R32" s="961">
        <f>ROUND($I$32*data1!N332,2)</f>
        <v>0</v>
      </c>
      <c r="S32" s="961">
        <f>ROUND($I$32*data1!O332,2)</f>
        <v>0</v>
      </c>
      <c r="T32" s="961">
        <f>ROUND($I$32*data1!P332,2)</f>
        <v>0</v>
      </c>
      <c r="U32" s="961">
        <f>SUM(L32:T32)</f>
        <v>0</v>
      </c>
    </row>
    <row r="33" spans="1:21" s="961" customFormat="1" ht="11.25">
      <c r="A33" s="960"/>
      <c r="B33" s="333"/>
      <c r="C33" s="962"/>
      <c r="D33" s="962"/>
      <c r="E33" s="962"/>
      <c r="F33" s="962"/>
      <c r="G33" s="962"/>
      <c r="H33" s="962"/>
      <c r="I33" s="962" t="s">
        <v>73</v>
      </c>
      <c r="J33" s="962" t="s">
        <v>73</v>
      </c>
      <c r="K33" s="969"/>
    </row>
    <row r="34" spans="1:21" s="961" customFormat="1" ht="135.75" customHeight="1">
      <c r="A34" s="960">
        <v>3</v>
      </c>
      <c r="B34" s="1310" t="s">
        <v>1948</v>
      </c>
      <c r="C34" s="1310"/>
      <c r="D34" s="1310"/>
      <c r="E34" s="1310"/>
      <c r="F34" s="1310"/>
      <c r="G34" s="1310"/>
      <c r="H34" s="1310"/>
      <c r="J34" s="962"/>
      <c r="K34" s="969"/>
    </row>
    <row r="35" spans="1:21" s="961" customFormat="1" ht="11.25">
      <c r="A35" s="960"/>
      <c r="B35" s="983" t="s">
        <v>1204</v>
      </c>
      <c r="G35" s="965"/>
      <c r="H35" s="965"/>
      <c r="I35" s="979"/>
      <c r="J35" s="962"/>
      <c r="K35" s="969"/>
    </row>
    <row r="36" spans="1:21" s="961" customFormat="1" ht="11.25">
      <c r="A36" s="960"/>
      <c r="B36" s="980" t="s">
        <v>1085</v>
      </c>
      <c r="C36" s="961">
        <v>1</v>
      </c>
      <c r="F36" s="961">
        <v>12.475</v>
      </c>
      <c r="G36" s="965">
        <v>8.84</v>
      </c>
      <c r="H36" s="965"/>
      <c r="I36" s="973">
        <f>ROUND(C36*F36*G36,2)</f>
        <v>110.28</v>
      </c>
      <c r="J36" s="962"/>
      <c r="K36" s="969"/>
    </row>
    <row r="37" spans="1:21" s="961" customFormat="1" ht="11.25">
      <c r="A37" s="960"/>
      <c r="I37" s="970"/>
      <c r="J37" s="970">
        <f>data1!F295</f>
        <v>1185.4480000000001</v>
      </c>
      <c r="K37" s="969">
        <f>ROUND((J37*I37),0)</f>
        <v>0</v>
      </c>
      <c r="L37" s="961">
        <f>ROUND($I$37*data1!H296,2)</f>
        <v>0</v>
      </c>
      <c r="M37" s="961">
        <f>ROUND($I$37*data1!I296,2)</f>
        <v>0</v>
      </c>
      <c r="N37" s="961">
        <f>ROUND($I$37*data1!J296,2)</f>
        <v>0</v>
      </c>
      <c r="O37" s="961">
        <f>ROUND($I$37*data1!K296,2)</f>
        <v>0</v>
      </c>
      <c r="P37" s="961">
        <f>ROUND($I$37*data1!L296,2)</f>
        <v>0</v>
      </c>
      <c r="Q37" s="961">
        <f>ROUND($I$37*data1!M296,2)</f>
        <v>0</v>
      </c>
      <c r="R37" s="961">
        <f>ROUND($I$37*data1!N296,2)</f>
        <v>0</v>
      </c>
      <c r="S37" s="961">
        <f>ROUND($I$37*data1!O296,2)</f>
        <v>0</v>
      </c>
      <c r="T37" s="961">
        <f>ROUND($I$37*data1!P296,2)</f>
        <v>0</v>
      </c>
      <c r="U37" s="961">
        <f>SUM(L37:T37)</f>
        <v>0</v>
      </c>
    </row>
    <row r="38" spans="1:21" s="961" customFormat="1" ht="11.25">
      <c r="A38" s="960"/>
      <c r="I38" s="962" t="s">
        <v>114</v>
      </c>
      <c r="J38" s="962" t="s">
        <v>625</v>
      </c>
      <c r="K38" s="969"/>
    </row>
    <row r="39" spans="1:21" s="961" customFormat="1" ht="11.25">
      <c r="A39" s="960">
        <v>4</v>
      </c>
      <c r="B39" s="983" t="s">
        <v>1205</v>
      </c>
      <c r="C39" s="961">
        <v>1</v>
      </c>
      <c r="F39" s="961">
        <v>1.1499999999999999</v>
      </c>
      <c r="G39" s="961">
        <v>1</v>
      </c>
      <c r="I39" s="962">
        <f>ROUND(G39*F39*C39,2)</f>
        <v>1.1499999999999999</v>
      </c>
      <c r="J39" s="962"/>
      <c r="K39" s="969"/>
    </row>
    <row r="40" spans="1:21" s="961" customFormat="1" ht="11.25">
      <c r="A40" s="960"/>
      <c r="I40" s="962"/>
      <c r="J40" s="970">
        <f>data1!F307</f>
        <v>1684.1235999999999</v>
      </c>
      <c r="K40" s="969">
        <f>ROUND((J40*I40),0)</f>
        <v>0</v>
      </c>
      <c r="L40" s="961">
        <f>ROUND($I$40*data1!H308,2)</f>
        <v>0</v>
      </c>
      <c r="M40" s="961">
        <f>ROUND($I$40*data1!I308,2)</f>
        <v>0</v>
      </c>
      <c r="N40" s="961">
        <f>ROUND($I$40*data1!J308,2)</f>
        <v>0</v>
      </c>
      <c r="O40" s="961">
        <f>ROUND($I$40*data1!K308,2)</f>
        <v>0</v>
      </c>
      <c r="P40" s="961">
        <f>ROUND($I$40*data1!L308,2)</f>
        <v>0</v>
      </c>
      <c r="Q40" s="961">
        <f>ROUND($I$40*data1!M308,2)</f>
        <v>0</v>
      </c>
      <c r="R40" s="961">
        <f>ROUND($I$40*data1!N308,2)</f>
        <v>0</v>
      </c>
      <c r="S40" s="961">
        <f>ROUND($I$40*data1!O308,2)</f>
        <v>0</v>
      </c>
      <c r="T40" s="961">
        <f>ROUND($I$40*data1!P308,2)</f>
        <v>0</v>
      </c>
      <c r="U40" s="961">
        <f>ROUND($I$40*data1!Q308,2)</f>
        <v>0</v>
      </c>
    </row>
    <row r="41" spans="1:21" s="961" customFormat="1" ht="11.25">
      <c r="A41" s="960"/>
      <c r="I41" s="962" t="s">
        <v>114</v>
      </c>
      <c r="J41" s="962" t="s">
        <v>114</v>
      </c>
      <c r="K41" s="969"/>
    </row>
    <row r="42" spans="1:21" s="961" customFormat="1" ht="11.25">
      <c r="A42" s="960">
        <v>5</v>
      </c>
      <c r="B42" s="983" t="s">
        <v>1206</v>
      </c>
      <c r="G42" s="965"/>
      <c r="H42" s="965"/>
      <c r="I42" s="979"/>
      <c r="J42" s="962"/>
      <c r="K42" s="969"/>
    </row>
    <row r="43" spans="1:21" s="961" customFormat="1" ht="11.25">
      <c r="A43" s="960"/>
      <c r="B43" s="980" t="s">
        <v>1083</v>
      </c>
      <c r="C43" s="961">
        <v>1</v>
      </c>
      <c r="F43" s="961">
        <v>3.18</v>
      </c>
      <c r="G43" s="965">
        <v>0.23</v>
      </c>
      <c r="H43" s="963">
        <v>0.30000000000000004</v>
      </c>
      <c r="I43" s="973">
        <f t="shared" ref="I43:I48" si="0">ROUND(C43*F43*G43*H43,2)</f>
        <v>0.22</v>
      </c>
      <c r="J43" s="962"/>
      <c r="K43" s="969"/>
    </row>
    <row r="44" spans="1:21" s="961" customFormat="1" ht="11.25">
      <c r="A44" s="960"/>
      <c r="B44" s="980" t="s">
        <v>1077</v>
      </c>
      <c r="C44" s="961">
        <v>3</v>
      </c>
      <c r="F44" s="961">
        <v>12.475</v>
      </c>
      <c r="G44" s="965">
        <v>0.23</v>
      </c>
      <c r="H44" s="963">
        <v>0.3</v>
      </c>
      <c r="I44" s="973">
        <f t="shared" si="0"/>
        <v>2.58</v>
      </c>
      <c r="J44" s="962"/>
      <c r="K44" s="969"/>
    </row>
    <row r="45" spans="1:21" s="961" customFormat="1" ht="11.25">
      <c r="A45" s="960"/>
      <c r="B45" s="980" t="s">
        <v>1207</v>
      </c>
      <c r="C45" s="961">
        <v>5</v>
      </c>
      <c r="F45" s="961">
        <v>3.24</v>
      </c>
      <c r="G45" s="965">
        <v>0.23</v>
      </c>
      <c r="H45" s="963">
        <v>0.3</v>
      </c>
      <c r="I45" s="973">
        <f t="shared" si="0"/>
        <v>1.1200000000000001</v>
      </c>
      <c r="J45" s="962"/>
      <c r="K45" s="969"/>
    </row>
    <row r="46" spans="1:21" s="961" customFormat="1" ht="11.25">
      <c r="A46" s="960"/>
      <c r="B46" s="980" t="s">
        <v>1208</v>
      </c>
      <c r="C46" s="961">
        <v>5</v>
      </c>
      <c r="F46" s="981">
        <v>5.6</v>
      </c>
      <c r="G46" s="965">
        <v>0.23</v>
      </c>
      <c r="H46" s="963">
        <v>0.38</v>
      </c>
      <c r="I46" s="973">
        <f t="shared" si="0"/>
        <v>2.4500000000000002</v>
      </c>
      <c r="J46" s="962"/>
      <c r="K46" s="969"/>
    </row>
    <row r="47" spans="1:21" s="961" customFormat="1" ht="11.25">
      <c r="A47" s="960"/>
      <c r="B47" s="980" t="s">
        <v>1209</v>
      </c>
      <c r="C47" s="961">
        <v>1</v>
      </c>
      <c r="F47" s="981">
        <v>1</v>
      </c>
      <c r="G47" s="965">
        <v>0.23</v>
      </c>
      <c r="H47" s="965">
        <v>0.38</v>
      </c>
      <c r="I47" s="973">
        <f t="shared" si="0"/>
        <v>0.09</v>
      </c>
      <c r="J47" s="962"/>
      <c r="K47" s="969"/>
    </row>
    <row r="48" spans="1:21" s="961" customFormat="1" ht="11.25">
      <c r="A48" s="960"/>
      <c r="B48" s="980" t="s">
        <v>1210</v>
      </c>
      <c r="C48" s="961">
        <v>2</v>
      </c>
      <c r="F48" s="981">
        <v>1</v>
      </c>
      <c r="G48" s="965">
        <v>0.23</v>
      </c>
      <c r="H48" s="963">
        <v>0.3</v>
      </c>
      <c r="I48" s="973">
        <f t="shared" si="0"/>
        <v>0.14000000000000001</v>
      </c>
      <c r="J48" s="962"/>
      <c r="K48" s="969"/>
    </row>
    <row r="49" spans="1:21" s="961" customFormat="1" ht="11.25">
      <c r="A49" s="960"/>
      <c r="B49" s="980" t="s">
        <v>1064</v>
      </c>
      <c r="C49" s="961">
        <v>15</v>
      </c>
      <c r="F49" s="961">
        <v>0.23</v>
      </c>
      <c r="G49" s="965">
        <v>0.23</v>
      </c>
      <c r="H49" s="965">
        <v>0.38</v>
      </c>
      <c r="I49" s="973">
        <f>-ROUND(C49*F49*G49*H49,2)</f>
        <v>-0.3</v>
      </c>
      <c r="J49" s="962"/>
      <c r="K49" s="969"/>
    </row>
    <row r="50" spans="1:21" s="961" customFormat="1" ht="11.25" customHeight="1">
      <c r="A50" s="960"/>
      <c r="I50" s="963"/>
      <c r="J50" s="970">
        <f>data1!F283</f>
        <v>9094.5879999999997</v>
      </c>
      <c r="K50" s="969">
        <f>ROUND((J50*I50)/1,0)</f>
        <v>0</v>
      </c>
      <c r="L50" s="961">
        <f>ROUND($I$50*data1!H284,2)</f>
        <v>0</v>
      </c>
      <c r="M50" s="961">
        <f>ROUND($I$50*data1!I284,2)</f>
        <v>0</v>
      </c>
      <c r="N50" s="961">
        <f>ROUND($I$50*data1!J284,2)</f>
        <v>0</v>
      </c>
      <c r="O50" s="961">
        <f>ROUND($I$50*data1!K284,2)</f>
        <v>0</v>
      </c>
      <c r="P50" s="961">
        <f>ROUND($I$50*data1!L284,2)</f>
        <v>0</v>
      </c>
      <c r="Q50" s="961">
        <f>ROUND($I$50*data1!M284,2)</f>
        <v>0</v>
      </c>
      <c r="R50" s="961">
        <f>ROUND($I$50*data1!N284,2)</f>
        <v>0</v>
      </c>
      <c r="S50" s="961">
        <f>ROUND($I$50*data1!O284,2)</f>
        <v>0</v>
      </c>
      <c r="T50" s="961">
        <f>ROUND($I$50*data1!P284,2)</f>
        <v>0</v>
      </c>
      <c r="U50" s="961">
        <f>SUM(L50:T50)</f>
        <v>0</v>
      </c>
    </row>
    <row r="51" spans="1:21" s="961" customFormat="1" ht="11.25">
      <c r="A51" s="960"/>
      <c r="I51" s="965" t="s">
        <v>112</v>
      </c>
      <c r="J51" s="962" t="s">
        <v>112</v>
      </c>
      <c r="K51" s="969"/>
    </row>
    <row r="52" spans="1:21" s="961" customFormat="1" ht="125.25" customHeight="1">
      <c r="A52" s="960">
        <v>6</v>
      </c>
      <c r="B52" s="1310" t="s">
        <v>1212</v>
      </c>
      <c r="C52" s="1311"/>
      <c r="D52" s="1311"/>
      <c r="E52" s="1311"/>
      <c r="F52" s="1311"/>
      <c r="G52" s="1311"/>
      <c r="H52" s="1311"/>
      <c r="J52" s="962"/>
      <c r="K52" s="969"/>
    </row>
    <row r="53" spans="1:21" s="961" customFormat="1" ht="11.25">
      <c r="A53" s="960"/>
      <c r="B53" s="961" t="s">
        <v>1108</v>
      </c>
      <c r="C53" s="961">
        <v>1</v>
      </c>
      <c r="F53" s="961">
        <f>2.82+3.01+3.465+0.23</f>
        <v>9.5250000000000004</v>
      </c>
      <c r="G53" s="961">
        <v>0.23</v>
      </c>
      <c r="H53" s="981">
        <f>3.3-0.425</f>
        <v>2.875</v>
      </c>
      <c r="I53" s="963">
        <f>ROUND(F53*G53*H53*C53,2)</f>
        <v>6.3</v>
      </c>
      <c r="J53" s="962"/>
      <c r="K53" s="969"/>
    </row>
    <row r="54" spans="1:21" s="961" customFormat="1" ht="11.25">
      <c r="A54" s="960"/>
      <c r="B54" s="961" t="s">
        <v>1111</v>
      </c>
      <c r="C54" s="961">
        <v>1</v>
      </c>
      <c r="F54" s="961">
        <f>3.39+0.23</f>
        <v>3.62</v>
      </c>
      <c r="G54" s="961">
        <v>0.23</v>
      </c>
      <c r="H54" s="981">
        <f>H53</f>
        <v>2.875</v>
      </c>
      <c r="I54" s="963">
        <f>ROUND(F54*G54*H54*C54,2)</f>
        <v>2.39</v>
      </c>
      <c r="J54" s="962"/>
      <c r="K54" s="969"/>
    </row>
    <row r="55" spans="1:21" s="961" customFormat="1" ht="11.25">
      <c r="A55" s="960"/>
      <c r="B55" s="961" t="s">
        <v>1110</v>
      </c>
      <c r="C55" s="961">
        <v>2</v>
      </c>
      <c r="F55" s="961">
        <v>5.22</v>
      </c>
      <c r="G55" s="961">
        <v>0.23</v>
      </c>
      <c r="H55" s="986">
        <f>3.3-0.505</f>
        <v>2.7949999999999999</v>
      </c>
      <c r="I55" s="963">
        <f>ROUND(F55*G55*H55*C55,2)</f>
        <v>6.71</v>
      </c>
      <c r="J55" s="962"/>
      <c r="K55" s="969"/>
    </row>
    <row r="56" spans="1:21" s="961" customFormat="1" ht="11.25">
      <c r="A56" s="960"/>
      <c r="B56" s="961" t="s">
        <v>1109</v>
      </c>
      <c r="C56" s="961">
        <v>1</v>
      </c>
      <c r="F56" s="961">
        <f>3.465+3.01+2.82+2.95</f>
        <v>12.245000000000001</v>
      </c>
      <c r="G56" s="961">
        <v>0.23</v>
      </c>
      <c r="H56" s="981">
        <f>3.3-0.425</f>
        <v>2.875</v>
      </c>
      <c r="I56" s="963">
        <f>ROUND(F56*G56*H56*C56,2)</f>
        <v>8.1</v>
      </c>
      <c r="J56" s="962"/>
      <c r="K56" s="969"/>
    </row>
    <row r="57" spans="1:21" s="961" customFormat="1" ht="11.25">
      <c r="A57" s="960"/>
      <c r="B57" s="961" t="s">
        <v>1112</v>
      </c>
      <c r="C57" s="961">
        <v>1</v>
      </c>
      <c r="F57" s="961">
        <f>F54</f>
        <v>3.62</v>
      </c>
      <c r="G57" s="961">
        <v>0.23</v>
      </c>
      <c r="H57" s="986">
        <f>3.3-0.505</f>
        <v>2.7949999999999999</v>
      </c>
      <c r="I57" s="963">
        <f>ROUND(F57*G57*H57*C57,2)</f>
        <v>2.33</v>
      </c>
      <c r="J57" s="962"/>
      <c r="K57" s="969"/>
    </row>
    <row r="58" spans="1:21" s="961" customFormat="1" ht="78.75">
      <c r="A58" s="960"/>
      <c r="B58" s="964" t="s">
        <v>1213</v>
      </c>
      <c r="C58" s="974">
        <v>10</v>
      </c>
      <c r="D58" s="974"/>
      <c r="E58" s="974"/>
      <c r="F58" s="987">
        <v>1.5</v>
      </c>
      <c r="G58" s="974">
        <v>0.23</v>
      </c>
      <c r="H58" s="987">
        <v>1.35</v>
      </c>
      <c r="I58" s="967">
        <f>-ROUND(F58*G58*H58*C58,2)</f>
        <v>-4.66</v>
      </c>
      <c r="J58" s="962"/>
      <c r="K58" s="969"/>
    </row>
    <row r="59" spans="1:21" s="961" customFormat="1" ht="11.25">
      <c r="A59" s="960"/>
      <c r="B59" s="961" t="s">
        <v>1057</v>
      </c>
      <c r="I59" s="963">
        <v>0.03</v>
      </c>
      <c r="J59" s="962"/>
      <c r="K59" s="969"/>
    </row>
    <row r="60" spans="1:21" s="961" customFormat="1" ht="11.25">
      <c r="A60" s="960"/>
      <c r="I60" s="981"/>
      <c r="J60" s="968">
        <f>data1!F383</f>
        <v>6021.8799999999992</v>
      </c>
      <c r="K60" s="969">
        <f>ROUND((J60*I60)/1,0)</f>
        <v>0</v>
      </c>
      <c r="L60" s="961">
        <f>ROUND($I$60*data1!H384,2)</f>
        <v>0</v>
      </c>
      <c r="M60" s="961">
        <f>ROUND($I$60*data1!I384,2)</f>
        <v>0</v>
      </c>
      <c r="N60" s="961">
        <f>ROUND($I$60*data1!J384,2)</f>
        <v>0</v>
      </c>
      <c r="O60" s="961">
        <f>ROUND($I$60*data1!K384,2)</f>
        <v>0</v>
      </c>
      <c r="P60" s="961">
        <f>ROUND($I$60*data1!L384,2)</f>
        <v>0</v>
      </c>
      <c r="Q60" s="961">
        <f>ROUND($I$60*data1!M384,2)</f>
        <v>0</v>
      </c>
      <c r="R60" s="961">
        <f>ROUND($I$60*data1!N384,2)</f>
        <v>0</v>
      </c>
      <c r="S60" s="961">
        <f>ROUND($I$60*data1!O384,2)</f>
        <v>0</v>
      </c>
      <c r="T60" s="961">
        <f>ROUND($I$60*data1!P384,2)</f>
        <v>0</v>
      </c>
      <c r="U60" s="961">
        <f>SUM(L60:T60)</f>
        <v>0</v>
      </c>
    </row>
    <row r="61" spans="1:21" s="961" customFormat="1" ht="11.25">
      <c r="A61" s="960"/>
      <c r="I61" s="962" t="s">
        <v>112</v>
      </c>
      <c r="J61" s="962" t="s">
        <v>112</v>
      </c>
      <c r="K61" s="969"/>
    </row>
    <row r="62" spans="1:21" s="961" customFormat="1" ht="135.75" customHeight="1">
      <c r="A62" s="960">
        <v>7</v>
      </c>
      <c r="B62" s="1310" t="s">
        <v>1115</v>
      </c>
      <c r="C62" s="1311"/>
      <c r="D62" s="1311"/>
      <c r="E62" s="1311"/>
      <c r="F62" s="1311"/>
      <c r="G62" s="1311"/>
      <c r="H62" s="1311"/>
      <c r="I62" s="965"/>
      <c r="J62" s="985"/>
      <c r="K62" s="969"/>
    </row>
    <row r="63" spans="1:21" s="961" customFormat="1" ht="11.25">
      <c r="A63" s="960"/>
      <c r="B63" s="988" t="s">
        <v>1259</v>
      </c>
      <c r="I63" s="965"/>
      <c r="J63" s="985"/>
      <c r="K63" s="969"/>
    </row>
    <row r="64" spans="1:21" s="961" customFormat="1" ht="11.25">
      <c r="A64" s="960"/>
      <c r="B64" s="961" t="s">
        <v>1117</v>
      </c>
      <c r="C64" s="961">
        <v>3</v>
      </c>
      <c r="F64" s="961">
        <f>3.39-2*0.265</f>
        <v>2.8600000000000003</v>
      </c>
      <c r="H64" s="961">
        <f>3.3-0.425</f>
        <v>2.875</v>
      </c>
      <c r="I64" s="965">
        <f t="shared" ref="I64:I71" si="1">ROUND(C64*F64*H64,2)</f>
        <v>24.67</v>
      </c>
      <c r="J64" s="985"/>
      <c r="K64" s="969"/>
    </row>
    <row r="65" spans="1:22" s="961" customFormat="1" ht="11.25">
      <c r="A65" s="960"/>
      <c r="B65" s="961" t="s">
        <v>1214</v>
      </c>
      <c r="C65" s="961">
        <v>1</v>
      </c>
      <c r="F65" s="961">
        <v>3.39</v>
      </c>
      <c r="H65" s="961">
        <f>3.3-0.125</f>
        <v>3.1749999999999998</v>
      </c>
      <c r="I65" s="965">
        <f t="shared" si="1"/>
        <v>10.76</v>
      </c>
      <c r="J65" s="985"/>
      <c r="K65" s="969"/>
    </row>
    <row r="66" spans="1:22" s="961" customFormat="1" ht="11.25">
      <c r="A66" s="960"/>
      <c r="B66" s="961" t="s">
        <v>1215</v>
      </c>
      <c r="C66" s="961">
        <v>1</v>
      </c>
      <c r="F66" s="961">
        <f>2.82+3.01+3.465+0.23</f>
        <v>9.5250000000000004</v>
      </c>
      <c r="H66" s="961">
        <f>3.3-0.425</f>
        <v>2.875</v>
      </c>
      <c r="I66" s="965">
        <f t="shared" si="1"/>
        <v>27.38</v>
      </c>
      <c r="J66" s="985"/>
      <c r="K66" s="969"/>
    </row>
    <row r="67" spans="1:22" s="961" customFormat="1" ht="11.25">
      <c r="A67" s="960"/>
      <c r="B67" s="961" t="s">
        <v>1216</v>
      </c>
      <c r="C67" s="961">
        <v>1</v>
      </c>
      <c r="F67" s="961">
        <f>2.82+3.01+3.465+0.23</f>
        <v>9.5250000000000004</v>
      </c>
      <c r="H67" s="961">
        <f>3.3-0.125</f>
        <v>3.1749999999999998</v>
      </c>
      <c r="I67" s="965">
        <f t="shared" si="1"/>
        <v>30.24</v>
      </c>
      <c r="J67" s="985"/>
      <c r="K67" s="969"/>
    </row>
    <row r="68" spans="1:22" s="961" customFormat="1" ht="11.25">
      <c r="A68" s="960"/>
      <c r="B68" s="961" t="s">
        <v>1217</v>
      </c>
      <c r="C68" s="961">
        <v>1</v>
      </c>
      <c r="F68" s="961">
        <f>5.22-0.23</f>
        <v>4.9899999999999993</v>
      </c>
      <c r="H68" s="961">
        <f>3.3-0.425</f>
        <v>2.875</v>
      </c>
      <c r="I68" s="965">
        <f t="shared" si="1"/>
        <v>14.35</v>
      </c>
      <c r="J68" s="985"/>
      <c r="K68" s="969"/>
    </row>
    <row r="69" spans="1:22" s="961" customFormat="1" ht="11.25">
      <c r="A69" s="960"/>
      <c r="B69" s="961" t="s">
        <v>1218</v>
      </c>
      <c r="C69" s="961">
        <v>1</v>
      </c>
      <c r="F69" s="961">
        <f>5.22-0.15-1.83-0.115</f>
        <v>3.1249999999999991</v>
      </c>
      <c r="H69" s="961">
        <f>3.3-0.505</f>
        <v>2.7949999999999999</v>
      </c>
      <c r="I69" s="965">
        <f t="shared" si="1"/>
        <v>8.73</v>
      </c>
      <c r="J69" s="985"/>
      <c r="K69" s="969"/>
    </row>
    <row r="70" spans="1:22" s="961" customFormat="1" ht="11.25">
      <c r="A70" s="960"/>
      <c r="B70" s="961" t="s">
        <v>1260</v>
      </c>
      <c r="C70" s="961">
        <v>1</v>
      </c>
      <c r="F70" s="961">
        <f>1+2.95+1</f>
        <v>4.95</v>
      </c>
      <c r="H70" s="986">
        <f>3.3-0.425</f>
        <v>2.875</v>
      </c>
      <c r="I70" s="965">
        <f t="shared" si="1"/>
        <v>14.23</v>
      </c>
      <c r="J70" s="962"/>
      <c r="K70" s="969"/>
    </row>
    <row r="71" spans="1:22" s="961" customFormat="1" ht="11.25">
      <c r="A71" s="960"/>
      <c r="B71" s="961" t="s">
        <v>1263</v>
      </c>
      <c r="C71" s="961">
        <v>1</v>
      </c>
      <c r="F71" s="961">
        <f>2*(12.245+0.23+8.61)</f>
        <v>42.17</v>
      </c>
      <c r="H71" s="981">
        <v>0.9</v>
      </c>
      <c r="I71" s="965">
        <f t="shared" si="1"/>
        <v>37.950000000000003</v>
      </c>
      <c r="J71" s="985"/>
      <c r="K71" s="969"/>
    </row>
    <row r="72" spans="1:22" s="961" customFormat="1" ht="33.75" customHeight="1">
      <c r="A72" s="960"/>
      <c r="B72" s="1016" t="s">
        <v>1219</v>
      </c>
      <c r="C72" s="974">
        <v>3</v>
      </c>
      <c r="D72" s="974"/>
      <c r="E72" s="974"/>
      <c r="F72" s="987">
        <v>1.2</v>
      </c>
      <c r="G72" s="974"/>
      <c r="H72" s="987">
        <v>2.1</v>
      </c>
      <c r="I72" s="989">
        <f>-ROUND(C72*F72*H72,2)</f>
        <v>-7.56</v>
      </c>
      <c r="J72" s="962"/>
      <c r="K72" s="969"/>
    </row>
    <row r="73" spans="1:22" s="961" customFormat="1" ht="45" customHeight="1">
      <c r="A73" s="960"/>
      <c r="B73" s="1016" t="s">
        <v>1220</v>
      </c>
      <c r="C73" s="974">
        <v>3</v>
      </c>
      <c r="D73" s="974"/>
      <c r="E73" s="974"/>
      <c r="F73" s="974">
        <v>1.05</v>
      </c>
      <c r="G73" s="974"/>
      <c r="H73" s="987">
        <v>2.1</v>
      </c>
      <c r="I73" s="989">
        <f>-ROUND(C73*F73*H73,2)</f>
        <v>-6.62</v>
      </c>
      <c r="J73" s="962"/>
      <c r="K73" s="969"/>
    </row>
    <row r="74" spans="1:22" s="961" customFormat="1" ht="45" customHeight="1">
      <c r="A74" s="960"/>
      <c r="B74" s="1016" t="s">
        <v>1221</v>
      </c>
      <c r="C74" s="974">
        <v>4</v>
      </c>
      <c r="D74" s="974"/>
      <c r="E74" s="974"/>
      <c r="F74" s="974">
        <v>0.75</v>
      </c>
      <c r="G74" s="974"/>
      <c r="H74" s="987">
        <v>2.1</v>
      </c>
      <c r="I74" s="989">
        <f>-ROUND(C74*F74*H74,2)</f>
        <v>-6.3</v>
      </c>
      <c r="J74" s="962"/>
      <c r="K74" s="969"/>
    </row>
    <row r="75" spans="1:22" s="961" customFormat="1" ht="11.25">
      <c r="A75" s="960"/>
      <c r="B75" s="964" t="s">
        <v>1057</v>
      </c>
      <c r="C75" s="974"/>
      <c r="D75" s="974"/>
      <c r="E75" s="974"/>
      <c r="F75" s="974"/>
      <c r="G75" s="974"/>
      <c r="H75" s="987"/>
      <c r="I75" s="989">
        <v>0.12</v>
      </c>
      <c r="J75" s="962"/>
      <c r="K75" s="969"/>
    </row>
    <row r="76" spans="1:22" s="961" customFormat="1" ht="11.25">
      <c r="A76" s="960"/>
      <c r="I76" s="963"/>
      <c r="J76" s="984">
        <f>data1!F416</f>
        <v>7692.1299999999992</v>
      </c>
      <c r="K76" s="969">
        <f>ROUND(I76*J76/10,0)</f>
        <v>0</v>
      </c>
      <c r="L76" s="981">
        <f>ROUND(data1!H417*$I$76/10,2)</f>
        <v>0</v>
      </c>
      <c r="M76" s="981">
        <f>ROUND(data1!I417*$I$76/10,2)</f>
        <v>0</v>
      </c>
      <c r="N76" s="981">
        <f>ROUND(data1!J417*$I$76/10,2)</f>
        <v>0</v>
      </c>
      <c r="O76" s="981">
        <f>ROUND(data1!K417*$I$76/10,2)</f>
        <v>0</v>
      </c>
      <c r="P76" s="981">
        <f>ROUND(data1!L417*$I$76/10,2)</f>
        <v>0</v>
      </c>
      <c r="Q76" s="981">
        <f>ROUND(data1!M417*$I$76/10,2)</f>
        <v>0</v>
      </c>
      <c r="R76" s="981">
        <f>ROUND(data1!N417*$I$76/10,2)</f>
        <v>0</v>
      </c>
      <c r="S76" s="981">
        <f>ROUND(data1!O417*$I$76/10,2)</f>
        <v>0</v>
      </c>
      <c r="T76" s="981">
        <f>ROUND(data1!P417*$I$76/10,2)</f>
        <v>0</v>
      </c>
      <c r="U76" s="981">
        <f>SUM(L76:T76)</f>
        <v>0</v>
      </c>
      <c r="V76" s="981"/>
    </row>
    <row r="77" spans="1:22" s="961" customFormat="1" ht="11.25">
      <c r="A77" s="960"/>
      <c r="I77" s="963" t="s">
        <v>1267</v>
      </c>
      <c r="J77" s="969"/>
      <c r="K77" s="969"/>
      <c r="L77" s="981"/>
      <c r="M77" s="981"/>
      <c r="N77" s="981"/>
      <c r="O77" s="981"/>
      <c r="P77" s="981"/>
      <c r="Q77" s="981"/>
      <c r="R77" s="981"/>
      <c r="S77" s="981"/>
      <c r="T77" s="981"/>
      <c r="U77" s="981"/>
      <c r="V77" s="981"/>
    </row>
    <row r="78" spans="1:22" s="961" customFormat="1" ht="104.25" customHeight="1">
      <c r="A78" s="960">
        <v>8</v>
      </c>
      <c r="B78" s="1310" t="s">
        <v>1266</v>
      </c>
      <c r="C78" s="1311"/>
      <c r="D78" s="1311"/>
      <c r="E78" s="1311"/>
      <c r="F78" s="1311"/>
      <c r="G78" s="1311"/>
      <c r="H78" s="1311"/>
      <c r="I78" s="963"/>
      <c r="J78" s="969"/>
      <c r="K78" s="969"/>
      <c r="L78" s="981"/>
      <c r="M78" s="981"/>
      <c r="N78" s="981"/>
      <c r="O78" s="981"/>
      <c r="P78" s="981"/>
      <c r="Q78" s="981"/>
      <c r="R78" s="981"/>
      <c r="S78" s="981"/>
      <c r="T78" s="981"/>
      <c r="U78" s="981"/>
      <c r="V78" s="981"/>
    </row>
    <row r="79" spans="1:22" s="961" customFormat="1" ht="11.25">
      <c r="A79" s="960"/>
      <c r="B79" s="988" t="s">
        <v>1268</v>
      </c>
      <c r="I79" s="963"/>
      <c r="J79" s="969"/>
      <c r="K79" s="969"/>
      <c r="L79" s="981"/>
      <c r="M79" s="981"/>
      <c r="N79" s="981"/>
      <c r="O79" s="981"/>
      <c r="P79" s="981"/>
      <c r="Q79" s="981"/>
      <c r="R79" s="981"/>
      <c r="S79" s="981"/>
      <c r="T79" s="981"/>
      <c r="U79" s="981"/>
      <c r="V79" s="981"/>
    </row>
    <row r="80" spans="1:22" s="961" customFormat="1" ht="11.25">
      <c r="A80" s="960"/>
      <c r="B80" s="961" t="s">
        <v>1269</v>
      </c>
      <c r="C80" s="961">
        <v>1</v>
      </c>
      <c r="F80" s="961">
        <f>3.39-0.115</f>
        <v>3.2749999999999999</v>
      </c>
      <c r="G80" s="961">
        <v>2.82</v>
      </c>
      <c r="I80" s="967">
        <f t="shared" ref="I80:I85" si="2">ROUND(F80*G80*C80,2)</f>
        <v>9.24</v>
      </c>
      <c r="J80" s="969"/>
      <c r="K80" s="969"/>
      <c r="L80" s="981"/>
      <c r="M80" s="981"/>
      <c r="N80" s="981"/>
      <c r="O80" s="981"/>
      <c r="P80" s="981"/>
      <c r="Q80" s="981"/>
      <c r="R80" s="981"/>
      <c r="S80" s="981"/>
      <c r="T80" s="981"/>
      <c r="U80" s="981"/>
      <c r="V80" s="981"/>
    </row>
    <row r="81" spans="1:22" s="961" customFormat="1" ht="11.25">
      <c r="A81" s="960"/>
      <c r="B81" s="961" t="s">
        <v>864</v>
      </c>
      <c r="C81" s="961">
        <v>1</v>
      </c>
      <c r="F81" s="961">
        <f>3.39-0.115</f>
        <v>3.2749999999999999</v>
      </c>
      <c r="G81" s="961">
        <f>3.465-0.115</f>
        <v>3.3499999999999996</v>
      </c>
      <c r="I81" s="967">
        <f t="shared" si="2"/>
        <v>10.97</v>
      </c>
      <c r="J81" s="969"/>
      <c r="K81" s="969"/>
      <c r="L81" s="981"/>
      <c r="M81" s="981"/>
      <c r="N81" s="981"/>
      <c r="O81" s="981"/>
      <c r="P81" s="981"/>
      <c r="Q81" s="981"/>
      <c r="R81" s="981"/>
      <c r="S81" s="981"/>
      <c r="T81" s="981"/>
      <c r="U81" s="981"/>
      <c r="V81" s="981"/>
    </row>
    <row r="82" spans="1:22" s="961" customFormat="1" ht="11.25">
      <c r="A82" s="960"/>
      <c r="B82" s="961" t="s">
        <v>1270</v>
      </c>
      <c r="C82" s="961">
        <v>1</v>
      </c>
      <c r="F82" s="961">
        <f>2.82+3.01+3.465-0.115</f>
        <v>9.18</v>
      </c>
      <c r="G82" s="961">
        <v>1.83</v>
      </c>
      <c r="I82" s="967">
        <f t="shared" si="2"/>
        <v>16.8</v>
      </c>
      <c r="J82" s="969"/>
      <c r="K82" s="969"/>
      <c r="L82" s="981"/>
      <c r="M82" s="981"/>
      <c r="N82" s="981"/>
      <c r="O82" s="981"/>
      <c r="P82" s="981"/>
      <c r="Q82" s="981"/>
      <c r="R82" s="981"/>
      <c r="S82" s="981"/>
      <c r="T82" s="981"/>
      <c r="U82" s="981"/>
      <c r="V82" s="981"/>
    </row>
    <row r="83" spans="1:22" s="961" customFormat="1" ht="11.25">
      <c r="A83" s="960"/>
      <c r="B83" s="961" t="s">
        <v>1271</v>
      </c>
      <c r="C83" s="961">
        <v>1</v>
      </c>
      <c r="F83" s="961">
        <v>3.16</v>
      </c>
      <c r="G83" s="961">
        <f>G81</f>
        <v>3.3499999999999996</v>
      </c>
      <c r="I83" s="967">
        <f t="shared" si="2"/>
        <v>10.59</v>
      </c>
      <c r="J83" s="969"/>
      <c r="K83" s="969"/>
      <c r="L83" s="981"/>
      <c r="M83" s="981"/>
      <c r="N83" s="981"/>
      <c r="O83" s="981"/>
      <c r="P83" s="981"/>
      <c r="Q83" s="981"/>
      <c r="R83" s="981"/>
      <c r="S83" s="981"/>
      <c r="T83" s="981"/>
      <c r="U83" s="981"/>
      <c r="V83" s="981"/>
    </row>
    <row r="84" spans="1:22" s="961" customFormat="1" ht="11.25">
      <c r="A84" s="960"/>
      <c r="B84" s="961" t="s">
        <v>628</v>
      </c>
      <c r="C84" s="961">
        <v>1</v>
      </c>
      <c r="F84" s="961">
        <f>2.82+3.01-0.115</f>
        <v>5.7149999999999999</v>
      </c>
      <c r="G84" s="961">
        <f>G83</f>
        <v>3.3499999999999996</v>
      </c>
      <c r="I84" s="967">
        <f t="shared" si="2"/>
        <v>19.149999999999999</v>
      </c>
      <c r="J84" s="969"/>
      <c r="K84" s="969"/>
      <c r="L84" s="981"/>
      <c r="M84" s="981"/>
      <c r="N84" s="981"/>
      <c r="O84" s="981"/>
      <c r="P84" s="981"/>
      <c r="Q84" s="981"/>
      <c r="R84" s="981"/>
      <c r="S84" s="981"/>
      <c r="T84" s="981"/>
      <c r="U84" s="981"/>
      <c r="V84" s="981"/>
    </row>
    <row r="85" spans="1:22" s="961" customFormat="1" ht="11.25">
      <c r="A85" s="960"/>
      <c r="B85" s="961" t="s">
        <v>1211</v>
      </c>
      <c r="C85" s="961">
        <v>1</v>
      </c>
      <c r="F85" s="961">
        <f>5.22</f>
        <v>5.22</v>
      </c>
      <c r="G85" s="961">
        <f>2.95-0.115</f>
        <v>2.835</v>
      </c>
      <c r="I85" s="967">
        <f t="shared" si="2"/>
        <v>14.8</v>
      </c>
      <c r="J85" s="969"/>
      <c r="K85" s="969"/>
      <c r="L85" s="981"/>
      <c r="M85" s="981"/>
      <c r="N85" s="981"/>
      <c r="O85" s="981"/>
      <c r="P85" s="981"/>
      <c r="Q85" s="981"/>
      <c r="R85" s="981"/>
      <c r="S85" s="981"/>
      <c r="T85" s="981"/>
      <c r="U85" s="981"/>
      <c r="V85" s="981"/>
    </row>
    <row r="86" spans="1:22" s="961" customFormat="1" ht="45">
      <c r="A86" s="960"/>
      <c r="B86" s="964" t="s">
        <v>1249</v>
      </c>
      <c r="C86" s="989">
        <v>4</v>
      </c>
      <c r="D86" s="989"/>
      <c r="E86" s="989"/>
      <c r="F86" s="974">
        <f>2*2.1+1.2</f>
        <v>5.4</v>
      </c>
      <c r="G86" s="987">
        <v>0.05</v>
      </c>
      <c r="I86" s="967">
        <f>ROUND(F86*G86*C86,2)</f>
        <v>1.08</v>
      </c>
      <c r="J86" s="962" t="s">
        <v>154</v>
      </c>
      <c r="K86" s="969"/>
    </row>
    <row r="87" spans="1:22" s="961" customFormat="1" ht="34.5" customHeight="1">
      <c r="A87" s="960"/>
      <c r="B87" s="1016" t="s">
        <v>1250</v>
      </c>
      <c r="C87" s="989">
        <v>2</v>
      </c>
      <c r="D87" s="989"/>
      <c r="E87" s="989"/>
      <c r="F87" s="974">
        <f>2*2.1+1.05</f>
        <v>5.25</v>
      </c>
      <c r="G87" s="987">
        <v>0.05</v>
      </c>
      <c r="I87" s="967">
        <f>ROUND(F87*G87*C87,2)</f>
        <v>0.53</v>
      </c>
      <c r="J87" s="962"/>
      <c r="K87" s="969"/>
    </row>
    <row r="88" spans="1:22" s="961" customFormat="1" ht="11.25">
      <c r="A88" s="960"/>
      <c r="B88" s="961" t="s">
        <v>1274</v>
      </c>
      <c r="I88" s="963"/>
      <c r="J88" s="969"/>
      <c r="K88" s="969"/>
      <c r="L88" s="981"/>
      <c r="M88" s="981"/>
      <c r="N88" s="981"/>
      <c r="O88" s="981"/>
      <c r="P88" s="981"/>
      <c r="Q88" s="981"/>
      <c r="R88" s="981"/>
      <c r="S88" s="981"/>
      <c r="T88" s="981"/>
      <c r="U88" s="981"/>
      <c r="V88" s="981"/>
    </row>
    <row r="89" spans="1:22" s="961" customFormat="1" ht="11.25">
      <c r="A89" s="960"/>
      <c r="B89" s="961" t="s">
        <v>1269</v>
      </c>
      <c r="C89" s="961">
        <v>2</v>
      </c>
      <c r="F89" s="961">
        <v>0.15</v>
      </c>
      <c r="G89" s="961">
        <v>0.115</v>
      </c>
      <c r="I89" s="963">
        <f>-ROUND(C89*F89*G89,2)</f>
        <v>-0.03</v>
      </c>
      <c r="J89" s="969"/>
      <c r="K89" s="969"/>
      <c r="L89" s="981"/>
      <c r="M89" s="981"/>
      <c r="N89" s="981"/>
      <c r="O89" s="981"/>
      <c r="P89" s="981"/>
      <c r="Q89" s="981"/>
      <c r="R89" s="981"/>
      <c r="S89" s="981"/>
      <c r="T89" s="981"/>
      <c r="U89" s="981"/>
      <c r="V89" s="981"/>
    </row>
    <row r="90" spans="1:22" s="961" customFormat="1" ht="11.25">
      <c r="A90" s="960"/>
      <c r="C90" s="961">
        <v>1</v>
      </c>
      <c r="F90" s="961">
        <v>0.26500000000000001</v>
      </c>
      <c r="G90" s="961">
        <v>0.115</v>
      </c>
      <c r="I90" s="963">
        <f t="shared" ref="I90:I98" si="3">-ROUND(C90*F90*G90,2)</f>
        <v>-0.03</v>
      </c>
      <c r="J90" s="969"/>
      <c r="K90" s="969"/>
      <c r="L90" s="981"/>
      <c r="M90" s="981"/>
      <c r="N90" s="981"/>
      <c r="O90" s="981"/>
      <c r="P90" s="981"/>
      <c r="Q90" s="981"/>
      <c r="R90" s="981"/>
      <c r="S90" s="981"/>
      <c r="T90" s="981"/>
      <c r="U90" s="981"/>
      <c r="V90" s="981"/>
    </row>
    <row r="91" spans="1:22" s="961" customFormat="1" ht="11.25">
      <c r="A91" s="960"/>
      <c r="C91" s="961">
        <v>1</v>
      </c>
      <c r="F91" s="961">
        <v>0.38</v>
      </c>
      <c r="G91" s="961">
        <v>0.115</v>
      </c>
      <c r="I91" s="963">
        <f t="shared" si="3"/>
        <v>-0.04</v>
      </c>
      <c r="J91" s="969"/>
      <c r="K91" s="969"/>
      <c r="L91" s="981"/>
      <c r="M91" s="981"/>
      <c r="N91" s="981"/>
      <c r="O91" s="981"/>
      <c r="P91" s="981"/>
      <c r="Q91" s="981"/>
      <c r="R91" s="981"/>
      <c r="S91" s="981"/>
      <c r="T91" s="981"/>
      <c r="U91" s="981"/>
      <c r="V91" s="981"/>
    </row>
    <row r="92" spans="1:22" s="961" customFormat="1" ht="11.25">
      <c r="A92" s="960"/>
      <c r="B92" s="961" t="s">
        <v>864</v>
      </c>
      <c r="C92" s="961">
        <v>2</v>
      </c>
      <c r="F92" s="961">
        <v>0.15</v>
      </c>
      <c r="G92" s="961">
        <v>0.115</v>
      </c>
      <c r="I92" s="963">
        <f t="shared" si="3"/>
        <v>-0.03</v>
      </c>
      <c r="J92" s="969"/>
      <c r="K92" s="969"/>
      <c r="L92" s="981"/>
      <c r="M92" s="981"/>
      <c r="N92" s="981"/>
      <c r="O92" s="981"/>
      <c r="P92" s="981"/>
      <c r="Q92" s="981"/>
      <c r="R92" s="981"/>
      <c r="S92" s="981"/>
      <c r="T92" s="981"/>
      <c r="U92" s="981"/>
      <c r="V92" s="981"/>
    </row>
    <row r="93" spans="1:22" s="961" customFormat="1" ht="11.25">
      <c r="A93" s="960"/>
      <c r="C93" s="961">
        <v>2</v>
      </c>
      <c r="F93" s="961">
        <v>0.26500000000000001</v>
      </c>
      <c r="G93" s="961">
        <v>0.115</v>
      </c>
      <c r="I93" s="963">
        <f t="shared" si="3"/>
        <v>-0.06</v>
      </c>
      <c r="J93" s="969"/>
      <c r="K93" s="969"/>
      <c r="L93" s="981"/>
      <c r="M93" s="981"/>
      <c r="N93" s="981"/>
      <c r="O93" s="981"/>
      <c r="P93" s="981"/>
      <c r="Q93" s="981"/>
      <c r="R93" s="981"/>
      <c r="S93" s="981"/>
      <c r="T93" s="981"/>
      <c r="U93" s="981"/>
      <c r="V93" s="981"/>
    </row>
    <row r="94" spans="1:22" s="961" customFormat="1" ht="11.25">
      <c r="A94" s="960"/>
      <c r="B94" s="961" t="s">
        <v>1271</v>
      </c>
      <c r="C94" s="961">
        <v>2</v>
      </c>
      <c r="F94" s="961">
        <v>0.15</v>
      </c>
      <c r="G94" s="961">
        <v>0.115</v>
      </c>
      <c r="I94" s="963">
        <f t="shared" si="3"/>
        <v>-0.03</v>
      </c>
      <c r="J94" s="969"/>
      <c r="K94" s="969"/>
      <c r="L94" s="981"/>
      <c r="M94" s="981"/>
      <c r="N94" s="981"/>
      <c r="O94" s="981"/>
      <c r="P94" s="981"/>
      <c r="Q94" s="981"/>
      <c r="R94" s="981"/>
      <c r="S94" s="981"/>
      <c r="T94" s="981"/>
      <c r="U94" s="981"/>
      <c r="V94" s="981"/>
    </row>
    <row r="95" spans="1:22" s="961" customFormat="1" ht="11.25">
      <c r="A95" s="960"/>
      <c r="B95" s="961" t="s">
        <v>628</v>
      </c>
      <c r="C95" s="961">
        <v>1</v>
      </c>
      <c r="F95" s="961">
        <v>0.38</v>
      </c>
      <c r="G95" s="961">
        <v>0.115</v>
      </c>
      <c r="I95" s="963">
        <f t="shared" si="3"/>
        <v>-0.04</v>
      </c>
      <c r="J95" s="969"/>
      <c r="K95" s="969"/>
      <c r="L95" s="981"/>
      <c r="M95" s="981"/>
      <c r="N95" s="981"/>
      <c r="O95" s="981"/>
      <c r="P95" s="981"/>
      <c r="Q95" s="981"/>
      <c r="R95" s="981"/>
      <c r="S95" s="981"/>
      <c r="T95" s="981"/>
      <c r="U95" s="981"/>
      <c r="V95" s="981"/>
    </row>
    <row r="96" spans="1:22" s="961" customFormat="1" ht="11.25">
      <c r="A96" s="960"/>
      <c r="C96" s="961">
        <v>1</v>
      </c>
      <c r="F96" s="961">
        <v>0.26500000000000001</v>
      </c>
      <c r="G96" s="961">
        <v>0.115</v>
      </c>
      <c r="I96" s="963">
        <f t="shared" si="3"/>
        <v>-0.03</v>
      </c>
      <c r="J96" s="969"/>
      <c r="K96" s="969"/>
      <c r="L96" s="981"/>
      <c r="M96" s="981"/>
      <c r="N96" s="981"/>
      <c r="O96" s="981"/>
      <c r="P96" s="981"/>
      <c r="Q96" s="981"/>
      <c r="R96" s="981"/>
      <c r="S96" s="981"/>
      <c r="T96" s="981"/>
      <c r="U96" s="981"/>
      <c r="V96" s="981"/>
    </row>
    <row r="97" spans="1:22" s="961" customFormat="1" ht="11.25">
      <c r="A97" s="960"/>
      <c r="B97" s="961" t="s">
        <v>1211</v>
      </c>
      <c r="C97" s="961">
        <v>1</v>
      </c>
      <c r="F97" s="961">
        <v>0.26500000000000001</v>
      </c>
      <c r="G97" s="961">
        <v>0.115</v>
      </c>
      <c r="I97" s="963">
        <f t="shared" si="3"/>
        <v>-0.03</v>
      </c>
      <c r="J97" s="969"/>
      <c r="K97" s="969"/>
      <c r="L97" s="981"/>
      <c r="M97" s="981"/>
      <c r="N97" s="981"/>
      <c r="O97" s="981"/>
      <c r="P97" s="981"/>
      <c r="Q97" s="981"/>
      <c r="R97" s="981"/>
      <c r="S97" s="981"/>
      <c r="T97" s="981"/>
      <c r="U97" s="981"/>
      <c r="V97" s="981"/>
    </row>
    <row r="98" spans="1:22" s="961" customFormat="1" ht="11.25">
      <c r="A98" s="960"/>
      <c r="C98" s="961">
        <v>1</v>
      </c>
      <c r="F98" s="961">
        <v>0.38</v>
      </c>
      <c r="G98" s="961">
        <v>0.115</v>
      </c>
      <c r="I98" s="963">
        <f t="shared" si="3"/>
        <v>-0.04</v>
      </c>
      <c r="J98" s="969"/>
      <c r="K98" s="969"/>
      <c r="L98" s="981"/>
      <c r="M98" s="981"/>
      <c r="N98" s="981"/>
      <c r="O98" s="981"/>
      <c r="P98" s="981"/>
      <c r="Q98" s="981"/>
      <c r="R98" s="981"/>
      <c r="S98" s="981"/>
      <c r="T98" s="981"/>
      <c r="U98" s="981"/>
      <c r="V98" s="981"/>
    </row>
    <row r="99" spans="1:22" s="961" customFormat="1" ht="11.25">
      <c r="A99" s="960"/>
      <c r="B99" s="961" t="s">
        <v>1057</v>
      </c>
      <c r="I99" s="963">
        <v>0.2</v>
      </c>
      <c r="J99" s="969"/>
      <c r="K99" s="969"/>
      <c r="L99" s="981"/>
      <c r="M99" s="981"/>
      <c r="N99" s="981"/>
      <c r="O99" s="981"/>
      <c r="P99" s="981"/>
      <c r="Q99" s="981"/>
      <c r="R99" s="981"/>
      <c r="S99" s="981"/>
      <c r="T99" s="981"/>
      <c r="U99" s="981"/>
      <c r="V99" s="981"/>
    </row>
    <row r="100" spans="1:22" s="961" customFormat="1" ht="11.25">
      <c r="A100" s="960"/>
      <c r="I100" s="963"/>
      <c r="J100" s="981">
        <f>data1!F497</f>
        <v>1008.95</v>
      </c>
      <c r="K100" s="969">
        <f>ROUND(I100*J100,0)</f>
        <v>0</v>
      </c>
      <c r="L100" s="981">
        <f>ROUND(data1!H499*$I$100,2)</f>
        <v>0</v>
      </c>
      <c r="M100" s="981">
        <f>ROUND(data1!I499*$I$100,2)</f>
        <v>0</v>
      </c>
      <c r="N100" s="981">
        <f>ROUND(data1!J499*$I$100,2)</f>
        <v>0</v>
      </c>
      <c r="O100" s="981">
        <f>ROUND(data1!K499*$I$100,2)</f>
        <v>0</v>
      </c>
      <c r="P100" s="981">
        <f>ROUND(data1!L499*$I$100,2)</f>
        <v>0</v>
      </c>
      <c r="Q100" s="981">
        <f>ROUND(data1!M499*$I$100,2)</f>
        <v>0</v>
      </c>
      <c r="R100" s="981">
        <f>ROUND(data1!N499*$I$100,2)</f>
        <v>0</v>
      </c>
      <c r="S100" s="981">
        <f>ROUND(data1!O499*$I$100,2)</f>
        <v>0</v>
      </c>
      <c r="T100" s="981">
        <f>ROUND(data1!P499*$I$100,2)</f>
        <v>0</v>
      </c>
      <c r="U100" s="981">
        <f>ROUND(data1!Q499*$I$100,2)</f>
        <v>0</v>
      </c>
      <c r="V100" s="981"/>
    </row>
    <row r="101" spans="1:22" s="961" customFormat="1" ht="11.25">
      <c r="A101" s="960"/>
      <c r="I101" s="963" t="s">
        <v>1267</v>
      </c>
      <c r="J101" s="969"/>
      <c r="K101" s="969"/>
      <c r="L101" s="981"/>
      <c r="M101" s="981"/>
      <c r="N101" s="981"/>
      <c r="O101" s="981"/>
      <c r="P101" s="981"/>
      <c r="Q101" s="981"/>
      <c r="R101" s="981"/>
      <c r="S101" s="981"/>
      <c r="T101" s="981"/>
      <c r="U101" s="981"/>
      <c r="V101" s="981"/>
    </row>
    <row r="102" spans="1:22" s="961" customFormat="1" ht="79.5" customHeight="1">
      <c r="A102" s="960">
        <v>9</v>
      </c>
      <c r="B102" s="1310" t="s">
        <v>485</v>
      </c>
      <c r="C102" s="1311"/>
      <c r="D102" s="1311"/>
      <c r="E102" s="1311"/>
      <c r="F102" s="1311"/>
      <c r="G102" s="1311"/>
      <c r="H102" s="1311"/>
      <c r="I102" s="963"/>
      <c r="J102" s="969"/>
      <c r="K102" s="969"/>
      <c r="L102" s="981"/>
      <c r="M102" s="981"/>
      <c r="N102" s="981"/>
      <c r="O102" s="981"/>
      <c r="P102" s="981"/>
      <c r="Q102" s="981"/>
      <c r="R102" s="981"/>
      <c r="S102" s="981"/>
      <c r="T102" s="981"/>
      <c r="U102" s="981"/>
      <c r="V102" s="981"/>
    </row>
    <row r="103" spans="1:22" s="961" customFormat="1" ht="11.25">
      <c r="A103" s="960"/>
      <c r="B103" s="978" t="s">
        <v>1273</v>
      </c>
      <c r="I103" s="963"/>
      <c r="J103" s="969"/>
      <c r="K103" s="969"/>
      <c r="L103" s="981"/>
      <c r="M103" s="981"/>
      <c r="N103" s="981"/>
      <c r="O103" s="981"/>
      <c r="P103" s="981"/>
      <c r="Q103" s="981"/>
      <c r="R103" s="981"/>
      <c r="S103" s="981"/>
      <c r="T103" s="981"/>
      <c r="U103" s="981"/>
      <c r="V103" s="981"/>
    </row>
    <row r="104" spans="1:22" s="961" customFormat="1" ht="11.25">
      <c r="A104" s="960"/>
      <c r="B104" s="961" t="s">
        <v>1269</v>
      </c>
      <c r="C104" s="961">
        <v>1</v>
      </c>
      <c r="F104" s="961">
        <f>2*(3.39-0.115+2.82)</f>
        <v>12.19</v>
      </c>
      <c r="H104" s="961">
        <v>0.15</v>
      </c>
      <c r="I104" s="967">
        <f t="shared" ref="I104:I111" si="4">ROUND(F104*H104*C104,2)</f>
        <v>1.83</v>
      </c>
      <c r="J104" s="969"/>
      <c r="K104" s="969"/>
      <c r="L104" s="981"/>
      <c r="M104" s="981"/>
      <c r="N104" s="981"/>
      <c r="O104" s="981"/>
      <c r="P104" s="981"/>
      <c r="Q104" s="981"/>
      <c r="R104" s="981"/>
      <c r="S104" s="981"/>
      <c r="T104" s="981"/>
      <c r="U104" s="981"/>
      <c r="V104" s="981"/>
    </row>
    <row r="105" spans="1:22" s="961" customFormat="1" ht="11.25">
      <c r="A105" s="960"/>
      <c r="B105" s="961" t="s">
        <v>864</v>
      </c>
      <c r="C105" s="961">
        <v>1</v>
      </c>
      <c r="F105" s="961">
        <f>2*(3.39-0.115+3.465-0.115)</f>
        <v>13.25</v>
      </c>
      <c r="H105" s="961">
        <v>0.15</v>
      </c>
      <c r="I105" s="967">
        <f t="shared" si="4"/>
        <v>1.99</v>
      </c>
      <c r="J105" s="969"/>
      <c r="K105" s="969"/>
      <c r="L105" s="981"/>
      <c r="M105" s="981"/>
      <c r="N105" s="981"/>
      <c r="O105" s="981"/>
      <c r="P105" s="981"/>
      <c r="Q105" s="981"/>
      <c r="R105" s="981"/>
      <c r="S105" s="981"/>
      <c r="T105" s="981"/>
      <c r="U105" s="981"/>
      <c r="V105" s="981"/>
    </row>
    <row r="106" spans="1:22" s="961" customFormat="1" ht="11.25">
      <c r="A106" s="960"/>
      <c r="B106" s="961" t="s">
        <v>1270</v>
      </c>
      <c r="C106" s="961">
        <v>1</v>
      </c>
      <c r="F106" s="961">
        <f>2*(2.82+3.01+3.465-0.115+1.83)</f>
        <v>22.02</v>
      </c>
      <c r="H106" s="961">
        <v>0.15</v>
      </c>
      <c r="I106" s="967">
        <f t="shared" si="4"/>
        <v>3.3</v>
      </c>
      <c r="J106" s="969"/>
      <c r="K106" s="969"/>
      <c r="L106" s="981"/>
      <c r="M106" s="981"/>
      <c r="N106" s="981"/>
      <c r="O106" s="981"/>
      <c r="P106" s="981"/>
      <c r="Q106" s="981"/>
      <c r="R106" s="981"/>
      <c r="S106" s="981"/>
      <c r="T106" s="981"/>
      <c r="U106" s="981"/>
      <c r="V106" s="981"/>
    </row>
    <row r="107" spans="1:22" s="961" customFormat="1" ht="11.25">
      <c r="A107" s="960"/>
      <c r="B107" s="961" t="s">
        <v>1271</v>
      </c>
      <c r="C107" s="961">
        <v>1</v>
      </c>
      <c r="F107" s="961">
        <f>2*(3.16+3.35)</f>
        <v>13.02</v>
      </c>
      <c r="H107" s="961">
        <v>0.15</v>
      </c>
      <c r="I107" s="967">
        <f t="shared" si="4"/>
        <v>1.95</v>
      </c>
      <c r="J107" s="969"/>
      <c r="K107" s="969"/>
      <c r="L107" s="981"/>
      <c r="M107" s="981"/>
      <c r="N107" s="981"/>
      <c r="O107" s="981"/>
      <c r="P107" s="981"/>
      <c r="Q107" s="981"/>
      <c r="R107" s="981"/>
      <c r="S107" s="981"/>
      <c r="T107" s="981"/>
      <c r="U107" s="981"/>
      <c r="V107" s="981"/>
    </row>
    <row r="108" spans="1:22" s="961" customFormat="1" ht="11.25">
      <c r="A108" s="960"/>
      <c r="B108" s="961" t="s">
        <v>628</v>
      </c>
      <c r="C108" s="961">
        <v>1</v>
      </c>
      <c r="F108" s="961">
        <f>2*(2.82+3.01-0.115+3.35)</f>
        <v>18.13</v>
      </c>
      <c r="H108" s="961">
        <v>0.15</v>
      </c>
      <c r="I108" s="967">
        <f t="shared" si="4"/>
        <v>2.72</v>
      </c>
      <c r="J108" s="969"/>
      <c r="K108" s="969"/>
      <c r="L108" s="981"/>
      <c r="M108" s="981"/>
      <c r="N108" s="981"/>
      <c r="O108" s="981"/>
      <c r="P108" s="981"/>
      <c r="Q108" s="981"/>
      <c r="R108" s="981"/>
      <c r="S108" s="981"/>
      <c r="T108" s="981"/>
      <c r="U108" s="981"/>
      <c r="V108" s="981"/>
    </row>
    <row r="109" spans="1:22" s="961" customFormat="1" ht="11.25">
      <c r="A109" s="960"/>
      <c r="B109" s="961" t="s">
        <v>1211</v>
      </c>
      <c r="C109" s="961">
        <v>1</v>
      </c>
      <c r="F109" s="961">
        <f>2*(5.22+2.95-0.115)</f>
        <v>16.11</v>
      </c>
      <c r="H109" s="961">
        <v>0.15</v>
      </c>
      <c r="I109" s="967">
        <f t="shared" si="4"/>
        <v>2.42</v>
      </c>
      <c r="J109" s="969"/>
      <c r="K109" s="969"/>
      <c r="L109" s="981"/>
      <c r="M109" s="981"/>
      <c r="N109" s="981"/>
      <c r="O109" s="981"/>
      <c r="P109" s="981"/>
      <c r="Q109" s="981"/>
      <c r="R109" s="981"/>
      <c r="S109" s="981"/>
      <c r="T109" s="981"/>
      <c r="U109" s="981"/>
      <c r="V109" s="981"/>
    </row>
    <row r="110" spans="1:22" s="961" customFormat="1" ht="45">
      <c r="A110" s="960"/>
      <c r="B110" s="964" t="s">
        <v>1278</v>
      </c>
      <c r="C110" s="989">
        <v>16</v>
      </c>
      <c r="D110" s="989"/>
      <c r="E110" s="989"/>
      <c r="F110" s="974">
        <v>0.05</v>
      </c>
      <c r="G110" s="987"/>
      <c r="H110" s="974">
        <v>0.15</v>
      </c>
      <c r="I110" s="967">
        <f t="shared" si="4"/>
        <v>0.12</v>
      </c>
      <c r="J110" s="962" t="s">
        <v>154</v>
      </c>
      <c r="K110" s="969"/>
    </row>
    <row r="111" spans="1:22" s="961" customFormat="1" ht="34.5" customHeight="1">
      <c r="A111" s="960"/>
      <c r="B111" s="1016" t="s">
        <v>1279</v>
      </c>
      <c r="C111" s="989">
        <v>8</v>
      </c>
      <c r="D111" s="989"/>
      <c r="E111" s="989"/>
      <c r="F111" s="974">
        <v>0.05</v>
      </c>
      <c r="G111" s="987"/>
      <c r="H111" s="989">
        <v>0.15</v>
      </c>
      <c r="I111" s="967">
        <f t="shared" si="4"/>
        <v>0.06</v>
      </c>
      <c r="J111" s="962"/>
      <c r="K111" s="969"/>
    </row>
    <row r="112" spans="1:22" s="961" customFormat="1" ht="45">
      <c r="A112" s="960"/>
      <c r="B112" s="964" t="s">
        <v>1275</v>
      </c>
      <c r="C112" s="989">
        <v>8</v>
      </c>
      <c r="D112" s="989"/>
      <c r="E112" s="989"/>
      <c r="F112" s="974">
        <v>1.2</v>
      </c>
      <c r="G112" s="987"/>
      <c r="H112" s="974">
        <v>0.15</v>
      </c>
      <c r="I112" s="967">
        <f>-ROUND(F112*H112*C112,2)</f>
        <v>-1.44</v>
      </c>
      <c r="J112" s="962" t="s">
        <v>154</v>
      </c>
      <c r="K112" s="969"/>
    </row>
    <row r="113" spans="1:22" s="961" customFormat="1" ht="34.5" customHeight="1">
      <c r="A113" s="960"/>
      <c r="B113" s="1016" t="s">
        <v>1276</v>
      </c>
      <c r="C113" s="989">
        <v>4</v>
      </c>
      <c r="D113" s="989"/>
      <c r="E113" s="989"/>
      <c r="F113" s="974">
        <v>1.05</v>
      </c>
      <c r="G113" s="987"/>
      <c r="H113" s="989">
        <v>0.15</v>
      </c>
      <c r="I113" s="967">
        <f>-ROUND(F113*H113*C113,2)</f>
        <v>-0.63</v>
      </c>
      <c r="J113" s="962"/>
      <c r="K113" s="969"/>
    </row>
    <row r="114" spans="1:22" s="961" customFormat="1" ht="11.25">
      <c r="A114" s="960"/>
      <c r="I114" s="967"/>
      <c r="J114" s="981">
        <f>data1!F522</f>
        <v>1014.25</v>
      </c>
      <c r="K114" s="969">
        <f>ROUND(I114*J114,0)</f>
        <v>0</v>
      </c>
      <c r="L114" s="981">
        <f>ROUND(data1!H524*$I$114,2)</f>
        <v>0</v>
      </c>
      <c r="M114" s="981">
        <f>ROUND(data1!I524*$I$114,2)</f>
        <v>0</v>
      </c>
      <c r="N114" s="981">
        <f>ROUND(data1!J524*$I$114,2)</f>
        <v>0</v>
      </c>
      <c r="O114" s="981">
        <f>ROUND(data1!K524*$I$114,2)</f>
        <v>0</v>
      </c>
      <c r="P114" s="981">
        <f>ROUND(data1!L524*$I$114,2)</f>
        <v>0</v>
      </c>
      <c r="Q114" s="981">
        <f>ROUND(data1!M524*$I$114,2)</f>
        <v>0</v>
      </c>
      <c r="R114" s="981">
        <f>ROUND(data1!N524*$I$114,2)</f>
        <v>0</v>
      </c>
      <c r="S114" s="981">
        <f>ROUND(data1!O524*$I$114,2)</f>
        <v>0</v>
      </c>
      <c r="T114" s="981">
        <f>ROUND(data1!P524*$I$114,2)</f>
        <v>0</v>
      </c>
      <c r="U114" s="981">
        <f>ROUND(data1!Q524*$I$114,2)</f>
        <v>0</v>
      </c>
      <c r="V114" s="981"/>
    </row>
    <row r="115" spans="1:22" s="961" customFormat="1" ht="10.5" customHeight="1">
      <c r="A115" s="960"/>
      <c r="I115" s="963" t="s">
        <v>1267</v>
      </c>
      <c r="J115" s="969"/>
      <c r="K115" s="969"/>
      <c r="L115" s="981"/>
      <c r="M115" s="981"/>
      <c r="N115" s="981"/>
      <c r="O115" s="981"/>
      <c r="P115" s="981"/>
      <c r="Q115" s="981"/>
      <c r="R115" s="981"/>
      <c r="S115" s="981"/>
      <c r="T115" s="981"/>
      <c r="U115" s="981"/>
      <c r="V115" s="981"/>
    </row>
    <row r="116" spans="1:22" s="961" customFormat="1" ht="147.75" customHeight="1">
      <c r="A116" s="960">
        <v>10</v>
      </c>
      <c r="B116" s="1310" t="s">
        <v>1228</v>
      </c>
      <c r="C116" s="1311"/>
      <c r="D116" s="1311"/>
      <c r="E116" s="1311"/>
      <c r="F116" s="1311"/>
      <c r="G116" s="1311"/>
      <c r="H116" s="1311"/>
      <c r="J116" s="969"/>
      <c r="K116" s="969"/>
    </row>
    <row r="117" spans="1:22" s="961" customFormat="1" ht="11.25">
      <c r="A117" s="960"/>
      <c r="B117" s="983" t="s">
        <v>1229</v>
      </c>
      <c r="G117" s="965"/>
      <c r="H117" s="965"/>
      <c r="I117" s="973"/>
      <c r="J117" s="969"/>
      <c r="K117" s="969"/>
    </row>
    <row r="118" spans="1:22" s="961" customFormat="1" ht="11.25">
      <c r="A118" s="960"/>
      <c r="B118" s="980" t="s">
        <v>1085</v>
      </c>
      <c r="F118" s="961">
        <v>12.475</v>
      </c>
      <c r="G118" s="965">
        <v>8.84</v>
      </c>
      <c r="H118" s="965"/>
      <c r="I118" s="973">
        <f>ROUND(C118*F118*G118,2)</f>
        <v>0</v>
      </c>
      <c r="J118" s="970">
        <f>data1!F602</f>
        <v>377.84</v>
      </c>
      <c r="K118" s="969">
        <f>ROUND((J118*I118),0)</f>
        <v>0</v>
      </c>
      <c r="L118" s="961">
        <f>ROUND($I$118*data1!H604,2)</f>
        <v>0</v>
      </c>
      <c r="M118" s="961">
        <f>ROUND($I$118*data1!I604,2)</f>
        <v>0</v>
      </c>
      <c r="N118" s="961">
        <f>ROUND($I$118*data1!J604,2)</f>
        <v>0</v>
      </c>
      <c r="O118" s="961">
        <f>ROUND($I$118*data1!K604,2)</f>
        <v>0</v>
      </c>
      <c r="P118" s="961">
        <f>ROUND($I$118*data1!L604,2)</f>
        <v>0</v>
      </c>
      <c r="Q118" s="961">
        <f>ROUND($I$118*data1!M604,2)</f>
        <v>0</v>
      </c>
      <c r="R118" s="961">
        <f>ROUND($I$118*data1!N604,2)</f>
        <v>0</v>
      </c>
      <c r="S118" s="961">
        <f>ROUND($I$118*data1!O604,2)</f>
        <v>0</v>
      </c>
      <c r="T118" s="961">
        <f>ROUND($I$118*data1!P604,2)</f>
        <v>0</v>
      </c>
      <c r="U118" s="961">
        <f>SUM(L118:T118)</f>
        <v>0</v>
      </c>
    </row>
    <row r="119" spans="1:22" s="961" customFormat="1" ht="11.25">
      <c r="A119" s="960"/>
      <c r="I119" s="962" t="s">
        <v>114</v>
      </c>
      <c r="J119" s="962" t="s">
        <v>625</v>
      </c>
      <c r="K119" s="969"/>
    </row>
    <row r="120" spans="1:22" s="961" customFormat="1" ht="90.75" customHeight="1">
      <c r="A120" s="960">
        <v>11</v>
      </c>
      <c r="B120" s="1310" t="s">
        <v>1224</v>
      </c>
      <c r="C120" s="1311"/>
      <c r="D120" s="1311"/>
      <c r="E120" s="1311"/>
      <c r="F120" s="1311"/>
      <c r="G120" s="1311"/>
      <c r="H120" s="1311"/>
      <c r="J120" s="962"/>
      <c r="K120" s="969"/>
    </row>
    <row r="121" spans="1:22" s="961" customFormat="1" ht="11.25">
      <c r="A121" s="960"/>
      <c r="B121" s="983" t="s">
        <v>1225</v>
      </c>
      <c r="C121" s="962"/>
      <c r="D121" s="962"/>
      <c r="E121" s="962"/>
      <c r="F121" s="962"/>
      <c r="G121" s="962"/>
      <c r="H121" s="962"/>
      <c r="I121" s="962"/>
      <c r="J121" s="962"/>
      <c r="K121" s="969"/>
    </row>
    <row r="122" spans="1:22" s="961" customFormat="1" ht="11.25">
      <c r="A122" s="960"/>
      <c r="B122" s="980" t="s">
        <v>1227</v>
      </c>
      <c r="C122" s="962">
        <v>1</v>
      </c>
      <c r="D122" s="962"/>
      <c r="E122" s="962"/>
      <c r="F122" s="962">
        <f>8.61-0.23</f>
        <v>8.379999999999999</v>
      </c>
      <c r="G122" s="962">
        <f>12.245-0.23</f>
        <v>12.014999999999999</v>
      </c>
      <c r="H122" s="962"/>
      <c r="I122" s="970">
        <f>ROUND(F122*G122*C122,2)</f>
        <v>100.69</v>
      </c>
      <c r="J122" s="962"/>
      <c r="K122" s="969"/>
    </row>
    <row r="123" spans="1:22" s="961" customFormat="1" ht="11.25">
      <c r="A123" s="960"/>
      <c r="B123" s="980" t="s">
        <v>1064</v>
      </c>
      <c r="C123" s="962">
        <v>3</v>
      </c>
      <c r="D123" s="962"/>
      <c r="E123" s="962"/>
      <c r="F123" s="962">
        <v>0.38</v>
      </c>
      <c r="G123" s="962">
        <v>0.23</v>
      </c>
      <c r="H123" s="962"/>
      <c r="I123" s="970">
        <f>-ROUND(F123*G123*C123,2)</f>
        <v>-0.26</v>
      </c>
      <c r="J123" s="962"/>
      <c r="K123" s="969"/>
    </row>
    <row r="124" spans="1:22" s="962" customFormat="1" ht="11.25">
      <c r="A124" s="966"/>
      <c r="B124" s="980" t="s">
        <v>1079</v>
      </c>
      <c r="C124" s="962">
        <v>1</v>
      </c>
      <c r="F124" s="970">
        <v>1</v>
      </c>
      <c r="G124" s="962">
        <v>1.1499999999999999</v>
      </c>
      <c r="I124" s="1017">
        <f>ROUND(C124*F124*G124,2)</f>
        <v>1.1499999999999999</v>
      </c>
      <c r="K124" s="1018"/>
    </row>
    <row r="125" spans="1:22" s="962" customFormat="1" ht="11.25">
      <c r="A125" s="966"/>
      <c r="B125" s="980" t="s">
        <v>1057</v>
      </c>
      <c r="F125" s="970"/>
      <c r="I125" s="1017">
        <v>0.02</v>
      </c>
      <c r="K125" s="1018"/>
    </row>
    <row r="126" spans="1:22" s="961" customFormat="1" ht="11.25">
      <c r="A126" s="960"/>
      <c r="B126" s="962"/>
      <c r="C126" s="962"/>
      <c r="D126" s="962"/>
      <c r="E126" s="962"/>
      <c r="F126" s="962"/>
      <c r="G126" s="962"/>
      <c r="H126" s="962"/>
      <c r="I126" s="970"/>
      <c r="J126" s="968">
        <f>data1!F728</f>
        <v>290.45</v>
      </c>
      <c r="K126" s="969">
        <f>ROUND((J126*I126)/1,0)</f>
        <v>0</v>
      </c>
      <c r="L126" s="961">
        <f>ROUND($I$126*data1!H730,2)</f>
        <v>0</v>
      </c>
      <c r="M126" s="961">
        <f>ROUND($I$126*data1!I730,2)</f>
        <v>0</v>
      </c>
      <c r="N126" s="961">
        <f>ROUND($I$126*data1!J730,2)</f>
        <v>0</v>
      </c>
      <c r="O126" s="961">
        <f>ROUND($I$126*data1!K730,2)</f>
        <v>0</v>
      </c>
      <c r="P126" s="961">
        <f>ROUND($I$126*data1!L730,2)</f>
        <v>0</v>
      </c>
      <c r="Q126" s="961">
        <f>ROUND($I$126*data1!M730,2)</f>
        <v>0</v>
      </c>
      <c r="R126" s="961">
        <f>ROUND($I$126*data1!N730,2)</f>
        <v>0</v>
      </c>
      <c r="S126" s="961">
        <f>ROUND($I$126*data1!O730,2)</f>
        <v>0</v>
      </c>
      <c r="T126" s="961">
        <f>ROUND($I$126*data1!P730,2)</f>
        <v>0</v>
      </c>
      <c r="U126" s="961">
        <f>SUM(L126:T126)</f>
        <v>0</v>
      </c>
    </row>
    <row r="127" spans="1:22" s="961" customFormat="1" ht="11.25">
      <c r="A127" s="960"/>
      <c r="B127" s="962"/>
      <c r="C127" s="962"/>
      <c r="D127" s="962"/>
      <c r="E127" s="962"/>
      <c r="F127" s="962"/>
      <c r="G127" s="962"/>
      <c r="H127" s="962"/>
      <c r="I127" s="962" t="s">
        <v>114</v>
      </c>
      <c r="J127" s="962" t="s">
        <v>625</v>
      </c>
      <c r="K127" s="969"/>
    </row>
    <row r="128" spans="1:22" s="961" customFormat="1" ht="90" customHeight="1">
      <c r="A128" s="960">
        <v>12</v>
      </c>
      <c r="B128" s="1312" t="s">
        <v>1230</v>
      </c>
      <c r="C128" s="1312"/>
      <c r="D128" s="1312"/>
      <c r="E128" s="1312"/>
      <c r="F128" s="1312"/>
      <c r="G128" s="1312"/>
      <c r="H128" s="1312"/>
      <c r="J128" s="962"/>
      <c r="K128" s="969"/>
      <c r="L128" s="969"/>
      <c r="M128" s="969"/>
    </row>
    <row r="129" spans="1:11" s="961" customFormat="1" ht="11.25">
      <c r="A129" s="960"/>
      <c r="B129" s="988" t="s">
        <v>1231</v>
      </c>
      <c r="H129" s="981"/>
      <c r="I129" s="981"/>
      <c r="J129" s="962"/>
      <c r="K129" s="969"/>
    </row>
    <row r="130" spans="1:11" s="961" customFormat="1" ht="11.25">
      <c r="A130" s="960"/>
      <c r="B130" s="961" t="s">
        <v>864</v>
      </c>
      <c r="C130" s="961">
        <v>1</v>
      </c>
      <c r="F130" s="961">
        <f>2*(3.465-0.23+3.39-0.115)</f>
        <v>13.02</v>
      </c>
      <c r="H130" s="981">
        <f>3.3-0.15-0.125-0.05</f>
        <v>2.9750000000000001</v>
      </c>
      <c r="I130" s="981">
        <f>ROUND(F130*H130*1,2)</f>
        <v>38.729999999999997</v>
      </c>
      <c r="J130" s="962"/>
      <c r="K130" s="969"/>
    </row>
    <row r="131" spans="1:11" s="961" customFormat="1" ht="11.25">
      <c r="A131" s="960"/>
      <c r="B131" s="961" t="s">
        <v>865</v>
      </c>
      <c r="C131" s="961">
        <v>1</v>
      </c>
      <c r="F131" s="961">
        <f>2*(1.53+1.295)</f>
        <v>5.65</v>
      </c>
      <c r="H131" s="981">
        <f>3.3-0.125-2.1-0.05</f>
        <v>1.0249999999999997</v>
      </c>
      <c r="I131" s="981">
        <f>ROUND(F131*H131*1,2)</f>
        <v>5.79</v>
      </c>
      <c r="J131" s="962"/>
      <c r="K131" s="969"/>
    </row>
    <row r="132" spans="1:11" s="961" customFormat="1" ht="11.25">
      <c r="A132" s="960"/>
      <c r="B132" s="961" t="s">
        <v>866</v>
      </c>
      <c r="C132" s="961">
        <v>1</v>
      </c>
      <c r="F132" s="981">
        <f>2*(1.63+1.295)</f>
        <v>5.85</v>
      </c>
      <c r="H132" s="981">
        <f>3.3-0.125-2.1-0.05</f>
        <v>1.0249999999999997</v>
      </c>
      <c r="I132" s="981">
        <f>ROUND(F132*H132*1,2)</f>
        <v>6</v>
      </c>
      <c r="J132" s="962"/>
      <c r="K132" s="969"/>
    </row>
    <row r="133" spans="1:11" s="961" customFormat="1" ht="11.25">
      <c r="A133" s="960"/>
      <c r="B133" s="961" t="s">
        <v>1238</v>
      </c>
      <c r="C133" s="961">
        <v>1</v>
      </c>
      <c r="F133" s="981">
        <f>2*(1.53+1.37)</f>
        <v>5.8000000000000007</v>
      </c>
      <c r="H133" s="981">
        <f>3.3-0.125-2.1-0.05</f>
        <v>1.0249999999999997</v>
      </c>
      <c r="I133" s="981">
        <f>ROUND(F132*H133*1,2)</f>
        <v>6</v>
      </c>
      <c r="J133" s="962"/>
      <c r="K133" s="969"/>
    </row>
    <row r="134" spans="1:11" s="961" customFormat="1" ht="11.25">
      <c r="A134" s="960"/>
      <c r="B134" s="961" t="s">
        <v>1239</v>
      </c>
      <c r="C134" s="961">
        <v>1</v>
      </c>
      <c r="F134" s="981">
        <f>2*(1.63+1.37)</f>
        <v>6</v>
      </c>
      <c r="H134" s="981">
        <f>3.3-0.125-2.1-0.05</f>
        <v>1.0249999999999997</v>
      </c>
      <c r="I134" s="981">
        <f t="shared" ref="I134:I141" si="5">ROUND(F134*H134*1,2)</f>
        <v>6.15</v>
      </c>
      <c r="J134" s="962"/>
      <c r="K134" s="969"/>
    </row>
    <row r="135" spans="1:11" s="961" customFormat="1" ht="11.25">
      <c r="A135" s="960"/>
      <c r="B135" s="961" t="s">
        <v>1240</v>
      </c>
      <c r="C135" s="961">
        <v>1</v>
      </c>
      <c r="F135" s="961">
        <f>2*(2.82+3.39-0.115)</f>
        <v>12.19</v>
      </c>
      <c r="H135" s="981">
        <f>H130</f>
        <v>2.9750000000000001</v>
      </c>
      <c r="I135" s="981">
        <f t="shared" si="5"/>
        <v>36.270000000000003</v>
      </c>
      <c r="J135" s="962"/>
      <c r="K135" s="969"/>
    </row>
    <row r="136" spans="1:11" s="961" customFormat="1" ht="11.25">
      <c r="A136" s="960"/>
      <c r="B136" s="961" t="s">
        <v>1241</v>
      </c>
      <c r="C136" s="961">
        <v>1</v>
      </c>
      <c r="F136" s="961">
        <f>2.82+3.01+3.465-0.115</f>
        <v>9.18</v>
      </c>
      <c r="H136" s="986">
        <f>H130</f>
        <v>2.9750000000000001</v>
      </c>
      <c r="I136" s="981">
        <f t="shared" si="5"/>
        <v>27.31</v>
      </c>
      <c r="J136" s="962"/>
      <c r="K136" s="969"/>
    </row>
    <row r="137" spans="1:11" s="961" customFormat="1" ht="11.25">
      <c r="A137" s="960"/>
      <c r="B137" s="961" t="s">
        <v>1242</v>
      </c>
      <c r="C137" s="961">
        <v>2</v>
      </c>
      <c r="F137" s="961">
        <v>1.83</v>
      </c>
      <c r="H137" s="986">
        <f>H130</f>
        <v>2.9750000000000001</v>
      </c>
      <c r="I137" s="981">
        <f>ROUND(C137*F137*H137*1,2)</f>
        <v>10.89</v>
      </c>
      <c r="J137" s="962"/>
      <c r="K137" s="969"/>
    </row>
    <row r="138" spans="1:11" s="961" customFormat="1" ht="11.25">
      <c r="A138" s="960"/>
      <c r="B138" s="961" t="s">
        <v>1243</v>
      </c>
      <c r="C138" s="961">
        <v>1</v>
      </c>
      <c r="F138" s="961">
        <f>2.82+3.01+3.465-0.115</f>
        <v>9.18</v>
      </c>
      <c r="H138" s="986">
        <f>H130</f>
        <v>2.9750000000000001</v>
      </c>
      <c r="I138" s="981">
        <f>ROUND(F138*H138*1,2)</f>
        <v>27.31</v>
      </c>
      <c r="J138" s="962"/>
      <c r="K138" s="969"/>
    </row>
    <row r="139" spans="1:11" s="961" customFormat="1" ht="11.25">
      <c r="A139" s="960"/>
      <c r="B139" s="961" t="s">
        <v>1246</v>
      </c>
      <c r="C139" s="961">
        <v>1</v>
      </c>
      <c r="F139" s="961">
        <f>2*(3.16+3.35)</f>
        <v>13.02</v>
      </c>
      <c r="H139" s="986">
        <f>H130</f>
        <v>2.9750000000000001</v>
      </c>
      <c r="I139" s="981">
        <f t="shared" si="5"/>
        <v>38.729999999999997</v>
      </c>
      <c r="J139" s="962"/>
      <c r="K139" s="969"/>
    </row>
    <row r="140" spans="1:11" s="961" customFormat="1" ht="11.25">
      <c r="A140" s="960"/>
      <c r="B140" s="961" t="s">
        <v>1247</v>
      </c>
      <c r="C140" s="961">
        <v>1</v>
      </c>
      <c r="F140" s="961">
        <v>16.52</v>
      </c>
      <c r="H140" s="986">
        <f>H130</f>
        <v>2.9750000000000001</v>
      </c>
      <c r="I140" s="981">
        <f t="shared" si="5"/>
        <v>49.15</v>
      </c>
      <c r="J140" s="962"/>
      <c r="K140" s="969"/>
    </row>
    <row r="141" spans="1:11" s="961" customFormat="1" ht="11.25">
      <c r="A141" s="960"/>
      <c r="B141" s="961" t="s">
        <v>1255</v>
      </c>
      <c r="C141" s="961">
        <v>1</v>
      </c>
      <c r="F141" s="961">
        <v>15.32</v>
      </c>
      <c r="H141" s="986">
        <f>H130</f>
        <v>2.9750000000000001</v>
      </c>
      <c r="I141" s="981">
        <f t="shared" si="5"/>
        <v>45.58</v>
      </c>
      <c r="J141" s="962"/>
      <c r="K141" s="969"/>
    </row>
    <row r="142" spans="1:11" s="974" customFormat="1" ht="11.25">
      <c r="B142" s="990" t="s">
        <v>1125</v>
      </c>
      <c r="C142" s="991">
        <v>1</v>
      </c>
      <c r="D142" s="991"/>
      <c r="E142" s="991"/>
      <c r="F142" s="989">
        <f>3.39</f>
        <v>3.39</v>
      </c>
      <c r="G142" s="989"/>
      <c r="H142" s="989">
        <f>3.3-0.125-0.15-0.05</f>
        <v>2.9750000000000001</v>
      </c>
      <c r="I142" s="967">
        <f>ROUND(C142*F142*H142,2)</f>
        <v>10.09</v>
      </c>
      <c r="J142" s="991"/>
      <c r="K142" s="976"/>
    </row>
    <row r="143" spans="1:11" s="974" customFormat="1" ht="11.25">
      <c r="B143" s="990" t="s">
        <v>1256</v>
      </c>
      <c r="C143" s="989">
        <v>1</v>
      </c>
      <c r="D143" s="989"/>
      <c r="E143" s="989"/>
      <c r="F143" s="989">
        <f>1+1+2.95-0.23</f>
        <v>4.72</v>
      </c>
      <c r="G143" s="989"/>
      <c r="H143" s="989">
        <f>3.3-0.125-0.05</f>
        <v>3.125</v>
      </c>
      <c r="I143" s="967">
        <f>ROUND(C143*F143*H143,2)</f>
        <v>14.75</v>
      </c>
      <c r="J143" s="991"/>
      <c r="K143" s="976"/>
    </row>
    <row r="144" spans="1:11" s="961" customFormat="1" ht="11.25">
      <c r="A144" s="960"/>
      <c r="B144" s="961" t="s">
        <v>1258</v>
      </c>
      <c r="C144" s="961">
        <v>1</v>
      </c>
      <c r="F144" s="961">
        <f>3.56+3.56+0.15</f>
        <v>7.2700000000000005</v>
      </c>
      <c r="H144" s="981">
        <f>0.75+0.75+0.15+0.15</f>
        <v>1.7999999999999998</v>
      </c>
      <c r="I144" s="963">
        <f>ROUND(C144*F144*H144,2)</f>
        <v>13.09</v>
      </c>
      <c r="J144" s="985"/>
      <c r="K144" s="969"/>
    </row>
    <row r="145" spans="1:21" s="961" customFormat="1" ht="45">
      <c r="A145" s="960"/>
      <c r="B145" s="964" t="s">
        <v>1249</v>
      </c>
      <c r="C145" s="989">
        <v>4</v>
      </c>
      <c r="D145" s="989"/>
      <c r="E145" s="989"/>
      <c r="F145" s="974">
        <f>2*2.1+1.2</f>
        <v>5.4</v>
      </c>
      <c r="G145" s="974"/>
      <c r="H145" s="987">
        <v>0.05</v>
      </c>
      <c r="I145" s="967">
        <f>ROUND(F145*H145*C145,2)</f>
        <v>1.08</v>
      </c>
      <c r="J145" s="962"/>
      <c r="K145" s="969"/>
    </row>
    <row r="146" spans="1:21" s="961" customFormat="1" ht="34.5" customHeight="1">
      <c r="A146" s="960"/>
      <c r="B146" s="1016" t="s">
        <v>1250</v>
      </c>
      <c r="C146" s="989">
        <v>2</v>
      </c>
      <c r="D146" s="989"/>
      <c r="E146" s="989"/>
      <c r="F146" s="974">
        <f>2*2.1+1.05</f>
        <v>5.25</v>
      </c>
      <c r="G146" s="974"/>
      <c r="H146" s="987">
        <v>0.05</v>
      </c>
      <c r="I146" s="967">
        <f>ROUND(F146*H146*C146,2)</f>
        <v>0.53</v>
      </c>
      <c r="J146" s="962"/>
      <c r="K146" s="969"/>
    </row>
    <row r="147" spans="1:21" s="961" customFormat="1" ht="46.5" customHeight="1">
      <c r="A147" s="960"/>
      <c r="B147" s="1016" t="s">
        <v>1251</v>
      </c>
      <c r="C147" s="989">
        <v>4</v>
      </c>
      <c r="D147" s="989"/>
      <c r="E147" s="989"/>
      <c r="F147" s="974">
        <f>2*2.1+1.05</f>
        <v>5.25</v>
      </c>
      <c r="G147" s="974"/>
      <c r="H147" s="987">
        <v>0.05</v>
      </c>
      <c r="I147" s="967">
        <f>ROUND(F147*H147*C147,2)</f>
        <v>1.05</v>
      </c>
      <c r="J147" s="962"/>
      <c r="K147" s="969"/>
    </row>
    <row r="148" spans="1:21" s="961" customFormat="1" ht="78.75">
      <c r="A148" s="960"/>
      <c r="B148" s="964" t="s">
        <v>1248</v>
      </c>
      <c r="C148" s="989">
        <v>10</v>
      </c>
      <c r="D148" s="989"/>
      <c r="E148" s="989"/>
      <c r="F148" s="967">
        <f>2*(1.5+1.35)</f>
        <v>5.7</v>
      </c>
      <c r="G148" s="989"/>
      <c r="H148" s="967">
        <v>0.15</v>
      </c>
      <c r="I148" s="967">
        <f>ROUND(F148*H148*C148,2)</f>
        <v>8.5500000000000007</v>
      </c>
      <c r="J148" s="962"/>
      <c r="K148" s="969"/>
    </row>
    <row r="149" spans="1:21" s="961" customFormat="1" ht="45">
      <c r="A149" s="960"/>
      <c r="B149" s="964" t="s">
        <v>1252</v>
      </c>
      <c r="C149" s="989">
        <v>4</v>
      </c>
      <c r="D149" s="989"/>
      <c r="E149" s="989"/>
      <c r="F149" s="974">
        <v>1.2</v>
      </c>
      <c r="G149" s="974"/>
      <c r="H149" s="987">
        <v>2.1</v>
      </c>
      <c r="I149" s="967">
        <f>-ROUND(F149*H149*C149,2)</f>
        <v>-10.08</v>
      </c>
      <c r="J149" s="962"/>
      <c r="K149" s="969"/>
    </row>
    <row r="150" spans="1:21" s="961" customFormat="1" ht="34.5" customHeight="1">
      <c r="A150" s="960"/>
      <c r="B150" s="1016" t="s">
        <v>1253</v>
      </c>
      <c r="C150" s="989">
        <v>2</v>
      </c>
      <c r="D150" s="989"/>
      <c r="E150" s="989"/>
      <c r="F150" s="974">
        <v>1.05</v>
      </c>
      <c r="G150" s="974"/>
      <c r="H150" s="987">
        <v>2.1</v>
      </c>
      <c r="I150" s="967">
        <f>-ROUND(F150*H150*C150,2)</f>
        <v>-4.41</v>
      </c>
      <c r="J150" s="962"/>
      <c r="K150" s="969"/>
    </row>
    <row r="151" spans="1:21" s="961" customFormat="1" ht="46.5" customHeight="1">
      <c r="A151" s="960"/>
      <c r="B151" s="1016" t="s">
        <v>1254</v>
      </c>
      <c r="C151" s="989">
        <v>4</v>
      </c>
      <c r="D151" s="989"/>
      <c r="E151" s="989"/>
      <c r="F151" s="974">
        <v>0.75</v>
      </c>
      <c r="G151" s="974"/>
      <c r="H151" s="987">
        <v>2.1</v>
      </c>
      <c r="I151" s="967">
        <f>-ROUND(F151*H151*C151,2)</f>
        <v>-6.3</v>
      </c>
      <c r="J151" s="962"/>
      <c r="K151" s="969"/>
    </row>
    <row r="152" spans="1:21" s="961" customFormat="1" ht="78.75">
      <c r="A152" s="960"/>
      <c r="B152" s="964" t="s">
        <v>1257</v>
      </c>
      <c r="C152" s="989">
        <v>10</v>
      </c>
      <c r="D152" s="989"/>
      <c r="E152" s="989"/>
      <c r="F152" s="967">
        <v>1.5</v>
      </c>
      <c r="G152" s="989"/>
      <c r="H152" s="967">
        <v>1.35</v>
      </c>
      <c r="I152" s="967">
        <f>ROUND(F152*H152*C152,2)</f>
        <v>20.25</v>
      </c>
      <c r="J152" s="962"/>
      <c r="K152" s="969"/>
    </row>
    <row r="153" spans="1:21" s="961" customFormat="1" ht="11.25">
      <c r="A153" s="960"/>
      <c r="B153" s="964" t="s">
        <v>1057</v>
      </c>
      <c r="C153" s="989"/>
      <c r="D153" s="989"/>
      <c r="E153" s="989"/>
      <c r="F153" s="967"/>
      <c r="G153" s="989"/>
      <c r="H153" s="967"/>
      <c r="I153" s="967">
        <v>0.49</v>
      </c>
      <c r="J153" s="962"/>
      <c r="K153" s="969"/>
    </row>
    <row r="154" spans="1:21" s="961" customFormat="1" ht="11.25">
      <c r="A154" s="960"/>
      <c r="I154" s="981"/>
      <c r="J154" s="970">
        <f>data1!F442</f>
        <v>265.57</v>
      </c>
      <c r="K154" s="969">
        <f>ROUND((J154*I154),0)</f>
        <v>0</v>
      </c>
      <c r="L154" s="961">
        <f>ROUND($I$154*data1!H444,2)</f>
        <v>0</v>
      </c>
      <c r="M154" s="961">
        <f>ROUND($I$154*data1!I444,2)</f>
        <v>0</v>
      </c>
      <c r="N154" s="961">
        <f>ROUND($I$154*data1!J444,2)</f>
        <v>0</v>
      </c>
      <c r="O154" s="961">
        <f>ROUND($I$154*data1!K444,2)</f>
        <v>0</v>
      </c>
      <c r="P154" s="961">
        <f>ROUND($I$154*data1!L444,2)</f>
        <v>0</v>
      </c>
      <c r="Q154" s="961">
        <f>ROUND($I$154*data1!M444,2)</f>
        <v>0</v>
      </c>
      <c r="R154" s="961">
        <f>ROUND($I$154*data1!N444,2)</f>
        <v>0</v>
      </c>
      <c r="S154" s="961">
        <f>ROUND($I$154*data1!O444,2)</f>
        <v>0</v>
      </c>
      <c r="T154" s="961">
        <f>ROUND($I$154*data1!P444,2)</f>
        <v>0</v>
      </c>
      <c r="U154" s="961">
        <f>SUM(L154:T154)</f>
        <v>0</v>
      </c>
    </row>
    <row r="155" spans="1:21" s="961" customFormat="1" ht="11.25">
      <c r="A155" s="960"/>
      <c r="I155" s="981" t="s">
        <v>114</v>
      </c>
      <c r="J155" s="962" t="s">
        <v>625</v>
      </c>
      <c r="K155" s="969"/>
    </row>
    <row r="156" spans="1:21" s="961" customFormat="1" ht="86.25" customHeight="1">
      <c r="A156" s="960">
        <v>13</v>
      </c>
      <c r="B156" s="1309" t="s">
        <v>632</v>
      </c>
      <c r="C156" s="1309"/>
      <c r="D156" s="1309"/>
      <c r="E156" s="1309"/>
      <c r="F156" s="1309"/>
      <c r="G156" s="1309"/>
      <c r="H156" s="1309"/>
      <c r="I156" s="981"/>
      <c r="J156" s="962"/>
      <c r="K156" s="969"/>
    </row>
    <row r="157" spans="1:21" s="961" customFormat="1" ht="11.25">
      <c r="A157" s="960"/>
      <c r="B157" s="553" t="s">
        <v>1265</v>
      </c>
      <c r="C157" s="961">
        <v>1</v>
      </c>
      <c r="F157" s="961">
        <f>2*(12.245+0.23+8.61+0.23)</f>
        <v>42.63</v>
      </c>
      <c r="H157" s="981">
        <v>3.3</v>
      </c>
      <c r="I157" s="965">
        <f>ROUND(C157*F157*H157,2)</f>
        <v>140.68</v>
      </c>
      <c r="J157" s="962"/>
      <c r="K157" s="969"/>
    </row>
    <row r="158" spans="1:21" s="961" customFormat="1" ht="11.25">
      <c r="A158" s="960"/>
      <c r="B158" s="980" t="s">
        <v>1264</v>
      </c>
      <c r="C158" s="977">
        <v>2</v>
      </c>
      <c r="D158" s="977"/>
      <c r="E158" s="977"/>
      <c r="F158" s="981">
        <v>1</v>
      </c>
      <c r="H158" s="981">
        <v>3.3</v>
      </c>
      <c r="I158" s="963">
        <f>ROUND(F158*H158*C158,2)</f>
        <v>6.6</v>
      </c>
      <c r="J158" s="962"/>
      <c r="K158" s="969"/>
    </row>
    <row r="159" spans="1:21" s="961" customFormat="1" ht="11.25">
      <c r="A159" s="960"/>
      <c r="B159" s="980" t="s">
        <v>1263</v>
      </c>
      <c r="C159" s="977">
        <v>1</v>
      </c>
      <c r="D159" s="977"/>
      <c r="E159" s="977"/>
      <c r="F159" s="961">
        <f>'ground floor'!F257+2*1</f>
        <v>50.5</v>
      </c>
      <c r="H159" s="981">
        <f>0.9+0.15+0.9</f>
        <v>1.9500000000000002</v>
      </c>
      <c r="I159" s="963">
        <f>ROUND(F159*H159*C159,2)</f>
        <v>98.48</v>
      </c>
      <c r="J159" s="962"/>
      <c r="K159" s="969"/>
    </row>
    <row r="160" spans="1:21" s="961" customFormat="1" ht="78.75">
      <c r="A160" s="960"/>
      <c r="B160" s="964" t="s">
        <v>1257</v>
      </c>
      <c r="C160" s="989">
        <v>10</v>
      </c>
      <c r="D160" s="989"/>
      <c r="E160" s="989"/>
      <c r="F160" s="967">
        <v>1.5</v>
      </c>
      <c r="G160" s="989"/>
      <c r="H160" s="967">
        <v>1.35</v>
      </c>
      <c r="I160" s="967">
        <f>-ROUND(F160*H160*C160,2)</f>
        <v>-20.25</v>
      </c>
      <c r="J160" s="962"/>
      <c r="K160" s="969"/>
    </row>
    <row r="161" spans="1:21" s="961" customFormat="1" ht="11.25">
      <c r="A161" s="960"/>
      <c r="B161" s="553" t="s">
        <v>1057</v>
      </c>
      <c r="I161" s="981">
        <v>0.44</v>
      </c>
      <c r="J161" s="962"/>
      <c r="K161" s="969"/>
    </row>
    <row r="162" spans="1:21" s="961" customFormat="1" ht="11.25">
      <c r="A162" s="960"/>
      <c r="I162" s="981"/>
      <c r="J162" s="970">
        <f>data1!F469</f>
        <v>279.26</v>
      </c>
      <c r="K162" s="969">
        <f>ROUND((J162*I162),0)</f>
        <v>0</v>
      </c>
      <c r="L162" s="961">
        <f>ROUND($I$162*data1!H471,2)</f>
        <v>0</v>
      </c>
      <c r="M162" s="961">
        <f>ROUND($I$162*data1!I471,2)</f>
        <v>0</v>
      </c>
      <c r="N162" s="961">
        <f>ROUND($I$162*data1!J471,2)</f>
        <v>0</v>
      </c>
      <c r="O162" s="961">
        <f>ROUND($I$162*data1!K471,2)</f>
        <v>0</v>
      </c>
      <c r="P162" s="961">
        <f>ROUND($I$162*data1!L471,2)</f>
        <v>0</v>
      </c>
      <c r="Q162" s="961">
        <f>ROUND($I$162*data1!M471,2)</f>
        <v>0</v>
      </c>
      <c r="R162" s="961">
        <f>ROUND($I$162*data1!N471,2)</f>
        <v>0</v>
      </c>
      <c r="S162" s="961">
        <f>ROUND($I$162*data1!O471,2)</f>
        <v>0</v>
      </c>
      <c r="T162" s="961">
        <f>ROUND($I$162*data1!P471,2)</f>
        <v>0</v>
      </c>
      <c r="U162" s="961">
        <f>SUM(L162:T162)</f>
        <v>0</v>
      </c>
    </row>
    <row r="163" spans="1:21" s="961" customFormat="1" ht="11.25">
      <c r="A163" s="960"/>
      <c r="I163" s="981" t="s">
        <v>114</v>
      </c>
      <c r="J163" s="962" t="s">
        <v>114</v>
      </c>
      <c r="K163" s="969"/>
    </row>
    <row r="164" spans="1:21" s="961" customFormat="1" ht="102.75" customHeight="1">
      <c r="A164" s="960">
        <v>14</v>
      </c>
      <c r="B164" s="1309" t="s">
        <v>495</v>
      </c>
      <c r="C164" s="1309"/>
      <c r="D164" s="1309"/>
      <c r="E164" s="1309"/>
      <c r="F164" s="1309"/>
      <c r="G164" s="1309"/>
      <c r="H164" s="1309"/>
      <c r="I164" s="970"/>
      <c r="J164" s="962"/>
      <c r="K164" s="969"/>
    </row>
    <row r="165" spans="1:21" s="961" customFormat="1" ht="11.25">
      <c r="A165" s="960"/>
      <c r="B165" s="980" t="s">
        <v>1288</v>
      </c>
      <c r="C165" s="961">
        <v>1</v>
      </c>
      <c r="F165" s="961">
        <v>1.53</v>
      </c>
      <c r="G165" s="961">
        <v>1.2949999999999999</v>
      </c>
      <c r="I165" s="970">
        <f>ROUND(G165*F165*C165,2)</f>
        <v>1.98</v>
      </c>
      <c r="J165" s="962"/>
      <c r="K165" s="969"/>
    </row>
    <row r="166" spans="1:21" s="961" customFormat="1" ht="11.25">
      <c r="A166" s="960"/>
      <c r="B166" s="980" t="s">
        <v>866</v>
      </c>
      <c r="C166" s="961">
        <v>1</v>
      </c>
      <c r="F166" s="961">
        <v>1.63</v>
      </c>
      <c r="G166" s="961">
        <v>1.2949999999999999</v>
      </c>
      <c r="I166" s="970">
        <f>ROUND(G166*F166*C166,2)</f>
        <v>2.11</v>
      </c>
      <c r="J166" s="962"/>
      <c r="K166" s="969"/>
    </row>
    <row r="167" spans="1:21" s="961" customFormat="1" ht="11.25">
      <c r="A167" s="960"/>
      <c r="B167" s="980" t="s">
        <v>1285</v>
      </c>
      <c r="C167" s="961">
        <v>1</v>
      </c>
      <c r="F167" s="961">
        <v>1.53</v>
      </c>
      <c r="G167" s="961">
        <v>1.37</v>
      </c>
      <c r="I167" s="970">
        <f>ROUND(G167*F167*C167,2)</f>
        <v>2.1</v>
      </c>
      <c r="J167" s="962"/>
      <c r="K167" s="969"/>
    </row>
    <row r="168" spans="1:21" s="961" customFormat="1" ht="11.25">
      <c r="A168" s="960"/>
      <c r="B168" s="980" t="s">
        <v>1286</v>
      </c>
      <c r="C168" s="961">
        <v>1</v>
      </c>
      <c r="F168" s="961">
        <v>1.63</v>
      </c>
      <c r="G168" s="961">
        <v>1.37</v>
      </c>
      <c r="I168" s="970">
        <f>ROUND(G168*F168*C168,2)</f>
        <v>2.23</v>
      </c>
      <c r="J168" s="962"/>
      <c r="K168" s="969"/>
    </row>
    <row r="169" spans="1:21" s="961" customFormat="1" ht="11.25">
      <c r="A169" s="960"/>
      <c r="B169" s="980" t="s">
        <v>1057</v>
      </c>
      <c r="I169" s="970">
        <v>0.08</v>
      </c>
      <c r="J169" s="962"/>
      <c r="K169" s="969"/>
    </row>
    <row r="170" spans="1:21" s="961" customFormat="1" ht="11.25">
      <c r="A170" s="960"/>
      <c r="I170" s="970"/>
      <c r="J170" s="970">
        <f>data1!F546</f>
        <v>705.23</v>
      </c>
      <c r="K170" s="969">
        <f>ROUND((J170*I170),0)</f>
        <v>0</v>
      </c>
      <c r="L170" s="961">
        <f>ROUND($I$170*data1!H548,2)</f>
        <v>0</v>
      </c>
      <c r="M170" s="961">
        <f>ROUND($I$170*data1!I548,2)</f>
        <v>0</v>
      </c>
      <c r="N170" s="961">
        <f>ROUND($I$170*data1!J548,2)</f>
        <v>0</v>
      </c>
      <c r="O170" s="961">
        <f>ROUND($I$170*data1!K548,2)</f>
        <v>0</v>
      </c>
      <c r="P170" s="961">
        <f>ROUND($I$170*data1!L548,2)</f>
        <v>0</v>
      </c>
      <c r="Q170" s="961">
        <f>ROUND($I$170*data1!M548,2)</f>
        <v>0</v>
      </c>
      <c r="R170" s="961">
        <f>ROUND($I$170*data1!N548,2)</f>
        <v>0</v>
      </c>
      <c r="S170" s="961">
        <f>ROUND($I$170*data1!O548,2)</f>
        <v>0</v>
      </c>
      <c r="T170" s="961">
        <f>ROUND($I$170*data1!P548,2)</f>
        <v>0</v>
      </c>
      <c r="U170" s="961">
        <f>SUM(L170:T170)</f>
        <v>0</v>
      </c>
    </row>
    <row r="171" spans="1:21" s="961" customFormat="1" ht="11.25">
      <c r="A171" s="960"/>
      <c r="I171" s="970" t="s">
        <v>114</v>
      </c>
      <c r="J171" s="962" t="s">
        <v>114</v>
      </c>
      <c r="K171" s="969"/>
    </row>
    <row r="172" spans="1:21" s="961" customFormat="1" ht="89.25" customHeight="1">
      <c r="A172" s="960">
        <v>15</v>
      </c>
      <c r="B172" s="1309" t="s">
        <v>499</v>
      </c>
      <c r="C172" s="1309"/>
      <c r="D172" s="1309"/>
      <c r="E172" s="1309"/>
      <c r="F172" s="1309"/>
      <c r="G172" s="1309"/>
      <c r="H172" s="1309"/>
      <c r="I172" s="970"/>
      <c r="J172" s="962"/>
      <c r="K172" s="969"/>
    </row>
    <row r="173" spans="1:21" s="961" customFormat="1" ht="11.25">
      <c r="A173" s="960"/>
      <c r="B173" s="980" t="s">
        <v>1288</v>
      </c>
      <c r="C173" s="961">
        <f>C165</f>
        <v>1</v>
      </c>
      <c r="F173" s="961">
        <f>ROUND((F165+G165)*2,2)</f>
        <v>5.65</v>
      </c>
      <c r="H173" s="961">
        <v>2.1</v>
      </c>
      <c r="I173" s="970">
        <f>ROUND(H173*F173*C173,2)</f>
        <v>11.87</v>
      </c>
      <c r="J173" s="962"/>
      <c r="K173" s="969"/>
    </row>
    <row r="174" spans="1:21" s="961" customFormat="1" ht="11.25">
      <c r="A174" s="960"/>
      <c r="B174" s="980" t="s">
        <v>866</v>
      </c>
      <c r="C174" s="961">
        <f>C166</f>
        <v>1</v>
      </c>
      <c r="F174" s="961">
        <f>ROUND((F166+G166)*2,2)</f>
        <v>5.85</v>
      </c>
      <c r="H174" s="961">
        <v>2.1</v>
      </c>
      <c r="I174" s="970">
        <f>ROUND(H174*F174*C174,2)</f>
        <v>12.29</v>
      </c>
      <c r="J174" s="962"/>
      <c r="K174" s="969"/>
    </row>
    <row r="175" spans="1:21" s="961" customFormat="1" ht="11.25">
      <c r="A175" s="960"/>
      <c r="B175" s="980" t="s">
        <v>1285</v>
      </c>
      <c r="C175" s="961">
        <f>C167</f>
        <v>1</v>
      </c>
      <c r="F175" s="961">
        <f>ROUND((F167+G167)*2,2)</f>
        <v>5.8</v>
      </c>
      <c r="H175" s="961">
        <v>2.1</v>
      </c>
      <c r="I175" s="970">
        <f>ROUND(H175*F175*C175,2)</f>
        <v>12.18</v>
      </c>
      <c r="J175" s="962"/>
      <c r="K175" s="969"/>
    </row>
    <row r="176" spans="1:21" s="961" customFormat="1" ht="11.25">
      <c r="A176" s="960"/>
      <c r="B176" s="980" t="s">
        <v>1286</v>
      </c>
      <c r="C176" s="961">
        <f>C168</f>
        <v>1</v>
      </c>
      <c r="F176" s="961">
        <f>ROUND((F168+G168)*2,2)</f>
        <v>6</v>
      </c>
      <c r="H176" s="961">
        <v>2.1</v>
      </c>
      <c r="I176" s="970">
        <f>ROUND(H176*F176*C176,2)</f>
        <v>12.6</v>
      </c>
      <c r="J176" s="962"/>
      <c r="K176" s="969"/>
    </row>
    <row r="177" spans="1:22" s="961" customFormat="1" ht="11.25">
      <c r="A177" s="960"/>
      <c r="B177" s="961" t="s">
        <v>1287</v>
      </c>
      <c r="C177" s="961">
        <v>4</v>
      </c>
      <c r="F177" s="961">
        <v>0.75</v>
      </c>
      <c r="H177" s="961">
        <v>2.1</v>
      </c>
      <c r="I177" s="970">
        <f>-ROUND(H177*F177*C177,2)</f>
        <v>-6.3</v>
      </c>
      <c r="J177" s="962"/>
      <c r="K177" s="969"/>
    </row>
    <row r="178" spans="1:22" s="961" customFormat="1" ht="11.25">
      <c r="A178" s="960"/>
      <c r="I178" s="970"/>
      <c r="J178" s="970">
        <f>data1!F568</f>
        <v>492.21</v>
      </c>
      <c r="K178" s="969">
        <f>ROUND((J178*I178),0)</f>
        <v>0</v>
      </c>
      <c r="L178" s="961">
        <f>ROUND($I$178*data1!H570,2)</f>
        <v>0</v>
      </c>
      <c r="M178" s="961">
        <f>ROUND($I$178*data1!I570,2)</f>
        <v>0</v>
      </c>
      <c r="N178" s="961">
        <f>ROUND($I$178*data1!J570,2)</f>
        <v>0</v>
      </c>
      <c r="O178" s="961">
        <f>ROUND($I$178*data1!K570,2)</f>
        <v>0</v>
      </c>
      <c r="P178" s="961">
        <f>ROUND($I$178*data1!L570,2)</f>
        <v>0</v>
      </c>
      <c r="Q178" s="961">
        <f>ROUND($I$178*data1!M570,2)</f>
        <v>0</v>
      </c>
      <c r="R178" s="961">
        <f>ROUND($I$178*data1!N570,2)</f>
        <v>0</v>
      </c>
      <c r="S178" s="961">
        <f>ROUND($I$178*data1!O570,2)</f>
        <v>0</v>
      </c>
      <c r="T178" s="961">
        <f>ROUND($I$178*data1!P570,2)</f>
        <v>0</v>
      </c>
      <c r="U178" s="961">
        <f>SUM(L178:T178)</f>
        <v>0</v>
      </c>
    </row>
    <row r="179" spans="1:22" s="961" customFormat="1" ht="11.25">
      <c r="A179" s="960"/>
      <c r="I179" s="970" t="s">
        <v>114</v>
      </c>
      <c r="J179" s="962" t="s">
        <v>114</v>
      </c>
      <c r="K179" s="969"/>
    </row>
    <row r="180" spans="1:22" s="961" customFormat="1" ht="91.5" customHeight="1">
      <c r="A180" s="960">
        <v>16</v>
      </c>
      <c r="B180" s="1312" t="s">
        <v>1280</v>
      </c>
      <c r="C180" s="1312"/>
      <c r="D180" s="1312"/>
      <c r="E180" s="1312"/>
      <c r="F180" s="1312"/>
      <c r="G180" s="1312"/>
      <c r="H180" s="1312"/>
      <c r="I180" s="981"/>
      <c r="J180" s="962"/>
      <c r="K180" s="969"/>
    </row>
    <row r="181" spans="1:22" s="961" customFormat="1" ht="11.25">
      <c r="A181" s="960"/>
      <c r="B181" s="983" t="s">
        <v>1283</v>
      </c>
      <c r="C181" s="962"/>
      <c r="D181" s="962"/>
      <c r="E181" s="962"/>
      <c r="F181" s="962"/>
      <c r="G181" s="962"/>
      <c r="H181" s="962"/>
      <c r="I181" s="962"/>
      <c r="J181" s="962"/>
      <c r="K181" s="969"/>
    </row>
    <row r="182" spans="1:22" s="961" customFormat="1" ht="11.25">
      <c r="A182" s="960"/>
      <c r="B182" s="961" t="s">
        <v>1269</v>
      </c>
      <c r="C182" s="961">
        <v>1</v>
      </c>
      <c r="F182" s="961">
        <f>3.39-0.115</f>
        <v>3.2749999999999999</v>
      </c>
      <c r="G182" s="961">
        <v>2.82</v>
      </c>
      <c r="I182" s="967">
        <f t="shared" ref="I182:I187" si="6">ROUND(F182*G182*C182,2)</f>
        <v>9.24</v>
      </c>
      <c r="J182" s="969"/>
      <c r="K182" s="969"/>
      <c r="L182" s="981"/>
      <c r="M182" s="981"/>
      <c r="N182" s="981"/>
      <c r="O182" s="981"/>
      <c r="P182" s="981"/>
      <c r="Q182" s="981"/>
      <c r="R182" s="981"/>
      <c r="S182" s="981"/>
      <c r="T182" s="981"/>
      <c r="U182" s="981"/>
      <c r="V182" s="981"/>
    </row>
    <row r="183" spans="1:22" s="961" customFormat="1" ht="11.25">
      <c r="A183" s="960"/>
      <c r="B183" s="961" t="s">
        <v>864</v>
      </c>
      <c r="C183" s="961">
        <v>1</v>
      </c>
      <c r="F183" s="961">
        <f>3.39-0.115</f>
        <v>3.2749999999999999</v>
      </c>
      <c r="G183" s="961">
        <f>3.465-0.115</f>
        <v>3.3499999999999996</v>
      </c>
      <c r="I183" s="967">
        <f t="shared" si="6"/>
        <v>10.97</v>
      </c>
      <c r="J183" s="969"/>
      <c r="K183" s="969"/>
      <c r="L183" s="981"/>
      <c r="M183" s="981"/>
      <c r="N183" s="981"/>
      <c r="O183" s="981"/>
      <c r="P183" s="981"/>
      <c r="Q183" s="981"/>
      <c r="R183" s="981"/>
      <c r="S183" s="981"/>
      <c r="T183" s="981"/>
      <c r="U183" s="981"/>
      <c r="V183" s="981"/>
    </row>
    <row r="184" spans="1:22" s="961" customFormat="1" ht="11.25">
      <c r="A184" s="960"/>
      <c r="B184" s="961" t="s">
        <v>1270</v>
      </c>
      <c r="C184" s="961">
        <v>1</v>
      </c>
      <c r="F184" s="961">
        <f>2.82+3.01+3.465-0.115</f>
        <v>9.18</v>
      </c>
      <c r="G184" s="961">
        <v>1.83</v>
      </c>
      <c r="I184" s="967">
        <f t="shared" si="6"/>
        <v>16.8</v>
      </c>
      <c r="J184" s="969"/>
      <c r="K184" s="969"/>
      <c r="L184" s="981"/>
      <c r="M184" s="981"/>
      <c r="N184" s="981"/>
      <c r="O184" s="981"/>
      <c r="P184" s="981"/>
      <c r="Q184" s="981"/>
      <c r="R184" s="981"/>
      <c r="S184" s="981"/>
      <c r="T184" s="981"/>
      <c r="U184" s="981"/>
      <c r="V184" s="981"/>
    </row>
    <row r="185" spans="1:22" s="961" customFormat="1" ht="11.25">
      <c r="A185" s="960"/>
      <c r="B185" s="961" t="s">
        <v>1271</v>
      </c>
      <c r="C185" s="961">
        <v>1</v>
      </c>
      <c r="F185" s="961">
        <v>3.16</v>
      </c>
      <c r="G185" s="961">
        <f>G183</f>
        <v>3.3499999999999996</v>
      </c>
      <c r="I185" s="967">
        <f t="shared" si="6"/>
        <v>10.59</v>
      </c>
      <c r="J185" s="969"/>
      <c r="K185" s="969"/>
      <c r="L185" s="981"/>
      <c r="M185" s="981"/>
      <c r="N185" s="981"/>
      <c r="O185" s="981"/>
      <c r="P185" s="981"/>
      <c r="Q185" s="981"/>
      <c r="R185" s="981"/>
      <c r="S185" s="981"/>
      <c r="T185" s="981"/>
      <c r="U185" s="981"/>
      <c r="V185" s="981"/>
    </row>
    <row r="186" spans="1:22" s="961" customFormat="1" ht="11.25">
      <c r="A186" s="960"/>
      <c r="B186" s="961" t="s">
        <v>628</v>
      </c>
      <c r="C186" s="961">
        <v>1</v>
      </c>
      <c r="F186" s="961">
        <f>2.82+3.01-0.115</f>
        <v>5.7149999999999999</v>
      </c>
      <c r="G186" s="961">
        <f>G185</f>
        <v>3.3499999999999996</v>
      </c>
      <c r="I186" s="967">
        <f t="shared" si="6"/>
        <v>19.149999999999999</v>
      </c>
      <c r="J186" s="969"/>
      <c r="K186" s="969"/>
      <c r="L186" s="981"/>
      <c r="M186" s="981"/>
      <c r="N186" s="981"/>
      <c r="O186" s="981"/>
      <c r="P186" s="981"/>
      <c r="Q186" s="981"/>
      <c r="R186" s="981"/>
      <c r="S186" s="981"/>
      <c r="T186" s="981"/>
      <c r="U186" s="981"/>
      <c r="V186" s="981"/>
    </row>
    <row r="187" spans="1:22" s="961" customFormat="1" ht="11.25">
      <c r="A187" s="960"/>
      <c r="B187" s="961" t="s">
        <v>1211</v>
      </c>
      <c r="C187" s="961">
        <v>1</v>
      </c>
      <c r="F187" s="961">
        <f>5.22</f>
        <v>5.22</v>
      </c>
      <c r="G187" s="961">
        <f>2.95-0.115</f>
        <v>2.835</v>
      </c>
      <c r="I187" s="967">
        <f t="shared" si="6"/>
        <v>14.8</v>
      </c>
      <c r="J187" s="969"/>
      <c r="K187" s="969"/>
      <c r="L187" s="981"/>
      <c r="M187" s="981"/>
      <c r="N187" s="981"/>
      <c r="O187" s="981"/>
      <c r="P187" s="981"/>
      <c r="Q187" s="981"/>
      <c r="R187" s="981"/>
      <c r="S187" s="981"/>
      <c r="T187" s="981"/>
      <c r="U187" s="981"/>
      <c r="V187" s="981"/>
    </row>
    <row r="188" spans="1:22" s="961" customFormat="1" ht="45">
      <c r="A188" s="960"/>
      <c r="B188" s="964" t="s">
        <v>1249</v>
      </c>
      <c r="C188" s="989">
        <v>4</v>
      </c>
      <c r="D188" s="989"/>
      <c r="E188" s="989"/>
      <c r="F188" s="974">
        <f>2*2.1+1.2</f>
        <v>5.4</v>
      </c>
      <c r="G188" s="987">
        <v>0.05</v>
      </c>
      <c r="I188" s="967">
        <f>ROUND(F188*G188*C188,2)</f>
        <v>1.08</v>
      </c>
      <c r="J188" s="962" t="s">
        <v>154</v>
      </c>
      <c r="K188" s="969"/>
    </row>
    <row r="189" spans="1:22" s="961" customFormat="1" ht="34.5" customHeight="1">
      <c r="A189" s="960"/>
      <c r="B189" s="1016" t="s">
        <v>1250</v>
      </c>
      <c r="C189" s="989">
        <v>2</v>
      </c>
      <c r="D189" s="989"/>
      <c r="E189" s="989"/>
      <c r="F189" s="974">
        <f>2*2.1+1.05</f>
        <v>5.25</v>
      </c>
      <c r="G189" s="987">
        <v>0.05</v>
      </c>
      <c r="I189" s="967">
        <f>ROUND(F189*G189*C189,2)</f>
        <v>0.53</v>
      </c>
      <c r="J189" s="962"/>
      <c r="K189" s="969"/>
    </row>
    <row r="190" spans="1:22" s="961" customFormat="1" ht="11.25">
      <c r="A190" s="960"/>
      <c r="B190" s="961" t="s">
        <v>1274</v>
      </c>
      <c r="I190" s="963"/>
      <c r="J190" s="969"/>
      <c r="K190" s="969"/>
      <c r="L190" s="981"/>
      <c r="M190" s="981"/>
      <c r="N190" s="981"/>
      <c r="O190" s="981"/>
      <c r="P190" s="981"/>
      <c r="Q190" s="981"/>
      <c r="R190" s="981"/>
      <c r="S190" s="981"/>
      <c r="T190" s="981"/>
      <c r="U190" s="981"/>
      <c r="V190" s="981"/>
    </row>
    <row r="191" spans="1:22" s="961" customFormat="1" ht="11.25">
      <c r="A191" s="960"/>
      <c r="B191" s="961" t="s">
        <v>1269</v>
      </c>
      <c r="C191" s="961">
        <v>2</v>
      </c>
      <c r="F191" s="961">
        <v>0.15</v>
      </c>
      <c r="G191" s="961">
        <v>0.115</v>
      </c>
      <c r="I191" s="963">
        <f>-ROUND(C191*F191*G191,2)</f>
        <v>-0.03</v>
      </c>
      <c r="J191" s="969"/>
      <c r="K191" s="969"/>
      <c r="L191" s="981"/>
      <c r="M191" s="981"/>
      <c r="N191" s="981"/>
      <c r="O191" s="981"/>
      <c r="P191" s="981"/>
      <c r="Q191" s="981"/>
      <c r="R191" s="981"/>
      <c r="S191" s="981"/>
      <c r="T191" s="981"/>
      <c r="U191" s="981"/>
      <c r="V191" s="981"/>
    </row>
    <row r="192" spans="1:22" s="961" customFormat="1" ht="11.25">
      <c r="A192" s="960"/>
      <c r="C192" s="961">
        <v>1</v>
      </c>
      <c r="F192" s="961">
        <v>0.26500000000000001</v>
      </c>
      <c r="G192" s="961">
        <v>0.115</v>
      </c>
      <c r="I192" s="963">
        <f t="shared" ref="I192:I200" si="7">-ROUND(C192*F192*G192,2)</f>
        <v>-0.03</v>
      </c>
      <c r="J192" s="969"/>
      <c r="K192" s="969"/>
      <c r="L192" s="981"/>
      <c r="M192" s="981"/>
      <c r="N192" s="981"/>
      <c r="O192" s="981"/>
      <c r="P192" s="981"/>
      <c r="Q192" s="981"/>
      <c r="R192" s="981"/>
      <c r="S192" s="981"/>
      <c r="T192" s="981"/>
      <c r="U192" s="981"/>
      <c r="V192" s="981"/>
    </row>
    <row r="193" spans="1:22" s="961" customFormat="1" ht="11.25">
      <c r="A193" s="960"/>
      <c r="C193" s="961">
        <v>1</v>
      </c>
      <c r="F193" s="961">
        <v>0.38</v>
      </c>
      <c r="G193" s="961">
        <v>0.115</v>
      </c>
      <c r="I193" s="963">
        <f t="shared" si="7"/>
        <v>-0.04</v>
      </c>
      <c r="J193" s="969"/>
      <c r="K193" s="969"/>
      <c r="L193" s="981"/>
      <c r="M193" s="981"/>
      <c r="N193" s="981"/>
      <c r="O193" s="981"/>
      <c r="P193" s="981"/>
      <c r="Q193" s="981"/>
      <c r="R193" s="981"/>
      <c r="S193" s="981"/>
      <c r="T193" s="981"/>
      <c r="U193" s="981"/>
      <c r="V193" s="981"/>
    </row>
    <row r="194" spans="1:22" s="961" customFormat="1" ht="11.25">
      <c r="A194" s="960"/>
      <c r="B194" s="961" t="s">
        <v>864</v>
      </c>
      <c r="C194" s="961">
        <v>2</v>
      </c>
      <c r="F194" s="961">
        <v>0.15</v>
      </c>
      <c r="G194" s="961">
        <v>0.115</v>
      </c>
      <c r="I194" s="963">
        <f t="shared" si="7"/>
        <v>-0.03</v>
      </c>
      <c r="J194" s="969"/>
      <c r="K194" s="969"/>
      <c r="L194" s="981"/>
      <c r="M194" s="981"/>
      <c r="N194" s="981"/>
      <c r="O194" s="981"/>
      <c r="P194" s="981"/>
      <c r="Q194" s="981"/>
      <c r="R194" s="981"/>
      <c r="S194" s="981"/>
      <c r="T194" s="981"/>
      <c r="U194" s="981"/>
      <c r="V194" s="981"/>
    </row>
    <row r="195" spans="1:22" s="961" customFormat="1" ht="11.25">
      <c r="A195" s="960"/>
      <c r="C195" s="961">
        <v>2</v>
      </c>
      <c r="F195" s="961">
        <v>0.26500000000000001</v>
      </c>
      <c r="G195" s="961">
        <v>0.115</v>
      </c>
      <c r="I195" s="963">
        <f t="shared" si="7"/>
        <v>-0.06</v>
      </c>
      <c r="J195" s="969"/>
      <c r="K195" s="969"/>
      <c r="L195" s="981"/>
      <c r="M195" s="981"/>
      <c r="N195" s="981"/>
      <c r="O195" s="981"/>
      <c r="P195" s="981"/>
      <c r="Q195" s="981"/>
      <c r="R195" s="981"/>
      <c r="S195" s="981"/>
      <c r="T195" s="981"/>
      <c r="U195" s="981"/>
      <c r="V195" s="981"/>
    </row>
    <row r="196" spans="1:22" s="961" customFormat="1" ht="11.25">
      <c r="A196" s="960"/>
      <c r="B196" s="961" t="s">
        <v>1271</v>
      </c>
      <c r="C196" s="961">
        <v>2</v>
      </c>
      <c r="F196" s="961">
        <v>0.15</v>
      </c>
      <c r="G196" s="961">
        <v>0.115</v>
      </c>
      <c r="I196" s="963">
        <f t="shared" si="7"/>
        <v>-0.03</v>
      </c>
      <c r="J196" s="969"/>
      <c r="K196" s="969"/>
      <c r="L196" s="981"/>
      <c r="M196" s="981"/>
      <c r="N196" s="981"/>
      <c r="O196" s="981"/>
      <c r="P196" s="981"/>
      <c r="Q196" s="981"/>
      <c r="R196" s="981"/>
      <c r="S196" s="981"/>
      <c r="T196" s="981"/>
      <c r="U196" s="981"/>
      <c r="V196" s="981"/>
    </row>
    <row r="197" spans="1:22" s="961" customFormat="1" ht="11.25">
      <c r="A197" s="960"/>
      <c r="B197" s="961" t="s">
        <v>628</v>
      </c>
      <c r="C197" s="961">
        <v>1</v>
      </c>
      <c r="F197" s="961">
        <v>0.38</v>
      </c>
      <c r="G197" s="961">
        <v>0.115</v>
      </c>
      <c r="I197" s="963">
        <f t="shared" si="7"/>
        <v>-0.04</v>
      </c>
      <c r="J197" s="969"/>
      <c r="K197" s="969"/>
      <c r="L197" s="981"/>
      <c r="M197" s="981"/>
      <c r="N197" s="981"/>
      <c r="O197" s="981"/>
      <c r="P197" s="981"/>
      <c r="Q197" s="981"/>
      <c r="R197" s="981"/>
      <c r="S197" s="981"/>
      <c r="T197" s="981"/>
      <c r="U197" s="981"/>
      <c r="V197" s="981"/>
    </row>
    <row r="198" spans="1:22" s="961" customFormat="1" ht="11.25">
      <c r="A198" s="960"/>
      <c r="C198" s="961">
        <v>1</v>
      </c>
      <c r="F198" s="961">
        <v>0.26500000000000001</v>
      </c>
      <c r="G198" s="961">
        <v>0.115</v>
      </c>
      <c r="I198" s="963">
        <f t="shared" si="7"/>
        <v>-0.03</v>
      </c>
      <c r="J198" s="969"/>
      <c r="K198" s="969"/>
      <c r="L198" s="981"/>
      <c r="M198" s="981"/>
      <c r="N198" s="981"/>
      <c r="O198" s="981"/>
      <c r="P198" s="981"/>
      <c r="Q198" s="981"/>
      <c r="R198" s="981"/>
      <c r="S198" s="981"/>
      <c r="T198" s="981"/>
      <c r="U198" s="981"/>
      <c r="V198" s="981"/>
    </row>
    <row r="199" spans="1:22" s="961" customFormat="1" ht="11.25">
      <c r="A199" s="960"/>
      <c r="B199" s="961" t="s">
        <v>1211</v>
      </c>
      <c r="C199" s="961">
        <v>1</v>
      </c>
      <c r="F199" s="961">
        <v>0.26500000000000001</v>
      </c>
      <c r="G199" s="961">
        <v>0.115</v>
      </c>
      <c r="I199" s="963">
        <f t="shared" si="7"/>
        <v>-0.03</v>
      </c>
      <c r="J199" s="969"/>
      <c r="K199" s="969"/>
      <c r="L199" s="981"/>
      <c r="M199" s="981"/>
      <c r="N199" s="981"/>
      <c r="O199" s="981"/>
      <c r="P199" s="981"/>
      <c r="Q199" s="981"/>
      <c r="R199" s="981"/>
      <c r="S199" s="981"/>
      <c r="T199" s="981"/>
      <c r="U199" s="981"/>
      <c r="V199" s="981"/>
    </row>
    <row r="200" spans="1:22" s="961" customFormat="1" ht="11.25">
      <c r="A200" s="960"/>
      <c r="C200" s="961">
        <v>1</v>
      </c>
      <c r="F200" s="961">
        <v>0.38</v>
      </c>
      <c r="G200" s="961">
        <v>0.115</v>
      </c>
      <c r="I200" s="963">
        <f t="shared" si="7"/>
        <v>-0.04</v>
      </c>
      <c r="J200" s="969"/>
      <c r="K200" s="969"/>
      <c r="L200" s="981"/>
      <c r="M200" s="981"/>
      <c r="N200" s="981"/>
      <c r="O200" s="981"/>
      <c r="P200" s="981"/>
      <c r="Q200" s="981"/>
      <c r="R200" s="981"/>
      <c r="S200" s="981"/>
      <c r="T200" s="981"/>
      <c r="U200" s="981"/>
      <c r="V200" s="981"/>
    </row>
    <row r="201" spans="1:22" s="961" customFormat="1" ht="11.25">
      <c r="A201" s="960"/>
      <c r="B201" s="988" t="s">
        <v>1281</v>
      </c>
      <c r="F201" s="981"/>
      <c r="I201" s="963"/>
      <c r="J201" s="962"/>
      <c r="K201" s="969"/>
    </row>
    <row r="202" spans="1:22" s="961" customFormat="1" ht="11.25">
      <c r="A202" s="960"/>
      <c r="B202" s="961" t="s">
        <v>864</v>
      </c>
      <c r="C202" s="961">
        <v>1</v>
      </c>
      <c r="F202" s="961">
        <f>2*(3.465-0.23+3.39-0.115)</f>
        <v>13.02</v>
      </c>
      <c r="H202" s="981">
        <f>3.3-0.15-0.125-0.05</f>
        <v>2.9750000000000001</v>
      </c>
      <c r="I202" s="981">
        <f>ROUND(F202*H202*1,2)</f>
        <v>38.729999999999997</v>
      </c>
      <c r="J202" s="962"/>
      <c r="K202" s="969"/>
    </row>
    <row r="203" spans="1:22" s="961" customFormat="1" ht="11.25">
      <c r="A203" s="960"/>
      <c r="B203" s="961" t="s">
        <v>865</v>
      </c>
      <c r="C203" s="961">
        <v>1</v>
      </c>
      <c r="F203" s="961">
        <f>2*(1.53+1.295)</f>
        <v>5.65</v>
      </c>
      <c r="H203" s="981">
        <f>3.3-0.125-2.1-0.05</f>
        <v>1.0249999999999997</v>
      </c>
      <c r="I203" s="981">
        <f>ROUND(F203*H203*1,2)</f>
        <v>5.79</v>
      </c>
      <c r="J203" s="962"/>
      <c r="K203" s="969"/>
    </row>
    <row r="204" spans="1:22" s="961" customFormat="1" ht="11.25">
      <c r="A204" s="960"/>
      <c r="B204" s="961" t="s">
        <v>866</v>
      </c>
      <c r="C204" s="961">
        <v>1</v>
      </c>
      <c r="F204" s="981">
        <f>2*(1.63+1.295)</f>
        <v>5.85</v>
      </c>
      <c r="H204" s="981">
        <f>3.3-0.125-2.1-0.05</f>
        <v>1.0249999999999997</v>
      </c>
      <c r="I204" s="981">
        <f>ROUND(F204*H204*1,2)</f>
        <v>6</v>
      </c>
      <c r="J204" s="962"/>
      <c r="K204" s="969"/>
    </row>
    <row r="205" spans="1:22" s="961" customFormat="1" ht="11.25">
      <c r="A205" s="960"/>
      <c r="B205" s="961" t="s">
        <v>1238</v>
      </c>
      <c r="C205" s="961">
        <v>1</v>
      </c>
      <c r="F205" s="981">
        <f>2*(1.53+1.37)</f>
        <v>5.8000000000000007</v>
      </c>
      <c r="H205" s="981">
        <f>3.3-0.125-2.1-0.05</f>
        <v>1.0249999999999997</v>
      </c>
      <c r="I205" s="981">
        <f>ROUND(F204*H205*1,2)</f>
        <v>6</v>
      </c>
      <c r="J205" s="962"/>
      <c r="K205" s="969"/>
    </row>
    <row r="206" spans="1:22" s="961" customFormat="1" ht="11.25">
      <c r="A206" s="960"/>
      <c r="B206" s="961" t="s">
        <v>1239</v>
      </c>
      <c r="C206" s="961">
        <v>1</v>
      </c>
      <c r="F206" s="981">
        <f>2*(1.63+1.37)</f>
        <v>6</v>
      </c>
      <c r="H206" s="981">
        <f>3.3-0.125-2.1-0.05</f>
        <v>1.0249999999999997</v>
      </c>
      <c r="I206" s="981">
        <f>ROUND(F206*H206*1,2)</f>
        <v>6.15</v>
      </c>
      <c r="J206" s="962"/>
      <c r="K206" s="969"/>
    </row>
    <row r="207" spans="1:22" s="961" customFormat="1" ht="11.25">
      <c r="A207" s="960"/>
      <c r="B207" s="961" t="s">
        <v>1240</v>
      </c>
      <c r="C207" s="961">
        <v>1</v>
      </c>
      <c r="F207" s="961">
        <f>2*(2.82+3.39-0.115)</f>
        <v>12.19</v>
      </c>
      <c r="H207" s="981">
        <f>H202</f>
        <v>2.9750000000000001</v>
      </c>
      <c r="I207" s="981">
        <f>ROUND(F207*H207*1,2)</f>
        <v>36.270000000000003</v>
      </c>
      <c r="J207" s="962"/>
      <c r="K207" s="969"/>
    </row>
    <row r="208" spans="1:22" s="961" customFormat="1" ht="11.25">
      <c r="A208" s="960"/>
      <c r="B208" s="961" t="s">
        <v>1241</v>
      </c>
      <c r="C208" s="961">
        <v>1</v>
      </c>
      <c r="F208" s="961">
        <f>2.82+3.01+3.465-0.115</f>
        <v>9.18</v>
      </c>
      <c r="H208" s="986">
        <f>H202</f>
        <v>2.9750000000000001</v>
      </c>
      <c r="I208" s="981">
        <f>ROUND(F208*H208*1,2)</f>
        <v>27.31</v>
      </c>
      <c r="J208" s="962"/>
      <c r="K208" s="969"/>
    </row>
    <row r="209" spans="1:11" s="961" customFormat="1" ht="11.25">
      <c r="A209" s="960"/>
      <c r="B209" s="961" t="s">
        <v>1242</v>
      </c>
      <c r="C209" s="961">
        <v>2</v>
      </c>
      <c r="F209" s="961">
        <v>1.83</v>
      </c>
      <c r="H209" s="986">
        <f>H202</f>
        <v>2.9750000000000001</v>
      </c>
      <c r="I209" s="981">
        <f>ROUND(C209*F209*H209*1,2)</f>
        <v>10.89</v>
      </c>
      <c r="J209" s="962"/>
      <c r="K209" s="969"/>
    </row>
    <row r="210" spans="1:11" s="961" customFormat="1" ht="11.25">
      <c r="A210" s="960"/>
      <c r="B210" s="961" t="s">
        <v>1243</v>
      </c>
      <c r="C210" s="961">
        <v>1</v>
      </c>
      <c r="F210" s="961">
        <f>2.82+3.01+3.465-0.115</f>
        <v>9.18</v>
      </c>
      <c r="H210" s="986">
        <f>H202</f>
        <v>2.9750000000000001</v>
      </c>
      <c r="I210" s="981">
        <f>ROUND(F210*H210*1,2)</f>
        <v>27.31</v>
      </c>
      <c r="J210" s="962"/>
      <c r="K210" s="969"/>
    </row>
    <row r="211" spans="1:11" s="961" customFormat="1" ht="11.25">
      <c r="A211" s="960"/>
      <c r="B211" s="961" t="s">
        <v>1246</v>
      </c>
      <c r="C211" s="961">
        <v>1</v>
      </c>
      <c r="F211" s="961">
        <f>2*(3.16+3.35)</f>
        <v>13.02</v>
      </c>
      <c r="H211" s="986">
        <f>H202</f>
        <v>2.9750000000000001</v>
      </c>
      <c r="I211" s="981">
        <f>ROUND(F211*H211*1,2)</f>
        <v>38.729999999999997</v>
      </c>
      <c r="J211" s="962"/>
      <c r="K211" s="969"/>
    </row>
    <row r="212" spans="1:11" s="961" customFormat="1" ht="11.25">
      <c r="A212" s="960"/>
      <c r="B212" s="961" t="s">
        <v>1247</v>
      </c>
      <c r="C212" s="961">
        <v>1</v>
      </c>
      <c r="F212" s="961">
        <v>16.52</v>
      </c>
      <c r="H212" s="986">
        <f>H202</f>
        <v>2.9750000000000001</v>
      </c>
      <c r="I212" s="981">
        <f>ROUND(F212*H212*1,2)</f>
        <v>49.15</v>
      </c>
      <c r="J212" s="962"/>
      <c r="K212" s="969"/>
    </row>
    <row r="213" spans="1:11" s="961" customFormat="1" ht="11.25">
      <c r="A213" s="960"/>
      <c r="B213" s="961" t="s">
        <v>1255</v>
      </c>
      <c r="C213" s="961">
        <v>1</v>
      </c>
      <c r="F213" s="961">
        <v>15.32</v>
      </c>
      <c r="H213" s="986">
        <f>H202</f>
        <v>2.9750000000000001</v>
      </c>
      <c r="I213" s="981">
        <f>ROUND(F213*H213*1,2)</f>
        <v>45.58</v>
      </c>
      <c r="J213" s="962"/>
      <c r="K213" s="969"/>
    </row>
    <row r="214" spans="1:11" s="974" customFormat="1" ht="11.25">
      <c r="B214" s="990" t="s">
        <v>1125</v>
      </c>
      <c r="C214" s="991">
        <v>1</v>
      </c>
      <c r="D214" s="991"/>
      <c r="E214" s="991"/>
      <c r="F214" s="989">
        <f>3.39</f>
        <v>3.39</v>
      </c>
      <c r="G214" s="989"/>
      <c r="H214" s="989">
        <f>3.3-0.125-0.15-0.05</f>
        <v>2.9750000000000001</v>
      </c>
      <c r="I214" s="967">
        <f>ROUND(C214*F214*H214,2)</f>
        <v>10.09</v>
      </c>
      <c r="J214" s="991"/>
      <c r="K214" s="976"/>
    </row>
    <row r="215" spans="1:11" s="974" customFormat="1" ht="11.25">
      <c r="B215" s="990" t="s">
        <v>1256</v>
      </c>
      <c r="C215" s="989">
        <v>1</v>
      </c>
      <c r="D215" s="989"/>
      <c r="E215" s="989"/>
      <c r="F215" s="989">
        <f>1+1+2.95-0.23</f>
        <v>4.72</v>
      </c>
      <c r="G215" s="989"/>
      <c r="H215" s="989">
        <f>3.3-0.125-0.05</f>
        <v>3.125</v>
      </c>
      <c r="I215" s="967">
        <f>ROUND(C215*F215*H215,2)</f>
        <v>14.75</v>
      </c>
      <c r="J215" s="991"/>
      <c r="K215" s="976"/>
    </row>
    <row r="216" spans="1:11" s="961" customFormat="1" ht="11.25">
      <c r="A216" s="960"/>
      <c r="B216" s="961" t="s">
        <v>1258</v>
      </c>
      <c r="C216" s="961">
        <v>1</v>
      </c>
      <c r="F216" s="961">
        <f>3.56+3.56+0.15</f>
        <v>7.2700000000000005</v>
      </c>
      <c r="H216" s="981">
        <f>0.75+0.75+0.15+0.15</f>
        <v>1.7999999999999998</v>
      </c>
      <c r="I216" s="963">
        <f>ROUND(C216*F216*H216,2)</f>
        <v>13.09</v>
      </c>
      <c r="J216" s="985"/>
      <c r="K216" s="969"/>
    </row>
    <row r="217" spans="1:11" s="961" customFormat="1" ht="45">
      <c r="A217" s="960"/>
      <c r="B217" s="964" t="s">
        <v>1249</v>
      </c>
      <c r="C217" s="989">
        <v>4</v>
      </c>
      <c r="D217" s="989"/>
      <c r="E217" s="989"/>
      <c r="F217" s="974">
        <f>2*2.1+1.2</f>
        <v>5.4</v>
      </c>
      <c r="G217" s="974"/>
      <c r="H217" s="987">
        <v>0.05</v>
      </c>
      <c r="I217" s="967">
        <f>ROUND(F217*H217*C217,2)</f>
        <v>1.08</v>
      </c>
      <c r="J217" s="962"/>
      <c r="K217" s="969"/>
    </row>
    <row r="218" spans="1:11" s="961" customFormat="1" ht="34.5" customHeight="1">
      <c r="A218" s="960"/>
      <c r="B218" s="1016" t="s">
        <v>1250</v>
      </c>
      <c r="C218" s="989">
        <v>2</v>
      </c>
      <c r="D218" s="989"/>
      <c r="E218" s="989"/>
      <c r="F218" s="974">
        <f>2*2.1+1.05</f>
        <v>5.25</v>
      </c>
      <c r="G218" s="974"/>
      <c r="H218" s="987">
        <v>0.05</v>
      </c>
      <c r="I218" s="967">
        <f>ROUND(F218*H218*C218,2)</f>
        <v>0.53</v>
      </c>
      <c r="J218" s="962"/>
      <c r="K218" s="969"/>
    </row>
    <row r="219" spans="1:11" s="961" customFormat="1" ht="46.5" customHeight="1">
      <c r="A219" s="960"/>
      <c r="B219" s="1016" t="s">
        <v>1251</v>
      </c>
      <c r="C219" s="989">
        <v>4</v>
      </c>
      <c r="D219" s="989"/>
      <c r="E219" s="989"/>
      <c r="F219" s="974">
        <f>2*2.1+1.05</f>
        <v>5.25</v>
      </c>
      <c r="G219" s="974"/>
      <c r="H219" s="987">
        <v>0.05</v>
      </c>
      <c r="I219" s="967">
        <f>ROUND(F219*H219*C219,2)</f>
        <v>1.05</v>
      </c>
      <c r="J219" s="962"/>
      <c r="K219" s="969"/>
    </row>
    <row r="220" spans="1:11" s="961" customFormat="1" ht="78.75">
      <c r="A220" s="960"/>
      <c r="B220" s="964" t="s">
        <v>1248</v>
      </c>
      <c r="C220" s="989">
        <v>10</v>
      </c>
      <c r="D220" s="989"/>
      <c r="E220" s="989"/>
      <c r="F220" s="967">
        <f>2*(1.5+1.35)</f>
        <v>5.7</v>
      </c>
      <c r="G220" s="989"/>
      <c r="H220" s="967">
        <v>0.15</v>
      </c>
      <c r="I220" s="967">
        <f>ROUND(F220*H220*C220,2)</f>
        <v>8.5500000000000007</v>
      </c>
      <c r="J220" s="962"/>
      <c r="K220" s="969"/>
    </row>
    <row r="221" spans="1:11" s="961" customFormat="1" ht="45">
      <c r="A221" s="960"/>
      <c r="B221" s="964" t="s">
        <v>1252</v>
      </c>
      <c r="C221" s="989">
        <v>4</v>
      </c>
      <c r="D221" s="989"/>
      <c r="E221" s="989"/>
      <c r="F221" s="974">
        <v>1.2</v>
      </c>
      <c r="G221" s="974"/>
      <c r="H221" s="987">
        <v>2.1</v>
      </c>
      <c r="I221" s="967">
        <f>-ROUND(F221*H221*C221,2)</f>
        <v>-10.08</v>
      </c>
      <c r="J221" s="962"/>
      <c r="K221" s="969"/>
    </row>
    <row r="222" spans="1:11" s="961" customFormat="1" ht="34.5" customHeight="1">
      <c r="A222" s="960"/>
      <c r="B222" s="1016" t="s">
        <v>1253</v>
      </c>
      <c r="C222" s="989">
        <v>2</v>
      </c>
      <c r="D222" s="989"/>
      <c r="E222" s="989"/>
      <c r="F222" s="974">
        <v>1.05</v>
      </c>
      <c r="G222" s="974"/>
      <c r="H222" s="987">
        <v>2.1</v>
      </c>
      <c r="I222" s="967">
        <f>-ROUND(F222*H222*C222,2)</f>
        <v>-4.41</v>
      </c>
      <c r="J222" s="962"/>
      <c r="K222" s="969"/>
    </row>
    <row r="223" spans="1:11" s="961" customFormat="1" ht="46.5" customHeight="1">
      <c r="A223" s="960"/>
      <c r="B223" s="1016" t="s">
        <v>1254</v>
      </c>
      <c r="C223" s="989">
        <v>4</v>
      </c>
      <c r="D223" s="989"/>
      <c r="E223" s="989"/>
      <c r="F223" s="974">
        <v>0.75</v>
      </c>
      <c r="G223" s="974"/>
      <c r="H223" s="987">
        <v>2.1</v>
      </c>
      <c r="I223" s="967">
        <f>-ROUND(F223*H223*C223,2)</f>
        <v>-6.3</v>
      </c>
      <c r="J223" s="962"/>
      <c r="K223" s="969"/>
    </row>
    <row r="224" spans="1:11" s="961" customFormat="1" ht="78.75">
      <c r="A224" s="960"/>
      <c r="B224" s="964" t="s">
        <v>1257</v>
      </c>
      <c r="C224" s="989">
        <v>10</v>
      </c>
      <c r="D224" s="989"/>
      <c r="E224" s="989"/>
      <c r="F224" s="967">
        <v>1.5</v>
      </c>
      <c r="G224" s="989"/>
      <c r="H224" s="967">
        <v>1.35</v>
      </c>
      <c r="I224" s="967">
        <f>ROUND(F224*H224*C224,2)</f>
        <v>20.25</v>
      </c>
      <c r="J224" s="962"/>
      <c r="K224" s="969"/>
    </row>
    <row r="225" spans="1:21" s="961" customFormat="1" ht="11.25">
      <c r="A225" s="960"/>
      <c r="B225" s="964" t="s">
        <v>1057</v>
      </c>
      <c r="C225" s="989"/>
      <c r="D225" s="989"/>
      <c r="E225" s="989"/>
      <c r="F225" s="967"/>
      <c r="G225" s="989"/>
      <c r="H225" s="967"/>
      <c r="I225" s="967">
        <v>0.41</v>
      </c>
      <c r="J225" s="962"/>
      <c r="K225" s="969"/>
    </row>
    <row r="226" spans="1:21" s="961" customFormat="1" ht="11.25">
      <c r="A226" s="960"/>
      <c r="I226" s="981"/>
      <c r="J226" s="984">
        <f>data1!F649</f>
        <v>146.94</v>
      </c>
      <c r="K226" s="969">
        <f>ROUND((J226*I226),0)</f>
        <v>0</v>
      </c>
      <c r="L226" s="961">
        <f>ROUND($I$226*data1!H598,2)</f>
        <v>0</v>
      </c>
      <c r="M226" s="961">
        <f>ROUND($I$178*data1!I598,2)</f>
        <v>0</v>
      </c>
      <c r="N226" s="961">
        <f>ROUND($I$178*data1!J598,2)</f>
        <v>0</v>
      </c>
      <c r="O226" s="961">
        <f>ROUND($I$178*data1!K598,2)</f>
        <v>0</v>
      </c>
      <c r="P226" s="961">
        <f>ROUND($I$178*data1!L598,2)</f>
        <v>0</v>
      </c>
      <c r="Q226" s="961">
        <f>ROUND($I$178*data1!M598,2)</f>
        <v>0</v>
      </c>
      <c r="R226" s="961">
        <f>ROUND($I$178*data1!N598,2)</f>
        <v>0</v>
      </c>
      <c r="S226" s="961">
        <f>ROUND($I$178*data1!O598,2)</f>
        <v>0</v>
      </c>
      <c r="T226" s="969">
        <f>K226</f>
        <v>0</v>
      </c>
      <c r="U226" s="961">
        <f>SUM(L226:T226)</f>
        <v>0</v>
      </c>
    </row>
    <row r="227" spans="1:21" s="961" customFormat="1" ht="11.25">
      <c r="A227" s="960"/>
      <c r="I227" s="962" t="s">
        <v>114</v>
      </c>
      <c r="J227" s="985"/>
      <c r="K227" s="969"/>
    </row>
    <row r="228" spans="1:21" s="961" customFormat="1" ht="89.25" customHeight="1">
      <c r="A228" s="960">
        <v>17</v>
      </c>
      <c r="B228" s="1310" t="s">
        <v>1284</v>
      </c>
      <c r="C228" s="1311"/>
      <c r="D228" s="1311"/>
      <c r="E228" s="1311"/>
      <c r="F228" s="1311"/>
      <c r="G228" s="1311"/>
      <c r="H228" s="1311"/>
      <c r="J228" s="962"/>
      <c r="K228" s="969"/>
    </row>
    <row r="229" spans="1:21" s="961" customFormat="1" ht="11.25">
      <c r="A229" s="960"/>
      <c r="B229" s="553" t="s">
        <v>1265</v>
      </c>
      <c r="C229" s="961">
        <v>1</v>
      </c>
      <c r="F229" s="961">
        <f>2*(12.245+0.23+8.61+0.23)</f>
        <v>42.63</v>
      </c>
      <c r="H229" s="981">
        <v>3.3</v>
      </c>
      <c r="I229" s="965">
        <f>ROUND(C229*F229*H229,2)</f>
        <v>140.68</v>
      </c>
      <c r="J229" s="962"/>
      <c r="K229" s="969"/>
    </row>
    <row r="230" spans="1:21" s="961" customFormat="1" ht="11.25">
      <c r="A230" s="960"/>
      <c r="B230" s="980" t="s">
        <v>1264</v>
      </c>
      <c r="C230" s="977">
        <v>2</v>
      </c>
      <c r="D230" s="977"/>
      <c r="E230" s="977"/>
      <c r="F230" s="981">
        <v>1</v>
      </c>
      <c r="H230" s="981">
        <v>3.3</v>
      </c>
      <c r="I230" s="963">
        <f>ROUND(F230*H230*C230,2)</f>
        <v>6.6</v>
      </c>
      <c r="J230" s="962"/>
      <c r="K230" s="969"/>
    </row>
    <row r="231" spans="1:21" s="961" customFormat="1" ht="11.25">
      <c r="A231" s="960"/>
      <c r="B231" s="980" t="s">
        <v>1263</v>
      </c>
      <c r="C231" s="977">
        <v>1</v>
      </c>
      <c r="D231" s="977"/>
      <c r="E231" s="977"/>
      <c r="F231" s="961">
        <f>'ground floor'!F327+2*1</f>
        <v>2</v>
      </c>
      <c r="H231" s="981">
        <f>0.9+0.15+0.9</f>
        <v>1.9500000000000002</v>
      </c>
      <c r="I231" s="963">
        <f>ROUND(F231*H231*C231,2)</f>
        <v>3.9</v>
      </c>
      <c r="J231" s="962"/>
      <c r="K231" s="969"/>
    </row>
    <row r="232" spans="1:21" s="961" customFormat="1" ht="78.75">
      <c r="A232" s="960"/>
      <c r="B232" s="964" t="s">
        <v>1257</v>
      </c>
      <c r="C232" s="989">
        <v>10</v>
      </c>
      <c r="D232" s="989"/>
      <c r="E232" s="989"/>
      <c r="F232" s="967">
        <v>1.5</v>
      </c>
      <c r="G232" s="989"/>
      <c r="H232" s="967">
        <v>1.35</v>
      </c>
      <c r="I232" s="967">
        <f>-ROUND(F232*H232*C232,2)</f>
        <v>-20.25</v>
      </c>
      <c r="J232" s="962"/>
      <c r="K232" s="969"/>
    </row>
    <row r="233" spans="1:21" s="961" customFormat="1" ht="11.25">
      <c r="A233" s="960"/>
      <c r="B233" s="553" t="s">
        <v>1057</v>
      </c>
      <c r="I233" s="981">
        <v>0.44</v>
      </c>
      <c r="J233" s="962"/>
      <c r="K233" s="969"/>
    </row>
    <row r="234" spans="1:21" s="961" customFormat="1" ht="11.25">
      <c r="A234" s="960"/>
      <c r="I234" s="981"/>
      <c r="J234" s="984">
        <f>data1!F683</f>
        <v>187.22</v>
      </c>
      <c r="K234" s="969">
        <f>ROUND((J234*I234),0)</f>
        <v>0</v>
      </c>
      <c r="L234" s="961">
        <f>ROUND($I$226*data1!H606,2)</f>
        <v>0</v>
      </c>
      <c r="M234" s="961">
        <v>0</v>
      </c>
      <c r="N234" s="961">
        <f>ROUND($I$178*data1!J606,2)</f>
        <v>0</v>
      </c>
      <c r="O234" s="961">
        <v>0</v>
      </c>
      <c r="P234" s="961">
        <f>ROUND($I$178*data1!L606,2)</f>
        <v>0</v>
      </c>
      <c r="Q234" s="961">
        <f>ROUND($I$178*data1!M606,2)</f>
        <v>0</v>
      </c>
      <c r="R234" s="961">
        <f>ROUND($I$178*data1!N606,2)</f>
        <v>0</v>
      </c>
      <c r="S234" s="961">
        <f>ROUND($I$178*data1!O606,2)</f>
        <v>0</v>
      </c>
      <c r="T234" s="969">
        <f>K234</f>
        <v>0</v>
      </c>
      <c r="U234" s="961">
        <f>SUM(L234:T234)</f>
        <v>0</v>
      </c>
    </row>
    <row r="235" spans="1:21" s="961" customFormat="1" ht="11.25">
      <c r="A235" s="960"/>
      <c r="I235" s="962" t="s">
        <v>114</v>
      </c>
      <c r="J235" s="985"/>
      <c r="K235" s="969"/>
    </row>
    <row r="236" spans="1:21" s="961" customFormat="1" ht="113.25" customHeight="1">
      <c r="A236" s="960">
        <v>18</v>
      </c>
      <c r="B236" s="1312" t="s">
        <v>1292</v>
      </c>
      <c r="C236" s="1312"/>
      <c r="D236" s="1312"/>
      <c r="E236" s="1312"/>
      <c r="F236" s="1312"/>
      <c r="G236" s="1312"/>
      <c r="H236" s="1312"/>
      <c r="J236" s="962"/>
      <c r="K236" s="969"/>
    </row>
    <row r="237" spans="1:21" s="961" customFormat="1" ht="45">
      <c r="A237" s="960"/>
      <c r="B237" s="964" t="s">
        <v>1293</v>
      </c>
      <c r="C237" s="974"/>
      <c r="D237" s="974"/>
      <c r="E237" s="974"/>
      <c r="F237" s="974"/>
      <c r="G237" s="974"/>
      <c r="H237" s="974"/>
      <c r="I237" s="974">
        <f>C237</f>
        <v>0</v>
      </c>
      <c r="J237" s="460">
        <f>data1!G986</f>
        <v>9777.36</v>
      </c>
      <c r="K237" s="976">
        <f>ROUND((J237*I237),0)</f>
        <v>0</v>
      </c>
      <c r="L237" s="974">
        <f>ROUND($I$226*data1!H609,2)</f>
        <v>0</v>
      </c>
      <c r="M237" s="974">
        <v>0</v>
      </c>
      <c r="N237" s="974">
        <f>ROUND($I$178*data1!J609,2)</f>
        <v>0</v>
      </c>
      <c r="O237" s="974">
        <v>0</v>
      </c>
      <c r="P237" s="974">
        <f>ROUND($I$178*data1!L609,2)</f>
        <v>0</v>
      </c>
      <c r="Q237" s="974">
        <f>ROUND($I$178*data1!M609,2)</f>
        <v>0</v>
      </c>
      <c r="R237" s="974">
        <f>ROUND($I$178*data1!N609,2)</f>
        <v>0</v>
      </c>
      <c r="S237" s="974">
        <f>ROUND($I$178*data1!O609,2)</f>
        <v>0</v>
      </c>
      <c r="T237" s="976">
        <f>K237</f>
        <v>0</v>
      </c>
      <c r="U237" s="974">
        <f>SUM(L237:T237)</f>
        <v>0</v>
      </c>
    </row>
    <row r="238" spans="1:21" s="961" customFormat="1" ht="11.25">
      <c r="A238" s="960"/>
      <c r="I238" s="962" t="s">
        <v>1294</v>
      </c>
      <c r="J238" s="984"/>
      <c r="K238" s="969"/>
    </row>
    <row r="239" spans="1:21" s="961" customFormat="1" ht="112.5" customHeight="1">
      <c r="A239" s="960">
        <v>19</v>
      </c>
      <c r="B239" s="1312" t="s">
        <v>1295</v>
      </c>
      <c r="C239" s="1312"/>
      <c r="D239" s="1312"/>
      <c r="E239" s="1312"/>
      <c r="F239" s="1312"/>
      <c r="G239" s="1312"/>
      <c r="H239" s="1312"/>
      <c r="J239" s="970"/>
      <c r="K239" s="969"/>
    </row>
    <row r="240" spans="1:21" s="961" customFormat="1" ht="33.75">
      <c r="A240" s="960"/>
      <c r="B240" s="964" t="s">
        <v>1296</v>
      </c>
      <c r="C240" s="974"/>
      <c r="D240" s="974"/>
      <c r="E240" s="974"/>
      <c r="F240" s="974"/>
      <c r="G240" s="974"/>
      <c r="H240" s="974"/>
      <c r="I240" s="974">
        <f>C240</f>
        <v>0</v>
      </c>
      <c r="J240" s="347">
        <f>data1!G939</f>
        <v>8697.7999999999993</v>
      </c>
      <c r="K240" s="976">
        <f>ROUND((J240*I240),0)</f>
        <v>0</v>
      </c>
      <c r="L240" s="974">
        <f>ROUND($I$226*data1!H612,2)</f>
        <v>0</v>
      </c>
      <c r="M240" s="974">
        <v>0</v>
      </c>
      <c r="N240" s="974">
        <f>ROUND($I$178*data1!J612,2)</f>
        <v>0</v>
      </c>
      <c r="O240" s="974">
        <v>0</v>
      </c>
      <c r="P240" s="974">
        <f>ROUND($I$178*data1!L612,2)</f>
        <v>0</v>
      </c>
      <c r="Q240" s="974">
        <f>ROUND($I$178*data1!M612,2)</f>
        <v>0</v>
      </c>
      <c r="R240" s="974">
        <f>ROUND($I$178*data1!N612,2)</f>
        <v>0</v>
      </c>
      <c r="S240" s="974">
        <f>ROUND($I$178*data1!O612,2)</f>
        <v>0</v>
      </c>
      <c r="T240" s="976">
        <f>K240</f>
        <v>0</v>
      </c>
    </row>
    <row r="241" spans="1:21" s="961" customFormat="1" ht="11.25">
      <c r="A241" s="960"/>
      <c r="J241" s="984"/>
      <c r="K241" s="969"/>
    </row>
    <row r="242" spans="1:21" s="961" customFormat="1" ht="87.75" customHeight="1">
      <c r="A242" s="960">
        <v>20</v>
      </c>
      <c r="B242" s="1309" t="s">
        <v>911</v>
      </c>
      <c r="C242" s="1309"/>
      <c r="D242" s="1309"/>
      <c r="E242" s="1309"/>
      <c r="F242" s="1309"/>
      <c r="G242" s="1309"/>
      <c r="H242" s="1309"/>
      <c r="J242" s="970"/>
      <c r="K242" s="969"/>
    </row>
    <row r="243" spans="1:21" s="961" customFormat="1" ht="11.25">
      <c r="A243" s="960"/>
      <c r="I243" s="961">
        <f>C243</f>
        <v>0</v>
      </c>
      <c r="J243" s="984">
        <f>data1!G898</f>
        <v>7175.5</v>
      </c>
      <c r="K243" s="976">
        <f>ROUND((J243*I243),0)</f>
        <v>0</v>
      </c>
      <c r="L243" s="974">
        <f>ROUND($I$226*data1!H615,2)</f>
        <v>0</v>
      </c>
      <c r="M243" s="974">
        <v>0</v>
      </c>
      <c r="N243" s="974">
        <f>ROUND($I$178*data1!J615,2)</f>
        <v>0</v>
      </c>
      <c r="O243" s="974">
        <v>0</v>
      </c>
      <c r="P243" s="974">
        <f>ROUND($I$178*data1!L615,2)</f>
        <v>0</v>
      </c>
      <c r="Q243" s="974">
        <f>ROUND($I$178*data1!M615,2)</f>
        <v>0</v>
      </c>
      <c r="R243" s="974">
        <f>ROUND($I$178*data1!N615,2)</f>
        <v>0</v>
      </c>
      <c r="S243" s="974">
        <f>ROUND($I$178*data1!O615,2)</f>
        <v>0</v>
      </c>
      <c r="T243" s="976">
        <f>K243</f>
        <v>0</v>
      </c>
      <c r="U243" s="974">
        <f>SUM(L243:T243)</f>
        <v>0</v>
      </c>
    </row>
    <row r="244" spans="1:21" s="961" customFormat="1" ht="11.25">
      <c r="A244" s="960"/>
      <c r="I244" s="962" t="s">
        <v>1294</v>
      </c>
      <c r="J244" s="984"/>
      <c r="K244" s="969"/>
    </row>
    <row r="245" spans="1:21" s="961" customFormat="1" ht="156.75" customHeight="1">
      <c r="A245" s="960">
        <v>21</v>
      </c>
      <c r="B245" s="1312" t="s">
        <v>720</v>
      </c>
      <c r="C245" s="1312"/>
      <c r="D245" s="1312"/>
      <c r="E245" s="1312"/>
      <c r="F245" s="1312"/>
      <c r="G245" s="1312"/>
      <c r="H245" s="1312"/>
      <c r="J245" s="962"/>
      <c r="K245" s="969"/>
    </row>
    <row r="246" spans="1:21" s="961" customFormat="1" ht="78.75">
      <c r="A246" s="960"/>
      <c r="B246" s="964" t="s">
        <v>1297</v>
      </c>
      <c r="C246" s="974"/>
      <c r="D246" s="974"/>
      <c r="E246" s="974"/>
      <c r="F246" s="974">
        <v>1.5</v>
      </c>
      <c r="G246" s="974">
        <v>1.35</v>
      </c>
      <c r="H246" s="974"/>
      <c r="I246" s="991">
        <f>ROUND(G246*F246*C246,2)</f>
        <v>0</v>
      </c>
      <c r="J246" s="347">
        <f>data1!G990</f>
        <v>7288</v>
      </c>
      <c r="K246" s="976">
        <f>ROUND((J246*I246),0)</f>
        <v>0</v>
      </c>
      <c r="L246" s="974">
        <f>ROUND($I$226*data1!H618,2)</f>
        <v>0</v>
      </c>
      <c r="M246" s="974">
        <v>0</v>
      </c>
      <c r="N246" s="974">
        <f>ROUND($I$178*data1!J618,2)</f>
        <v>0</v>
      </c>
      <c r="O246" s="974">
        <v>0</v>
      </c>
      <c r="P246" s="974">
        <f>ROUND($I$178*data1!L618,2)</f>
        <v>0</v>
      </c>
      <c r="Q246" s="974">
        <f>ROUND($I$178*data1!M618,2)</f>
        <v>0</v>
      </c>
      <c r="R246" s="974">
        <f>ROUND($I$178*data1!N618,2)</f>
        <v>0</v>
      </c>
      <c r="S246" s="974">
        <f>ROUND($I$178*data1!O618,2)</f>
        <v>0</v>
      </c>
      <c r="T246" s="976">
        <f>K246</f>
        <v>0</v>
      </c>
      <c r="U246" s="974">
        <f>SUM(L246:T246)</f>
        <v>0</v>
      </c>
    </row>
    <row r="247" spans="1:21" s="961" customFormat="1" ht="11.25" customHeight="1">
      <c r="A247" s="960"/>
      <c r="I247" s="962" t="s">
        <v>114</v>
      </c>
      <c r="J247" s="985"/>
      <c r="K247" s="969"/>
    </row>
    <row r="248" spans="1:21" s="961" customFormat="1" ht="181.5" customHeight="1">
      <c r="A248" s="960">
        <v>22</v>
      </c>
      <c r="B248" s="1312" t="s">
        <v>1298</v>
      </c>
      <c r="C248" s="1312"/>
      <c r="D248" s="1312"/>
      <c r="E248" s="1312"/>
      <c r="F248" s="1312"/>
      <c r="G248" s="1312"/>
      <c r="H248" s="1312"/>
      <c r="I248" s="962"/>
      <c r="J248" s="985"/>
      <c r="K248" s="969"/>
    </row>
    <row r="249" spans="1:21" s="961" customFormat="1" ht="45">
      <c r="A249" s="960"/>
      <c r="B249" s="964" t="s">
        <v>1299</v>
      </c>
      <c r="C249" s="974"/>
      <c r="D249" s="974"/>
      <c r="E249" s="974"/>
      <c r="F249" s="974">
        <f>2*2.15+0.075</f>
        <v>4.375</v>
      </c>
      <c r="G249" s="974"/>
      <c r="H249" s="974"/>
      <c r="I249" s="991">
        <f>F249*C249</f>
        <v>0</v>
      </c>
      <c r="J249" s="347">
        <f>data1!G1005</f>
        <v>407</v>
      </c>
      <c r="K249" s="987">
        <f>ROUND(J249*I249,0)</f>
        <v>0</v>
      </c>
      <c r="L249" s="974">
        <f>ROUND($I$226*data1!H621,2)</f>
        <v>0</v>
      </c>
      <c r="M249" s="974">
        <v>0</v>
      </c>
      <c r="N249" s="974">
        <f>ROUND($I$178*data1!J621,2)</f>
        <v>0</v>
      </c>
      <c r="O249" s="974">
        <v>0</v>
      </c>
      <c r="P249" s="974">
        <f>ROUND($I$178*data1!L621,2)</f>
        <v>0</v>
      </c>
      <c r="Q249" s="974">
        <f>ROUND($I$178*data1!M621,2)</f>
        <v>0</v>
      </c>
      <c r="R249" s="974">
        <f>ROUND($I$178*data1!N621,2)</f>
        <v>0</v>
      </c>
      <c r="S249" s="974">
        <f>ROUND($I$178*data1!O621,2)</f>
        <v>0</v>
      </c>
      <c r="T249" s="976">
        <f>K249</f>
        <v>0</v>
      </c>
      <c r="U249" s="974">
        <f>SUM(L249:T249)</f>
        <v>0</v>
      </c>
    </row>
    <row r="250" spans="1:21" s="961" customFormat="1" ht="11.25">
      <c r="A250" s="960"/>
      <c r="I250" s="962" t="s">
        <v>1301</v>
      </c>
      <c r="J250" s="985"/>
      <c r="K250" s="969"/>
    </row>
    <row r="251" spans="1:21" s="961" customFormat="1" ht="156.75" customHeight="1">
      <c r="A251" s="960">
        <v>23</v>
      </c>
      <c r="B251" s="1312" t="s">
        <v>1300</v>
      </c>
      <c r="C251" s="1312"/>
      <c r="D251" s="1312"/>
      <c r="E251" s="1312"/>
      <c r="F251" s="1312"/>
      <c r="G251" s="1312"/>
      <c r="H251" s="1312"/>
      <c r="I251" s="962"/>
      <c r="J251" s="985"/>
      <c r="K251" s="969"/>
    </row>
    <row r="252" spans="1:21" s="961" customFormat="1" ht="45">
      <c r="A252" s="960"/>
      <c r="B252" s="964" t="s">
        <v>1299</v>
      </c>
      <c r="C252" s="974"/>
      <c r="D252" s="974"/>
      <c r="E252" s="974"/>
      <c r="F252" s="974">
        <v>0.75</v>
      </c>
      <c r="G252" s="974"/>
      <c r="H252" s="987">
        <v>2.1</v>
      </c>
      <c r="I252" s="975">
        <f>ROUND(C252*F252*H252,0)</f>
        <v>0</v>
      </c>
      <c r="J252" s="347">
        <f>data1!G997</f>
        <v>2770</v>
      </c>
      <c r="K252" s="987">
        <f>ROUND(J252*I252,0)</f>
        <v>0</v>
      </c>
      <c r="L252" s="974">
        <f>ROUND($I$226*data1!H624,2)</f>
        <v>0</v>
      </c>
      <c r="M252" s="974">
        <v>0</v>
      </c>
      <c r="N252" s="974">
        <f>ROUND($I$178*data1!J624,2)</f>
        <v>0</v>
      </c>
      <c r="O252" s="974">
        <v>0</v>
      </c>
      <c r="P252" s="974">
        <f>ROUND($I$178*data1!L624,2)</f>
        <v>0</v>
      </c>
      <c r="Q252" s="974">
        <f>ROUND($I$178*data1!M624,2)</f>
        <v>0</v>
      </c>
      <c r="R252" s="974">
        <f>ROUND($I$178*data1!N624,2)</f>
        <v>0</v>
      </c>
      <c r="S252" s="974">
        <f>ROUND($I$178*data1!O624,2)</f>
        <v>0</v>
      </c>
      <c r="T252" s="976">
        <f>K252</f>
        <v>0</v>
      </c>
      <c r="U252" s="974">
        <f>SUM(L252:T252)</f>
        <v>0</v>
      </c>
    </row>
    <row r="253" spans="1:21" s="961" customFormat="1" ht="11.25">
      <c r="A253" s="960"/>
      <c r="B253" s="964"/>
      <c r="C253" s="974"/>
      <c r="D253" s="974"/>
      <c r="E253" s="974"/>
      <c r="F253" s="974"/>
      <c r="G253" s="974"/>
      <c r="H253" s="987"/>
      <c r="I253" s="991" t="s">
        <v>114</v>
      </c>
      <c r="J253" s="991" t="s">
        <v>114</v>
      </c>
      <c r="K253" s="987"/>
      <c r="L253" s="974"/>
      <c r="M253" s="974"/>
      <c r="N253" s="974"/>
      <c r="O253" s="974"/>
      <c r="P253" s="974"/>
      <c r="Q253" s="974"/>
      <c r="R253" s="974"/>
      <c r="S253" s="974"/>
      <c r="T253" s="976"/>
      <c r="U253" s="974"/>
    </row>
    <row r="254" spans="1:21" s="961" customFormat="1" ht="124.5" customHeight="1">
      <c r="A254" s="960">
        <v>24</v>
      </c>
      <c r="B254" s="1312" t="s">
        <v>1186</v>
      </c>
      <c r="C254" s="1312" t="s">
        <v>103</v>
      </c>
      <c r="D254" s="1312"/>
      <c r="E254" s="1312"/>
      <c r="F254" s="1312"/>
      <c r="G254" s="1312"/>
      <c r="H254" s="1312"/>
    </row>
    <row r="255" spans="1:21" s="961" customFormat="1" ht="11.25">
      <c r="A255" s="960"/>
      <c r="B255" s="965" t="s">
        <v>1198</v>
      </c>
      <c r="C255" s="981"/>
      <c r="D255" s="981"/>
      <c r="E255" s="981"/>
      <c r="F255" s="962"/>
      <c r="G255" s="981"/>
      <c r="I255" s="961">
        <v>3047.68</v>
      </c>
      <c r="J255" s="962"/>
      <c r="K255" s="969"/>
    </row>
    <row r="256" spans="1:21" s="961" customFormat="1" ht="11.25">
      <c r="A256" s="960"/>
      <c r="B256" s="965" t="s">
        <v>1057</v>
      </c>
      <c r="C256" s="981"/>
      <c r="D256" s="981"/>
      <c r="E256" s="981"/>
      <c r="F256" s="962"/>
      <c r="G256" s="981"/>
      <c r="I256" s="961">
        <v>52.32</v>
      </c>
      <c r="J256" s="962"/>
      <c r="K256" s="969"/>
    </row>
    <row r="257" spans="1:21" s="961" customFormat="1" ht="11.25">
      <c r="A257" s="960"/>
      <c r="J257" s="970">
        <f>data1!G345</f>
        <v>51205</v>
      </c>
      <c r="K257" s="969">
        <f>ROUND((J257*I257/1000),0)</f>
        <v>0</v>
      </c>
      <c r="S257" s="969">
        <f>ROUND(I257*data1!O345/1000,2)</f>
        <v>0</v>
      </c>
      <c r="T257" s="961">
        <f>ROUND(I257*data1!P345/1000,2)</f>
        <v>0</v>
      </c>
      <c r="U257" s="961">
        <f>SUM(L257:T257)</f>
        <v>0</v>
      </c>
    </row>
    <row r="258" spans="1:21" s="961" customFormat="1" ht="14.25" customHeight="1">
      <c r="A258" s="960"/>
      <c r="B258" s="993"/>
      <c r="I258" s="961" t="s">
        <v>113</v>
      </c>
      <c r="J258" s="962" t="s">
        <v>113</v>
      </c>
      <c r="K258" s="969"/>
    </row>
    <row r="259" spans="1:21" s="961" customFormat="1" ht="33" customHeight="1">
      <c r="A259" s="960">
        <v>25</v>
      </c>
      <c r="B259" s="1309" t="s">
        <v>984</v>
      </c>
      <c r="C259" s="1309"/>
      <c r="D259" s="1309"/>
      <c r="E259" s="1309"/>
      <c r="F259" s="1309"/>
      <c r="G259" s="1309"/>
      <c r="H259" s="1309"/>
      <c r="J259" s="962"/>
      <c r="K259" s="969"/>
    </row>
    <row r="260" spans="1:21" s="961" customFormat="1" ht="14.25" customHeight="1">
      <c r="A260" s="960"/>
      <c r="B260" s="993"/>
      <c r="I260" s="962">
        <f>C260</f>
        <v>0</v>
      </c>
      <c r="J260" s="962">
        <v>810</v>
      </c>
      <c r="K260" s="969">
        <f>I260*J260</f>
        <v>0</v>
      </c>
      <c r="T260" s="969">
        <f>K260</f>
        <v>0</v>
      </c>
      <c r="U260" s="961">
        <f>SUM(L260:T260)</f>
        <v>0</v>
      </c>
    </row>
    <row r="261" spans="1:21" s="961" customFormat="1" ht="14.25" customHeight="1">
      <c r="A261" s="960"/>
      <c r="B261" s="993"/>
      <c r="I261" s="962" t="s">
        <v>115</v>
      </c>
      <c r="J261" s="962" t="s">
        <v>78</v>
      </c>
      <c r="K261" s="969"/>
    </row>
    <row r="262" spans="1:21" s="961" customFormat="1" ht="26.25" customHeight="1">
      <c r="A262" s="960">
        <v>26</v>
      </c>
      <c r="B262" s="1309" t="s">
        <v>985</v>
      </c>
      <c r="C262" s="1309"/>
      <c r="D262" s="1309"/>
      <c r="E262" s="1309"/>
      <c r="F262" s="1309"/>
      <c r="G262" s="1309"/>
      <c r="H262" s="1309"/>
      <c r="J262" s="962"/>
      <c r="K262" s="969"/>
    </row>
    <row r="263" spans="1:21" s="961" customFormat="1" ht="14.25" customHeight="1">
      <c r="A263" s="960"/>
      <c r="B263" s="993"/>
      <c r="C263" s="961">
        <f>C260</f>
        <v>0</v>
      </c>
      <c r="I263" s="961">
        <f>C263</f>
        <v>0</v>
      </c>
      <c r="J263" s="962">
        <v>127</v>
      </c>
      <c r="K263" s="969">
        <f>I263*J263</f>
        <v>0</v>
      </c>
      <c r="T263" s="969">
        <f>K263</f>
        <v>0</v>
      </c>
      <c r="U263" s="961">
        <f>SUM(L263:T263)</f>
        <v>0</v>
      </c>
    </row>
    <row r="264" spans="1:21" s="961" customFormat="1" ht="14.25" customHeight="1">
      <c r="A264" s="960"/>
      <c r="B264" s="993"/>
      <c r="J264" s="962" t="s">
        <v>115</v>
      </c>
      <c r="K264" s="969"/>
    </row>
    <row r="265" spans="1:21" s="961" customFormat="1" ht="25.5" customHeight="1">
      <c r="A265" s="960">
        <v>27</v>
      </c>
      <c r="B265" s="1309" t="s">
        <v>986</v>
      </c>
      <c r="C265" s="1309"/>
      <c r="D265" s="1309"/>
      <c r="E265" s="1309"/>
      <c r="F265" s="1309"/>
      <c r="G265" s="1309"/>
      <c r="H265" s="1309"/>
      <c r="J265" s="962"/>
      <c r="K265" s="969"/>
    </row>
    <row r="266" spans="1:21" s="961" customFormat="1" ht="14.25" customHeight="1">
      <c r="A266" s="960"/>
      <c r="B266" s="993"/>
      <c r="I266" s="961">
        <f>C266</f>
        <v>0</v>
      </c>
      <c r="J266" s="962">
        <v>1784</v>
      </c>
      <c r="K266" s="969">
        <f>I266*J266</f>
        <v>0</v>
      </c>
      <c r="T266" s="969">
        <f>K266</f>
        <v>0</v>
      </c>
      <c r="U266" s="961">
        <f>SUM(L266:T266)</f>
        <v>0</v>
      </c>
    </row>
    <row r="267" spans="1:21" s="961" customFormat="1" ht="14.25" customHeight="1">
      <c r="A267" s="960"/>
      <c r="B267" s="993"/>
      <c r="J267" s="962" t="s">
        <v>115</v>
      </c>
      <c r="K267" s="969"/>
    </row>
    <row r="268" spans="1:21" s="961" customFormat="1" ht="79.5" customHeight="1">
      <c r="A268" s="960">
        <v>28</v>
      </c>
      <c r="B268" s="1309" t="s">
        <v>987</v>
      </c>
      <c r="C268" s="1309"/>
      <c r="D268" s="1309"/>
      <c r="E268" s="1309"/>
      <c r="F268" s="1309"/>
      <c r="G268" s="1309"/>
      <c r="H268" s="1309"/>
      <c r="J268" s="962"/>
      <c r="K268" s="969"/>
    </row>
    <row r="269" spans="1:21" s="961" customFormat="1" ht="14.25" customHeight="1">
      <c r="A269" s="960"/>
      <c r="B269" s="993"/>
      <c r="I269" s="961">
        <f>C269</f>
        <v>0</v>
      </c>
      <c r="J269" s="962">
        <v>2551</v>
      </c>
      <c r="K269" s="969">
        <f>I269*J269</f>
        <v>0</v>
      </c>
      <c r="T269" s="969">
        <f>K269</f>
        <v>0</v>
      </c>
      <c r="U269" s="961">
        <f>SUM(L269:T269)</f>
        <v>0</v>
      </c>
    </row>
    <row r="270" spans="1:21" s="961" customFormat="1" ht="14.25" customHeight="1">
      <c r="A270" s="960"/>
      <c r="B270" s="993"/>
      <c r="J270" s="962" t="s">
        <v>115</v>
      </c>
      <c r="K270" s="969"/>
    </row>
    <row r="271" spans="1:21" s="961" customFormat="1" ht="26.25" customHeight="1">
      <c r="A271" s="960">
        <v>29</v>
      </c>
      <c r="B271" s="1309" t="s">
        <v>988</v>
      </c>
      <c r="C271" s="1309"/>
      <c r="D271" s="1309"/>
      <c r="E271" s="1309"/>
      <c r="F271" s="1309"/>
      <c r="G271" s="1309"/>
      <c r="H271" s="1309"/>
      <c r="J271" s="962"/>
      <c r="K271" s="969"/>
    </row>
    <row r="272" spans="1:21" s="961" customFormat="1" ht="14.25" customHeight="1">
      <c r="A272" s="960"/>
      <c r="B272" s="993"/>
      <c r="C272" s="961">
        <f>C269</f>
        <v>0</v>
      </c>
      <c r="I272" s="961">
        <f>C272</f>
        <v>0</v>
      </c>
      <c r="J272" s="962">
        <v>766</v>
      </c>
      <c r="K272" s="969">
        <f>I272*J272</f>
        <v>0</v>
      </c>
      <c r="T272" s="969">
        <f>K272</f>
        <v>0</v>
      </c>
      <c r="U272" s="961">
        <f>SUM(L272:T272)</f>
        <v>0</v>
      </c>
    </row>
    <row r="273" spans="1:21" s="961" customFormat="1" ht="14.25" customHeight="1">
      <c r="A273" s="960"/>
      <c r="B273" s="993"/>
      <c r="J273" s="962" t="s">
        <v>115</v>
      </c>
      <c r="K273" s="969"/>
    </row>
    <row r="274" spans="1:21" s="961" customFormat="1" ht="18" customHeight="1">
      <c r="A274" s="960"/>
      <c r="B274" s="993"/>
      <c r="J274" s="962"/>
      <c r="K274" s="969">
        <f>SUM(K8:K273)</f>
        <v>0</v>
      </c>
      <c r="L274" s="969">
        <f t="shared" ref="L274:U274" si="8">ROUND(SUM(L8:L273),0)</f>
        <v>0</v>
      </c>
      <c r="M274" s="969">
        <f t="shared" si="8"/>
        <v>0</v>
      </c>
      <c r="N274" s="969">
        <f t="shared" si="8"/>
        <v>0</v>
      </c>
      <c r="O274" s="969">
        <f t="shared" si="8"/>
        <v>0</v>
      </c>
      <c r="P274" s="969">
        <f t="shared" si="8"/>
        <v>0</v>
      </c>
      <c r="Q274" s="969">
        <f t="shared" si="8"/>
        <v>0</v>
      </c>
      <c r="R274" s="969">
        <f t="shared" si="8"/>
        <v>0</v>
      </c>
      <c r="S274" s="969">
        <f t="shared" si="8"/>
        <v>0</v>
      </c>
      <c r="T274" s="969">
        <f t="shared" si="8"/>
        <v>0</v>
      </c>
      <c r="U274" s="969">
        <f t="shared" si="8"/>
        <v>0</v>
      </c>
    </row>
    <row r="275" spans="1:21" s="994" customFormat="1">
      <c r="K275" s="1019">
        <f>SUM(K274:K274)</f>
        <v>0</v>
      </c>
    </row>
    <row r="276" spans="1:21" s="994" customFormat="1">
      <c r="K276" s="996"/>
    </row>
    <row r="277" spans="1:21" s="994" customFormat="1">
      <c r="K277" s="996"/>
    </row>
    <row r="278" spans="1:21" ht="17.25" customHeight="1"/>
    <row r="279" spans="1:21" s="994" customFormat="1">
      <c r="C279" s="977"/>
      <c r="D279" s="977"/>
      <c r="E279" s="977"/>
      <c r="F279" s="962" t="str">
        <f>'lead 1'!I37</f>
        <v>Deputy Executive Engineer</v>
      </c>
      <c r="G279" s="1001"/>
      <c r="I279" s="977"/>
      <c r="J279" s="962" t="str">
        <f>'lead 1'!L37</f>
        <v>Assistant Engineer</v>
      </c>
      <c r="K279" s="1002"/>
      <c r="L279" s="1002"/>
    </row>
    <row r="280" spans="1:21" s="994" customFormat="1">
      <c r="C280" s="977"/>
      <c r="D280" s="977"/>
      <c r="E280" s="977"/>
      <c r="F280" s="962" t="str">
        <f>'lead 1'!I38</f>
        <v>PRI Sub Division</v>
      </c>
      <c r="G280" s="1001"/>
      <c r="J280" s="962" t="str">
        <f>'lead 1'!L38</f>
        <v>Mandal Praja parishad</v>
      </c>
      <c r="K280" s="1002"/>
      <c r="L280" s="1002"/>
    </row>
    <row r="281" spans="1:21">
      <c r="F281" s="962" t="str">
        <f>'lead 1'!I39</f>
        <v>Kanigiri</v>
      </c>
      <c r="J281" s="962" t="str">
        <f>'lead 1'!L39</f>
        <v>H.M.Padu</v>
      </c>
    </row>
    <row r="282" spans="1:21">
      <c r="B282" s="1003"/>
      <c r="C282" s="1003"/>
      <c r="D282" s="1003"/>
      <c r="E282" s="1003"/>
      <c r="F282" s="1003"/>
      <c r="G282" s="1003"/>
      <c r="H282" s="1003"/>
      <c r="I282" s="1003"/>
      <c r="J282" s="1003"/>
      <c r="K282" s="1003"/>
    </row>
    <row r="283" spans="1:21">
      <c r="B283" s="1003"/>
      <c r="C283" s="1003"/>
      <c r="D283" s="1003"/>
      <c r="E283" s="1003"/>
      <c r="F283" s="1003"/>
      <c r="G283" s="1003"/>
      <c r="H283" s="1003"/>
      <c r="I283" s="1003"/>
      <c r="J283" s="1003"/>
      <c r="K283" s="1003"/>
      <c r="M283" s="1005"/>
    </row>
  </sheetData>
  <mergeCells count="37">
    <mergeCell ref="B268:H268"/>
    <mergeCell ref="B271:H271"/>
    <mergeCell ref="K5:K6"/>
    <mergeCell ref="B8:H8"/>
    <mergeCell ref="B242:H242"/>
    <mergeCell ref="B245:H245"/>
    <mergeCell ref="B116:H116"/>
    <mergeCell ref="F5:H5"/>
    <mergeCell ref="I5:I6"/>
    <mergeCell ref="B236:H236"/>
    <mergeCell ref="C5:C6"/>
    <mergeCell ref="B259:H259"/>
    <mergeCell ref="B251:H251"/>
    <mergeCell ref="B239:H239"/>
    <mergeCell ref="B28:H28"/>
    <mergeCell ref="B34:H34"/>
    <mergeCell ref="A1:K1"/>
    <mergeCell ref="A2:K2"/>
    <mergeCell ref="H4:J4"/>
    <mergeCell ref="A5:A6"/>
    <mergeCell ref="B5:B6"/>
    <mergeCell ref="J5:J6"/>
    <mergeCell ref="B156:H156"/>
    <mergeCell ref="B262:H262"/>
    <mergeCell ref="B265:H265"/>
    <mergeCell ref="B52:H52"/>
    <mergeCell ref="B120:H120"/>
    <mergeCell ref="B128:H128"/>
    <mergeCell ref="B254:H254"/>
    <mergeCell ref="B62:H62"/>
    <mergeCell ref="B78:H78"/>
    <mergeCell ref="B102:H102"/>
    <mergeCell ref="B248:H248"/>
    <mergeCell ref="B164:H164"/>
    <mergeCell ref="B172:H172"/>
    <mergeCell ref="B180:H180"/>
    <mergeCell ref="B228:H228"/>
  </mergeCells>
  <printOptions horizontalCentered="1" gridLines="1"/>
  <pageMargins left="0.53" right="0.7" top="0.26" bottom="0.16" header="0.55000000000000004" footer="0.27"/>
  <pageSetup paperSize="9" orientation="portrait" verticalDpi="0" r:id="rId1"/>
</worksheet>
</file>

<file path=xl/worksheets/sheet11.xml><?xml version="1.0" encoding="utf-8"?>
<worksheet xmlns="http://schemas.openxmlformats.org/spreadsheetml/2006/main" xmlns:r="http://schemas.openxmlformats.org/officeDocument/2006/relationships">
  <dimension ref="A1:T279"/>
  <sheetViews>
    <sheetView workbookViewId="0">
      <selection activeCell="G253" sqref="G253"/>
    </sheetView>
  </sheetViews>
  <sheetFormatPr defaultRowHeight="12.75"/>
  <cols>
    <col min="1" max="1" width="3" customWidth="1"/>
    <col min="2" max="2" width="29.140625" customWidth="1"/>
    <col min="3" max="3" width="5.7109375" customWidth="1"/>
    <col min="4" max="4" width="6.42578125" customWidth="1"/>
    <col min="5" max="5" width="7.5703125" customWidth="1"/>
    <col min="6" max="6" width="7.140625" customWidth="1"/>
    <col min="7" max="7" width="9.5703125" style="339" bestFit="1" customWidth="1"/>
    <col min="8" max="8" width="8.5703125" customWidth="1"/>
    <col min="9" max="9" width="9.5703125" customWidth="1"/>
    <col min="10" max="10" width="8.140625" customWidth="1"/>
    <col min="11" max="11" width="7.85546875" customWidth="1"/>
    <col min="12" max="12" width="5.7109375" customWidth="1"/>
    <col min="13" max="13" width="6.7109375" customWidth="1"/>
    <col min="14" max="14" width="8" customWidth="1"/>
    <col min="15" max="15" width="7.85546875" customWidth="1"/>
  </cols>
  <sheetData>
    <row r="1" spans="1:19" s="342" customFormat="1" ht="16.5">
      <c r="A1" s="1337" t="s">
        <v>93</v>
      </c>
      <c r="B1" s="1337"/>
      <c r="C1" s="1337"/>
      <c r="D1" s="1337"/>
      <c r="E1" s="1337"/>
      <c r="F1" s="1337"/>
      <c r="G1" s="1337"/>
      <c r="H1" s="1337"/>
      <c r="I1" s="1337"/>
    </row>
    <row r="2" spans="1:19" s="342" customFormat="1" ht="15.75" customHeight="1">
      <c r="A2" s="1338" t="str">
        <f>'Title page'!D20</f>
        <v>CONSTRUCTION OF NEW  SACHIVALAYAM IN  SALIPETA(V)-II   IN   GUDLUR (M)</v>
      </c>
      <c r="B2" s="1338"/>
      <c r="C2" s="1338"/>
      <c r="D2" s="1338"/>
      <c r="E2" s="1338"/>
      <c r="F2" s="1338"/>
      <c r="G2" s="1338"/>
      <c r="H2" s="1338"/>
      <c r="I2" s="1338"/>
    </row>
    <row r="3" spans="1:19" s="342" customFormat="1" ht="19.5" customHeight="1">
      <c r="A3" s="337"/>
      <c r="B3" s="343" t="s">
        <v>370</v>
      </c>
      <c r="C3" s="344">
        <f>'Title page'!H22</f>
        <v>35</v>
      </c>
      <c r="D3" s="341" t="s">
        <v>273</v>
      </c>
      <c r="E3" s="341"/>
      <c r="F3" s="1339"/>
      <c r="G3" s="1339"/>
      <c r="H3" s="1339"/>
      <c r="I3" s="341"/>
    </row>
    <row r="4" spans="1:19" s="596" customFormat="1" ht="36.75" customHeight="1">
      <c r="B4" s="597" t="s">
        <v>728</v>
      </c>
      <c r="C4" s="1340" t="s">
        <v>1656</v>
      </c>
      <c r="D4" s="1340"/>
      <c r="E4" s="1340"/>
      <c r="F4" s="1340"/>
      <c r="G4" s="598"/>
      <c r="H4" s="599"/>
      <c r="I4" s="600"/>
    </row>
    <row r="5" spans="1:19" s="480" customFormat="1" ht="21.75" customHeight="1">
      <c r="A5" s="1341" t="s">
        <v>368</v>
      </c>
      <c r="B5" s="1330" t="s">
        <v>94</v>
      </c>
      <c r="C5" s="1330" t="s">
        <v>95</v>
      </c>
      <c r="D5" s="1332" t="s">
        <v>96</v>
      </c>
      <c r="E5" s="1333"/>
      <c r="F5" s="1334"/>
      <c r="G5" s="1335" t="s">
        <v>100</v>
      </c>
      <c r="H5" s="1330" t="s">
        <v>101</v>
      </c>
      <c r="I5" s="1330" t="s">
        <v>102</v>
      </c>
      <c r="J5" s="1327" t="s">
        <v>795</v>
      </c>
      <c r="K5" s="1327" t="s">
        <v>796</v>
      </c>
      <c r="L5" s="1327" t="s">
        <v>797</v>
      </c>
      <c r="M5" s="1327" t="s">
        <v>798</v>
      </c>
      <c r="N5" s="1327" t="s">
        <v>859</v>
      </c>
      <c r="O5" s="1327" t="s">
        <v>1177</v>
      </c>
      <c r="P5" s="1327" t="s">
        <v>800</v>
      </c>
      <c r="Q5" s="1327" t="s">
        <v>855</v>
      </c>
      <c r="R5" s="1327" t="s">
        <v>801</v>
      </c>
      <c r="S5" s="1327" t="s">
        <v>790</v>
      </c>
    </row>
    <row r="6" spans="1:19" ht="57" customHeight="1">
      <c r="A6" s="1342"/>
      <c r="B6" s="1331"/>
      <c r="C6" s="1331"/>
      <c r="D6" s="1" t="s">
        <v>97</v>
      </c>
      <c r="E6" s="1" t="s">
        <v>98</v>
      </c>
      <c r="F6" s="1" t="s">
        <v>99</v>
      </c>
      <c r="G6" s="1336"/>
      <c r="H6" s="1331"/>
      <c r="I6" s="1331"/>
      <c r="J6" s="1328"/>
      <c r="K6" s="1328"/>
      <c r="L6" s="1328"/>
      <c r="M6" s="1328"/>
      <c r="N6" s="1328"/>
      <c r="O6" s="1328"/>
      <c r="P6" s="1328"/>
      <c r="Q6" s="1328"/>
      <c r="R6" s="1328"/>
      <c r="S6" s="1328"/>
    </row>
    <row r="7" spans="1:19">
      <c r="A7" s="1">
        <v>1</v>
      </c>
      <c r="B7" s="1">
        <v>2</v>
      </c>
      <c r="C7" s="1">
        <v>3</v>
      </c>
      <c r="D7" s="1">
        <v>4</v>
      </c>
      <c r="E7" s="1">
        <v>5</v>
      </c>
      <c r="F7" s="1">
        <v>6</v>
      </c>
      <c r="G7" s="481">
        <v>7</v>
      </c>
      <c r="H7" s="1">
        <v>8</v>
      </c>
      <c r="I7" s="1">
        <v>9</v>
      </c>
    </row>
    <row r="8" spans="1:19" s="2" customFormat="1" ht="69.75" customHeight="1">
      <c r="A8" s="331">
        <v>1</v>
      </c>
      <c r="B8" s="1329" t="s">
        <v>1054</v>
      </c>
      <c r="C8" s="1329"/>
      <c r="D8" s="1329"/>
      <c r="E8" s="1329"/>
      <c r="F8" s="1329"/>
    </row>
    <row r="9" spans="1:19" s="2" customFormat="1" ht="12.6" customHeight="1">
      <c r="A9" s="331"/>
      <c r="B9" s="2" t="s">
        <v>289</v>
      </c>
      <c r="C9" s="273"/>
      <c r="G9" s="273"/>
    </row>
    <row r="10" spans="1:19" s="2" customFormat="1" ht="12.6" customHeight="1">
      <c r="A10" s="331"/>
      <c r="B10" s="2" t="s">
        <v>1374</v>
      </c>
      <c r="C10" s="273">
        <v>6</v>
      </c>
      <c r="D10" s="338">
        <v>1.7</v>
      </c>
      <c r="E10" s="338">
        <v>1.7</v>
      </c>
      <c r="F10" s="338">
        <v>1.65</v>
      </c>
      <c r="G10" s="338">
        <f>ROUND(C10*D10*E10*F10,2)</f>
        <v>28.61</v>
      </c>
    </row>
    <row r="11" spans="1:19" s="2" customFormat="1" ht="12.6" customHeight="1">
      <c r="A11" s="331"/>
      <c r="B11" s="2" t="s">
        <v>1373</v>
      </c>
      <c r="C11" s="273">
        <v>2</v>
      </c>
      <c r="D11" s="338">
        <f>6.56+2*0.24</f>
        <v>7.0399999999999991</v>
      </c>
      <c r="E11" s="338">
        <v>0.6</v>
      </c>
      <c r="F11" s="338">
        <v>0.9</v>
      </c>
      <c r="G11" s="338">
        <f>ROUND(C11*D11*E11*F11,2)</f>
        <v>7.6</v>
      </c>
    </row>
    <row r="12" spans="1:19" s="2" customFormat="1" ht="12.6" customHeight="1">
      <c r="A12" s="331"/>
      <c r="B12" s="2" t="s">
        <v>1375</v>
      </c>
      <c r="C12" s="273">
        <v>2</v>
      </c>
      <c r="D12" s="338">
        <f>4.57+1*0.23-2*0.36</f>
        <v>4.080000000000001</v>
      </c>
      <c r="E12" s="338">
        <v>0.6</v>
      </c>
      <c r="F12" s="338">
        <v>0.9</v>
      </c>
      <c r="G12" s="338">
        <f>ROUND(C12*D12*E12*F12,2)</f>
        <v>4.41</v>
      </c>
    </row>
    <row r="13" spans="1:19" s="331" customFormat="1" ht="12.6" customHeight="1">
      <c r="B13" s="331" t="s">
        <v>1055</v>
      </c>
      <c r="C13" s="180">
        <v>1</v>
      </c>
      <c r="D13" s="491">
        <v>5.03</v>
      </c>
      <c r="E13" s="491">
        <v>1.8</v>
      </c>
      <c r="F13" s="491">
        <v>0.3</v>
      </c>
      <c r="G13" s="492">
        <f>ROUND(C13*D13*E13*F13,2)</f>
        <v>2.72</v>
      </c>
    </row>
    <row r="14" spans="1:19" s="331" customFormat="1" ht="12.6" customHeight="1">
      <c r="B14" s="331" t="s">
        <v>1057</v>
      </c>
      <c r="C14" s="180"/>
      <c r="D14" s="491"/>
      <c r="E14" s="491"/>
      <c r="F14" s="491"/>
      <c r="G14" s="490">
        <v>0.34</v>
      </c>
    </row>
    <row r="15" spans="1:19" s="2" customFormat="1" ht="12.6" customHeight="1">
      <c r="A15" s="331"/>
      <c r="G15" s="493">
        <v>0</v>
      </c>
      <c r="H15" s="539">
        <f>data1!G23</f>
        <v>124.4</v>
      </c>
      <c r="I15" s="205">
        <f>ROUND(H15*G15,0)</f>
        <v>0</v>
      </c>
      <c r="J15" s="205">
        <f>I15</f>
        <v>0</v>
      </c>
      <c r="R15" s="205"/>
      <c r="S15" s="2">
        <f>SUM(J15:R15)</f>
        <v>0</v>
      </c>
    </row>
    <row r="16" spans="1:19" s="2" customFormat="1" ht="12.6" customHeight="1">
      <c r="A16" s="331"/>
      <c r="G16" s="273" t="s">
        <v>115</v>
      </c>
      <c r="H16" s="273" t="s">
        <v>107</v>
      </c>
      <c r="I16" s="205"/>
    </row>
    <row r="17" spans="1:9" s="2" customFormat="1" ht="58.5" customHeight="1">
      <c r="A17" s="331">
        <v>2</v>
      </c>
      <c r="B17" s="1324" t="s">
        <v>1058</v>
      </c>
      <c r="C17" s="1325"/>
      <c r="D17" s="1325"/>
      <c r="E17" s="1325"/>
      <c r="F17" s="1325"/>
      <c r="G17" s="273"/>
      <c r="H17" s="273"/>
      <c r="I17" s="205"/>
    </row>
    <row r="18" spans="1:9" s="2" customFormat="1" ht="12.6" customHeight="1">
      <c r="A18" s="331"/>
      <c r="B18" s="2" t="str">
        <f>B10</f>
        <v xml:space="preserve">Footing </v>
      </c>
      <c r="C18" s="273">
        <f>C10</f>
        <v>6</v>
      </c>
      <c r="D18" s="275">
        <f>D10</f>
        <v>1.7</v>
      </c>
      <c r="E18" s="275">
        <f>E10</f>
        <v>1.7</v>
      </c>
      <c r="F18" s="338">
        <f>F10</f>
        <v>1.65</v>
      </c>
      <c r="G18" s="338">
        <f>ROUND(C18*D18*E18*F18,2)</f>
        <v>28.61</v>
      </c>
    </row>
    <row r="19" spans="1:9" s="2" customFormat="1" ht="11.25">
      <c r="A19" s="331"/>
      <c r="B19" s="2" t="str">
        <f t="shared" ref="B19:F21" si="0">B11</f>
        <v xml:space="preserve">External Plinth wall Long </v>
      </c>
      <c r="C19" s="273">
        <f t="shared" si="0"/>
        <v>2</v>
      </c>
      <c r="D19" s="275">
        <f t="shared" si="0"/>
        <v>7.0399999999999991</v>
      </c>
      <c r="E19" s="275">
        <f t="shared" si="0"/>
        <v>0.6</v>
      </c>
      <c r="F19" s="338">
        <f t="shared" si="0"/>
        <v>0.9</v>
      </c>
      <c r="G19" s="275">
        <f>ROUND(C19*D19*E19*F19,2)</f>
        <v>7.6</v>
      </c>
    </row>
    <row r="20" spans="1:9" s="2" customFormat="1" ht="12.6" customHeight="1">
      <c r="A20" s="331"/>
      <c r="B20" s="2" t="str">
        <f t="shared" si="0"/>
        <v xml:space="preserve">External Plinth wall  short </v>
      </c>
      <c r="C20" s="273">
        <f t="shared" si="0"/>
        <v>2</v>
      </c>
      <c r="D20" s="275">
        <f t="shared" si="0"/>
        <v>4.080000000000001</v>
      </c>
      <c r="E20" s="275">
        <f t="shared" si="0"/>
        <v>0.6</v>
      </c>
      <c r="F20" s="338">
        <f t="shared" si="0"/>
        <v>0.9</v>
      </c>
      <c r="G20" s="338">
        <f>ROUND(C20*D20*E20*F20,2)</f>
        <v>4.41</v>
      </c>
    </row>
    <row r="21" spans="1:9" s="2" customFormat="1" ht="12.6" customHeight="1">
      <c r="A21" s="331"/>
      <c r="B21" s="2" t="str">
        <f t="shared" si="0"/>
        <v>Front Steps</v>
      </c>
      <c r="C21" s="273">
        <f t="shared" si="0"/>
        <v>1</v>
      </c>
      <c r="D21" s="275">
        <f t="shared" si="0"/>
        <v>5.03</v>
      </c>
      <c r="E21" s="275">
        <f t="shared" si="0"/>
        <v>1.8</v>
      </c>
      <c r="F21" s="338">
        <f t="shared" si="0"/>
        <v>0.3</v>
      </c>
      <c r="G21" s="338">
        <f>ROUND(C21*D21*E21*F21,2)</f>
        <v>2.72</v>
      </c>
    </row>
    <row r="22" spans="1:9" s="2" customFormat="1" ht="11.25">
      <c r="A22" s="331"/>
      <c r="C22" s="273"/>
      <c r="D22" s="275"/>
      <c r="E22" s="275"/>
      <c r="F22" s="338"/>
      <c r="G22" s="275">
        <f>SUM(G18:G20)</f>
        <v>40.620000000000005</v>
      </c>
    </row>
    <row r="23" spans="1:9" s="2" customFormat="1" ht="15" customHeight="1">
      <c r="A23" s="331"/>
      <c r="B23" s="494" t="s">
        <v>1320</v>
      </c>
      <c r="C23" s="495"/>
      <c r="D23" s="495"/>
      <c r="E23" s="495"/>
      <c r="F23" s="495"/>
      <c r="G23" s="278"/>
      <c r="H23" s="273"/>
      <c r="I23" s="205"/>
    </row>
    <row r="24" spans="1:9" s="2" customFormat="1" ht="12.6" customHeight="1">
      <c r="A24" s="331"/>
      <c r="B24" s="494" t="str">
        <f>B18</f>
        <v xml:space="preserve">Footing </v>
      </c>
      <c r="C24" s="496">
        <f>C18</f>
        <v>6</v>
      </c>
      <c r="D24" s="497">
        <f>D18</f>
        <v>1.7</v>
      </c>
      <c r="E24" s="497">
        <f>E18</f>
        <v>1.7</v>
      </c>
      <c r="F24" s="490">
        <v>0.15</v>
      </c>
      <c r="G24" s="492">
        <f>-ROUND(C24*D24*E24*F24,2)</f>
        <v>-2.6</v>
      </c>
      <c r="H24" s="273"/>
      <c r="I24" s="205"/>
    </row>
    <row r="25" spans="1:9" s="2" customFormat="1" ht="12.6" customHeight="1">
      <c r="A25" s="331"/>
      <c r="B25" s="494" t="str">
        <f>B19</f>
        <v xml:space="preserve">External Plinth wall Long </v>
      </c>
      <c r="C25" s="496">
        <f t="shared" ref="C25:E26" si="1">C19</f>
        <v>2</v>
      </c>
      <c r="D25" s="497">
        <f t="shared" si="1"/>
        <v>7.0399999999999991</v>
      </c>
      <c r="E25" s="497">
        <f t="shared" si="1"/>
        <v>0.6</v>
      </c>
      <c r="F25" s="490">
        <v>0.15</v>
      </c>
      <c r="G25" s="492">
        <f t="shared" ref="G25:G32" si="2">-ROUND(C25*D25*E25*F25,2)</f>
        <v>-1.27</v>
      </c>
      <c r="H25" s="273"/>
      <c r="I25" s="205"/>
    </row>
    <row r="26" spans="1:9" s="2" customFormat="1" ht="12.6" customHeight="1">
      <c r="A26" s="331"/>
      <c r="B26" s="494" t="str">
        <f>B20</f>
        <v xml:space="preserve">External Plinth wall  short </v>
      </c>
      <c r="C26" s="496">
        <f t="shared" si="1"/>
        <v>2</v>
      </c>
      <c r="D26" s="497">
        <f t="shared" si="1"/>
        <v>4.080000000000001</v>
      </c>
      <c r="E26" s="497">
        <f t="shared" si="1"/>
        <v>0.6</v>
      </c>
      <c r="F26" s="490">
        <v>0.15</v>
      </c>
      <c r="G26" s="492">
        <f t="shared" si="2"/>
        <v>-0.73</v>
      </c>
      <c r="H26" s="273"/>
      <c r="I26" s="205"/>
    </row>
    <row r="27" spans="1:9" s="2" customFormat="1" ht="12.6" customHeight="1">
      <c r="A27" s="331"/>
      <c r="B27" s="494" t="s">
        <v>1321</v>
      </c>
      <c r="C27" s="496"/>
      <c r="D27" s="497"/>
      <c r="E27" s="497"/>
      <c r="F27" s="490"/>
      <c r="G27" s="492"/>
      <c r="H27" s="273"/>
      <c r="I27" s="205"/>
    </row>
    <row r="28" spans="1:9" s="2" customFormat="1" ht="12.6" customHeight="1">
      <c r="A28" s="331"/>
      <c r="B28" s="494" t="str">
        <f>B24</f>
        <v xml:space="preserve">Footing </v>
      </c>
      <c r="C28" s="496">
        <f>C24</f>
        <v>6</v>
      </c>
      <c r="D28" s="497">
        <f>D24</f>
        <v>1.7</v>
      </c>
      <c r="E28" s="497">
        <f>E24</f>
        <v>1.7</v>
      </c>
      <c r="F28" s="490">
        <v>0.15</v>
      </c>
      <c r="G28" s="492">
        <f t="shared" si="2"/>
        <v>-2.6</v>
      </c>
      <c r="H28" s="273"/>
      <c r="I28" s="205"/>
    </row>
    <row r="29" spans="1:9" s="2" customFormat="1" ht="12.6" customHeight="1">
      <c r="A29" s="331"/>
      <c r="B29" s="494" t="str">
        <f t="shared" ref="B29:E30" si="3">B25</f>
        <v xml:space="preserve">External Plinth wall Long </v>
      </c>
      <c r="C29" s="496">
        <f t="shared" si="3"/>
        <v>2</v>
      </c>
      <c r="D29" s="497">
        <f t="shared" si="3"/>
        <v>7.0399999999999991</v>
      </c>
      <c r="E29" s="497">
        <f t="shared" si="3"/>
        <v>0.6</v>
      </c>
      <c r="F29" s="490">
        <v>0.15</v>
      </c>
      <c r="G29" s="492">
        <f t="shared" si="2"/>
        <v>-1.27</v>
      </c>
      <c r="H29" s="273"/>
      <c r="I29" s="205"/>
    </row>
    <row r="30" spans="1:9" s="2" customFormat="1" ht="12.6" customHeight="1">
      <c r="A30" s="331"/>
      <c r="B30" s="494" t="str">
        <f t="shared" si="3"/>
        <v xml:space="preserve">External Plinth wall  short </v>
      </c>
      <c r="C30" s="496">
        <f t="shared" si="3"/>
        <v>2</v>
      </c>
      <c r="D30" s="497">
        <f t="shared" si="3"/>
        <v>4.080000000000001</v>
      </c>
      <c r="E30" s="497">
        <f t="shared" si="3"/>
        <v>0.6</v>
      </c>
      <c r="F30" s="497">
        <v>0.15</v>
      </c>
      <c r="G30" s="492">
        <f t="shared" si="2"/>
        <v>-0.73</v>
      </c>
      <c r="H30" s="273"/>
      <c r="I30" s="205"/>
    </row>
    <row r="31" spans="1:9" s="2" customFormat="1" ht="11.25">
      <c r="A31" s="331"/>
      <c r="B31" s="2" t="s">
        <v>1376</v>
      </c>
      <c r="C31" s="273"/>
      <c r="D31" s="275"/>
      <c r="E31" s="275"/>
      <c r="F31" s="338"/>
      <c r="G31" s="275"/>
    </row>
    <row r="32" spans="1:9" s="2" customFormat="1" ht="12" customHeight="1">
      <c r="A32" s="331"/>
      <c r="B32" s="232" t="str">
        <f>B24</f>
        <v xml:space="preserve">Footing </v>
      </c>
      <c r="C32" s="602">
        <f>C28</f>
        <v>6</v>
      </c>
      <c r="D32" s="504">
        <f>D24-2*0.1</f>
        <v>1.5</v>
      </c>
      <c r="E32" s="504">
        <f>E24-2*0.1</f>
        <v>1.5</v>
      </c>
      <c r="F32" s="504">
        <v>0.35</v>
      </c>
      <c r="G32" s="492">
        <f t="shared" si="2"/>
        <v>-4.7300000000000004</v>
      </c>
      <c r="H32" s="273"/>
      <c r="I32" s="205"/>
    </row>
    <row r="33" spans="1:19" s="2" customFormat="1" ht="11.25">
      <c r="A33" s="331"/>
      <c r="B33" s="2" t="s">
        <v>1377</v>
      </c>
      <c r="C33" s="273">
        <f>C32</f>
        <v>6</v>
      </c>
      <c r="D33" s="275">
        <v>0.45</v>
      </c>
      <c r="E33" s="275">
        <v>0.45</v>
      </c>
      <c r="F33" s="338">
        <v>0.45</v>
      </c>
      <c r="G33" s="275">
        <f>-ROUND(C33*D33*E33*F33,2)</f>
        <v>-0.55000000000000004</v>
      </c>
    </row>
    <row r="34" spans="1:19" s="2" customFormat="1" ht="11.25">
      <c r="A34" s="331"/>
      <c r="B34" s="2" t="s">
        <v>1322</v>
      </c>
      <c r="C34" s="273">
        <f>C33</f>
        <v>6</v>
      </c>
      <c r="D34" s="275">
        <v>0.38</v>
      </c>
      <c r="E34" s="275">
        <v>0.23</v>
      </c>
      <c r="F34" s="338">
        <v>0.55000000000000004</v>
      </c>
      <c r="G34" s="275">
        <f>-ROUND(C34*D34*E34*F34,2)</f>
        <v>-0.28999999999999998</v>
      </c>
    </row>
    <row r="35" spans="1:19" s="2" customFormat="1" ht="11.25">
      <c r="A35" s="331"/>
      <c r="B35" s="2" t="s">
        <v>1057</v>
      </c>
      <c r="C35" s="273"/>
      <c r="D35" s="275"/>
      <c r="E35" s="275"/>
      <c r="F35" s="338"/>
      <c r="G35" s="275">
        <v>0.15</v>
      </c>
    </row>
    <row r="36" spans="1:19" s="533" customFormat="1" ht="15" customHeight="1">
      <c r="B36" s="563"/>
      <c r="C36" s="564"/>
      <c r="D36" s="565"/>
      <c r="E36" s="565"/>
      <c r="F36" s="565"/>
      <c r="G36" s="565">
        <v>0</v>
      </c>
      <c r="H36" s="566">
        <f>data1!G57</f>
        <v>25.59</v>
      </c>
      <c r="I36" s="537">
        <f>ROUND(G36*H36,0)</f>
        <v>0</v>
      </c>
      <c r="J36" s="537">
        <f>I36</f>
        <v>0</v>
      </c>
      <c r="S36" s="537">
        <f>J36</f>
        <v>0</v>
      </c>
    </row>
    <row r="37" spans="1:19" s="2" customFormat="1" ht="15" customHeight="1">
      <c r="A37" s="331"/>
      <c r="B37" s="494"/>
      <c r="C37" s="277"/>
      <c r="D37" s="504"/>
      <c r="E37" s="504"/>
      <c r="F37" s="504"/>
      <c r="G37" s="504"/>
      <c r="H37" s="273"/>
      <c r="I37" s="205"/>
    </row>
    <row r="38" spans="1:19" s="2" customFormat="1" ht="57" customHeight="1">
      <c r="A38" s="331">
        <v>3</v>
      </c>
      <c r="B38" s="1324" t="s">
        <v>1059</v>
      </c>
      <c r="C38" s="1325"/>
      <c r="D38" s="1325"/>
      <c r="E38" s="1325"/>
      <c r="F38" s="1325"/>
      <c r="G38" s="273"/>
      <c r="H38" s="273"/>
      <c r="I38" s="205"/>
    </row>
    <row r="39" spans="1:19" s="2" customFormat="1" ht="12.6" customHeight="1">
      <c r="A39" s="331"/>
      <c r="B39" s="494" t="str">
        <f t="shared" ref="B39:E42" si="4">B10</f>
        <v xml:space="preserve">Footing </v>
      </c>
      <c r="C39" s="496">
        <f t="shared" si="4"/>
        <v>6</v>
      </c>
      <c r="D39" s="497">
        <f t="shared" si="4"/>
        <v>1.7</v>
      </c>
      <c r="E39" s="497">
        <f t="shared" si="4"/>
        <v>1.7</v>
      </c>
      <c r="F39" s="490">
        <v>0.15</v>
      </c>
      <c r="G39" s="492">
        <f>ROUND(C39*D39*E39*F39,2)</f>
        <v>2.6</v>
      </c>
      <c r="H39" s="273"/>
      <c r="I39" s="205"/>
    </row>
    <row r="40" spans="1:19" s="2" customFormat="1" ht="12.6" customHeight="1">
      <c r="A40" s="331"/>
      <c r="B40" s="494" t="str">
        <f t="shared" si="4"/>
        <v xml:space="preserve">External Plinth wall Long </v>
      </c>
      <c r="C40" s="496">
        <f t="shared" si="4"/>
        <v>2</v>
      </c>
      <c r="D40" s="497">
        <f t="shared" si="4"/>
        <v>7.0399999999999991</v>
      </c>
      <c r="E40" s="497">
        <f t="shared" si="4"/>
        <v>0.6</v>
      </c>
      <c r="F40" s="490">
        <v>0.15</v>
      </c>
      <c r="G40" s="492">
        <f>ROUND(C40*D40*E40*F40,2)</f>
        <v>1.27</v>
      </c>
      <c r="H40" s="273"/>
      <c r="I40" s="205"/>
    </row>
    <row r="41" spans="1:19" s="2" customFormat="1" ht="12.6" customHeight="1">
      <c r="A41" s="331"/>
      <c r="B41" s="494" t="str">
        <f t="shared" si="4"/>
        <v xml:space="preserve">External Plinth wall  short </v>
      </c>
      <c r="C41" s="496">
        <f t="shared" si="4"/>
        <v>2</v>
      </c>
      <c r="D41" s="497">
        <f t="shared" si="4"/>
        <v>4.080000000000001</v>
      </c>
      <c r="E41" s="497">
        <f t="shared" si="4"/>
        <v>0.6</v>
      </c>
      <c r="F41" s="490">
        <v>0.15</v>
      </c>
      <c r="G41" s="492">
        <f>ROUND(C41*D41*E41*F41,2)</f>
        <v>0.73</v>
      </c>
      <c r="H41" s="273"/>
      <c r="I41" s="205"/>
    </row>
    <row r="42" spans="1:19" s="2" customFormat="1" ht="12.6" customHeight="1">
      <c r="A42" s="331"/>
      <c r="B42" s="494" t="str">
        <f t="shared" si="4"/>
        <v>Front Steps</v>
      </c>
      <c r="C42" s="496">
        <f t="shared" si="4"/>
        <v>1</v>
      </c>
      <c r="D42" s="497">
        <f t="shared" si="4"/>
        <v>5.03</v>
      </c>
      <c r="E42" s="497">
        <f t="shared" si="4"/>
        <v>1.8</v>
      </c>
      <c r="F42" s="490">
        <v>0.15</v>
      </c>
      <c r="G42" s="492">
        <f>ROUND(C42*D42*E42*F42,2)</f>
        <v>1.36</v>
      </c>
      <c r="H42" s="273"/>
      <c r="I42" s="205"/>
    </row>
    <row r="43" spans="1:19" s="2" customFormat="1" ht="12.6" customHeight="1">
      <c r="A43" s="331"/>
      <c r="B43" s="494" t="s">
        <v>1060</v>
      </c>
      <c r="C43" s="492">
        <v>1</v>
      </c>
      <c r="D43" s="2">
        <f>6.33-1*0.23</f>
        <v>6.1</v>
      </c>
      <c r="E43" s="492">
        <f>4.8-0.23</f>
        <v>4.5699999999999994</v>
      </c>
      <c r="F43" s="492">
        <v>0.28000000000000003</v>
      </c>
      <c r="G43" s="492">
        <f>ROUND(C43*D43*E43*F43,2)</f>
        <v>7.81</v>
      </c>
      <c r="H43" s="273"/>
      <c r="I43" s="205"/>
    </row>
    <row r="44" spans="1:19" s="2" customFormat="1" ht="12.6" customHeight="1">
      <c r="A44" s="331"/>
      <c r="B44" s="499" t="s">
        <v>1061</v>
      </c>
      <c r="C44" s="495"/>
      <c r="E44" s="492"/>
      <c r="F44" s="492"/>
      <c r="G44" s="492"/>
      <c r="H44" s="273"/>
      <c r="I44" s="205"/>
    </row>
    <row r="45" spans="1:19" s="2" customFormat="1" ht="12.6" customHeight="1">
      <c r="A45" s="331"/>
      <c r="B45" s="494" t="s">
        <v>1378</v>
      </c>
      <c r="C45" s="492">
        <v>1</v>
      </c>
      <c r="D45" s="2">
        <f>4.8-1*0.23</f>
        <v>4.5699999999999994</v>
      </c>
      <c r="E45" s="492">
        <v>0.23</v>
      </c>
      <c r="F45" s="492">
        <v>0.28000000000000003</v>
      </c>
      <c r="G45" s="492">
        <f>-ROUND(C45*D45*E45*F45,2)</f>
        <v>-0.28999999999999998</v>
      </c>
      <c r="H45" s="273"/>
      <c r="I45" s="205"/>
    </row>
    <row r="46" spans="1:19" s="2" customFormat="1" ht="12.6" customHeight="1">
      <c r="A46" s="331"/>
      <c r="B46" s="331" t="s">
        <v>1057</v>
      </c>
      <c r="C46" s="492"/>
      <c r="E46" s="492"/>
      <c r="F46" s="492"/>
      <c r="G46" s="492">
        <v>0.02</v>
      </c>
      <c r="H46" s="273"/>
      <c r="I46" s="205"/>
    </row>
    <row r="47" spans="1:19" s="2" customFormat="1" ht="11.25">
      <c r="A47" s="331"/>
      <c r="G47" s="338">
        <v>0</v>
      </c>
      <c r="H47" s="539">
        <f>data1!G45-data1!G39</f>
        <v>1414.4</v>
      </c>
      <c r="I47" s="205">
        <f>ROUND((H47*G47)/1,0)</f>
        <v>0</v>
      </c>
      <c r="L47" s="205">
        <f>I47</f>
        <v>0</v>
      </c>
      <c r="S47" s="2">
        <f>SUM(J47:R47)</f>
        <v>0</v>
      </c>
    </row>
    <row r="48" spans="1:19" s="2" customFormat="1" ht="11.25">
      <c r="A48" s="331"/>
      <c r="G48" s="275" t="s">
        <v>112</v>
      </c>
      <c r="H48" s="273" t="s">
        <v>112</v>
      </c>
      <c r="I48" s="205"/>
    </row>
    <row r="49" spans="1:19" s="2" customFormat="1" ht="80.25" customHeight="1">
      <c r="A49" s="331">
        <v>4</v>
      </c>
      <c r="B49" s="1309" t="s">
        <v>1062</v>
      </c>
      <c r="C49" s="1309"/>
      <c r="D49" s="1309"/>
      <c r="E49" s="1309"/>
      <c r="F49" s="1309"/>
      <c r="G49" s="273"/>
      <c r="H49" s="273"/>
      <c r="I49" s="205"/>
      <c r="K49" s="2" t="s">
        <v>154</v>
      </c>
    </row>
    <row r="50" spans="1:19" s="2" customFormat="1" ht="11.25">
      <c r="A50" s="331"/>
      <c r="B50" s="2" t="s">
        <v>883</v>
      </c>
      <c r="G50" s="502">
        <f>G47</f>
        <v>0</v>
      </c>
      <c r="H50" s="540">
        <f>data1!G39</f>
        <v>25.59</v>
      </c>
      <c r="I50" s="205">
        <f>ROUND((H50*G50)/1,0)</f>
        <v>0</v>
      </c>
      <c r="J50" s="205">
        <f>I50</f>
        <v>0</v>
      </c>
      <c r="S50" s="205">
        <f>SUM(J50:R50)</f>
        <v>0</v>
      </c>
    </row>
    <row r="51" spans="1:19" s="2" customFormat="1" ht="11.25">
      <c r="A51" s="331"/>
      <c r="G51" s="275" t="s">
        <v>112</v>
      </c>
      <c r="H51" s="273" t="s">
        <v>112</v>
      </c>
      <c r="I51" s="205"/>
    </row>
    <row r="52" spans="1:19" s="2" customFormat="1" ht="103.5" customHeight="1">
      <c r="A52" s="331">
        <v>4</v>
      </c>
      <c r="B52" s="1324" t="s">
        <v>1093</v>
      </c>
      <c r="C52" s="1325"/>
      <c r="D52" s="1325"/>
      <c r="E52" s="1325"/>
      <c r="F52" s="1325"/>
      <c r="H52" s="273"/>
      <c r="I52" s="205"/>
    </row>
    <row r="53" spans="1:19" s="2" customFormat="1" ht="15" customHeight="1">
      <c r="A53" s="331"/>
      <c r="B53" s="499" t="s">
        <v>1063</v>
      </c>
      <c r="C53" s="495"/>
      <c r="D53" s="495"/>
      <c r="E53" s="495"/>
      <c r="F53" s="495"/>
      <c r="G53" s="273"/>
      <c r="H53" s="273"/>
      <c r="I53" s="205"/>
    </row>
    <row r="54" spans="1:19" s="2" customFormat="1" ht="15" customHeight="1">
      <c r="A54" s="331"/>
      <c r="B54" s="494" t="str">
        <f t="shared" ref="B54:F57" si="5">B39</f>
        <v xml:space="preserve">Footing </v>
      </c>
      <c r="C54" s="500">
        <f t="shared" si="5"/>
        <v>6</v>
      </c>
      <c r="D54" s="497">
        <f t="shared" si="5"/>
        <v>1.7</v>
      </c>
      <c r="E54" s="497">
        <f t="shared" si="5"/>
        <v>1.7</v>
      </c>
      <c r="F54" s="497">
        <f t="shared" si="5"/>
        <v>0.15</v>
      </c>
      <c r="G54" s="492">
        <f>ROUND(C54*D54*E54*F54,2)</f>
        <v>2.6</v>
      </c>
      <c r="H54" s="273"/>
      <c r="I54" s="205"/>
    </row>
    <row r="55" spans="1:19" s="2" customFormat="1" ht="12.6" customHeight="1">
      <c r="A55" s="331"/>
      <c r="B55" s="494" t="str">
        <f t="shared" si="5"/>
        <v xml:space="preserve">External Plinth wall Long </v>
      </c>
      <c r="C55" s="500">
        <f t="shared" si="5"/>
        <v>2</v>
      </c>
      <c r="D55" s="497">
        <f t="shared" si="5"/>
        <v>7.0399999999999991</v>
      </c>
      <c r="E55" s="497">
        <f t="shared" si="5"/>
        <v>0.6</v>
      </c>
      <c r="F55" s="497">
        <f t="shared" si="5"/>
        <v>0.15</v>
      </c>
      <c r="G55" s="492">
        <f>ROUND(C55*D55*E55*F55,2)</f>
        <v>1.27</v>
      </c>
      <c r="H55" s="273"/>
      <c r="I55" s="205"/>
    </row>
    <row r="56" spans="1:19" s="2" customFormat="1" ht="12.6" customHeight="1">
      <c r="A56" s="331"/>
      <c r="B56" s="494" t="str">
        <f t="shared" si="5"/>
        <v xml:space="preserve">External Plinth wall  short </v>
      </c>
      <c r="C56" s="500">
        <f t="shared" si="5"/>
        <v>2</v>
      </c>
      <c r="D56" s="497">
        <f t="shared" si="5"/>
        <v>4.080000000000001</v>
      </c>
      <c r="E56" s="497">
        <f t="shared" si="5"/>
        <v>0.6</v>
      </c>
      <c r="F56" s="497">
        <f t="shared" si="5"/>
        <v>0.15</v>
      </c>
      <c r="G56" s="492">
        <f>ROUND(C56*D56*E56*F56,2)</f>
        <v>0.73</v>
      </c>
      <c r="H56" s="273"/>
      <c r="I56" s="205"/>
    </row>
    <row r="57" spans="1:19" s="2" customFormat="1" ht="12.6" customHeight="1">
      <c r="A57" s="331"/>
      <c r="B57" s="494" t="str">
        <f t="shared" si="5"/>
        <v>Front Steps</v>
      </c>
      <c r="C57" s="500">
        <f t="shared" si="5"/>
        <v>1</v>
      </c>
      <c r="D57" s="497">
        <f t="shared" si="5"/>
        <v>5.03</v>
      </c>
      <c r="E57" s="497">
        <f t="shared" si="5"/>
        <v>1.8</v>
      </c>
      <c r="F57" s="497">
        <f t="shared" si="5"/>
        <v>0.15</v>
      </c>
      <c r="G57" s="492">
        <f>ROUND(C57*D57*E57*F57,2)</f>
        <v>1.36</v>
      </c>
      <c r="H57" s="273"/>
      <c r="I57" s="205"/>
    </row>
    <row r="58" spans="1:19" s="2" customFormat="1" ht="12.6" customHeight="1">
      <c r="A58" s="331"/>
      <c r="B58" s="494" t="s">
        <v>1064</v>
      </c>
      <c r="C58" s="500">
        <v>6</v>
      </c>
      <c r="D58" s="497">
        <v>0.15</v>
      </c>
      <c r="E58" s="497">
        <v>0.23</v>
      </c>
      <c r="F58" s="497">
        <v>0.15</v>
      </c>
      <c r="G58" s="492">
        <f>-ROUND(C58*D58*E58*F58,2)</f>
        <v>-0.03</v>
      </c>
      <c r="H58" s="273"/>
      <c r="I58" s="205"/>
    </row>
    <row r="59" spans="1:19" s="2" customFormat="1" ht="12.6" customHeight="1">
      <c r="A59" s="331"/>
      <c r="B59" s="494" t="s">
        <v>1065</v>
      </c>
      <c r="C59" s="500">
        <f>C43</f>
        <v>1</v>
      </c>
      <c r="D59" s="501">
        <f>D43</f>
        <v>6.1</v>
      </c>
      <c r="E59" s="497">
        <f>E43</f>
        <v>4.5699999999999994</v>
      </c>
      <c r="F59" s="497">
        <v>0.1</v>
      </c>
      <c r="G59" s="492">
        <f>ROUND(C59*D59*E59*F59,2)</f>
        <v>2.79</v>
      </c>
      <c r="H59" s="273"/>
      <c r="I59" s="205"/>
    </row>
    <row r="60" spans="1:19" s="2" customFormat="1" ht="12.6" customHeight="1">
      <c r="A60" s="331"/>
      <c r="B60" s="499" t="str">
        <f>B44</f>
        <v>Deductions</v>
      </c>
      <c r="C60" s="500"/>
      <c r="D60" s="497"/>
      <c r="E60" s="497"/>
      <c r="F60" s="497"/>
      <c r="G60" s="492"/>
      <c r="H60" s="273"/>
      <c r="I60" s="205"/>
    </row>
    <row r="61" spans="1:19" s="2" customFormat="1" ht="12.6" customHeight="1">
      <c r="A61" s="331"/>
      <c r="B61" s="494" t="str">
        <f>B45</f>
        <v>Middle Plinth beam</v>
      </c>
      <c r="C61" s="500">
        <f>C45</f>
        <v>1</v>
      </c>
      <c r="D61" s="501">
        <f>D45</f>
        <v>4.5699999999999994</v>
      </c>
      <c r="E61" s="497">
        <f>E45</f>
        <v>0.23</v>
      </c>
      <c r="F61" s="497">
        <v>0.1</v>
      </c>
      <c r="G61" s="492">
        <f>-ROUND(C61*D61*E61*F61,2)</f>
        <v>-0.11</v>
      </c>
      <c r="H61" s="273"/>
      <c r="I61" s="205"/>
    </row>
    <row r="62" spans="1:19" s="2" customFormat="1" ht="12.6" customHeight="1">
      <c r="A62" s="331"/>
      <c r="B62" s="494" t="s">
        <v>1057</v>
      </c>
      <c r="C62" s="500"/>
      <c r="D62" s="497"/>
      <c r="E62" s="497"/>
      <c r="F62" s="497"/>
      <c r="G62" s="492">
        <v>0.09</v>
      </c>
      <c r="H62" s="273"/>
      <c r="I62" s="205"/>
    </row>
    <row r="63" spans="1:19" s="2" customFormat="1" ht="12.75" customHeight="1">
      <c r="A63" s="331"/>
      <c r="B63" s="329"/>
      <c r="C63" s="329"/>
      <c r="D63" s="274"/>
      <c r="E63" s="329"/>
      <c r="F63" s="329"/>
      <c r="G63" s="338">
        <v>0</v>
      </c>
      <c r="H63" s="540">
        <f>data1!G169</f>
        <v>3943.6099999999997</v>
      </c>
      <c r="I63" s="205">
        <f>ROUND(H63*G63,0)</f>
        <v>0</v>
      </c>
      <c r="J63" s="2">
        <f>ROUND($G$63*data1!H169,2)</f>
        <v>0</v>
      </c>
      <c r="K63" s="2">
        <f>ROUND($G$63*data1!I169,2)</f>
        <v>0</v>
      </c>
      <c r="L63" s="2">
        <f>ROUND($G$63*data1!J169,2)</f>
        <v>0</v>
      </c>
      <c r="M63" s="2">
        <f>ROUND($G$63*data1!K169,2)</f>
        <v>0</v>
      </c>
      <c r="N63" s="2">
        <f>ROUND($G$63*data1!L169,2)</f>
        <v>0</v>
      </c>
      <c r="O63" s="2">
        <f>ROUND($G$63*data1!M169,2)</f>
        <v>0</v>
      </c>
      <c r="P63" s="2">
        <f>ROUND($G$63*data1!N169,2)</f>
        <v>0</v>
      </c>
      <c r="Q63" s="2">
        <f>ROUND($G$63*data1!O169,2)</f>
        <v>0</v>
      </c>
      <c r="R63" s="2">
        <f>ROUND($G$63*data1!P169,2)</f>
        <v>0</v>
      </c>
      <c r="S63" s="2">
        <f>SUM(J63:R63)</f>
        <v>0</v>
      </c>
    </row>
    <row r="64" spans="1:19" s="2" customFormat="1" ht="12.75" customHeight="1">
      <c r="A64" s="331"/>
      <c r="B64" s="329"/>
      <c r="C64" s="329"/>
      <c r="D64" s="329"/>
      <c r="E64" s="329"/>
      <c r="F64" s="329"/>
      <c r="G64" s="273" t="s">
        <v>112</v>
      </c>
      <c r="H64" s="273" t="s">
        <v>112</v>
      </c>
      <c r="I64" s="205"/>
    </row>
    <row r="65" spans="1:19" s="2" customFormat="1" ht="135.75" customHeight="1">
      <c r="A65" s="331">
        <v>4</v>
      </c>
      <c r="B65" s="1324" t="s">
        <v>1089</v>
      </c>
      <c r="C65" s="1324"/>
      <c r="D65" s="1324"/>
      <c r="E65" s="1324"/>
      <c r="F65" s="1324"/>
      <c r="G65" s="275"/>
      <c r="H65" s="273"/>
      <c r="I65" s="205"/>
    </row>
    <row r="66" spans="1:19" s="2" customFormat="1" ht="12" customHeight="1">
      <c r="A66" s="331"/>
      <c r="B66" s="232" t="s">
        <v>978</v>
      </c>
      <c r="C66" s="232"/>
      <c r="D66" s="232"/>
      <c r="E66" s="232"/>
      <c r="F66" s="232"/>
      <c r="G66" s="275"/>
      <c r="H66" s="273"/>
      <c r="I66" s="205"/>
    </row>
    <row r="67" spans="1:19" s="2" customFormat="1" ht="12" customHeight="1">
      <c r="A67" s="331"/>
      <c r="B67" s="503" t="s">
        <v>289</v>
      </c>
      <c r="C67" s="232"/>
      <c r="D67" s="232"/>
      <c r="E67" s="232"/>
      <c r="F67" s="232"/>
      <c r="G67" s="275"/>
      <c r="H67" s="273"/>
      <c r="I67" s="205"/>
    </row>
    <row r="68" spans="1:19" s="2" customFormat="1" ht="12" customHeight="1">
      <c r="A68" s="331"/>
      <c r="B68" s="232" t="s">
        <v>1379</v>
      </c>
      <c r="C68" s="277">
        <v>6</v>
      </c>
      <c r="D68" s="504">
        <v>1.5</v>
      </c>
      <c r="E68" s="504">
        <v>1.5</v>
      </c>
      <c r="F68" s="504">
        <v>0.35</v>
      </c>
      <c r="G68" s="504">
        <f>ROUND(F68*E68*D68*C68,2)</f>
        <v>4.7300000000000004</v>
      </c>
      <c r="H68" s="273"/>
      <c r="I68" s="205"/>
    </row>
    <row r="69" spans="1:19" s="2" customFormat="1" ht="12" customHeight="1">
      <c r="A69" s="331"/>
      <c r="B69" s="498" t="s">
        <v>1057</v>
      </c>
      <c r="C69" s="500"/>
      <c r="D69" s="504"/>
      <c r="E69" s="504"/>
      <c r="F69" s="504"/>
      <c r="G69" s="504">
        <v>0.02</v>
      </c>
      <c r="H69" s="273"/>
      <c r="I69" s="205"/>
    </row>
    <row r="70" spans="1:19" s="2" customFormat="1" ht="12" customHeight="1">
      <c r="A70" s="331"/>
      <c r="B70" s="232"/>
      <c r="C70" s="232"/>
      <c r="D70" s="439"/>
      <c r="E70" s="439"/>
      <c r="F70" s="439"/>
      <c r="G70" s="505">
        <v>0</v>
      </c>
      <c r="H70" s="540">
        <f>data1!G200</f>
        <v>6625.33</v>
      </c>
      <c r="I70" s="205">
        <f>ROUND((H70*G70)/1,0)</f>
        <v>0</v>
      </c>
      <c r="J70" s="2">
        <f>ROUND($G$70*data1!H200,2)</f>
        <v>0</v>
      </c>
      <c r="K70" s="2">
        <f>ROUND($G$70*data1!I200,2)</f>
        <v>0</v>
      </c>
      <c r="L70" s="2">
        <f>ROUND($G$70*data1!J200,2)</f>
        <v>0</v>
      </c>
      <c r="M70" s="2">
        <f>ROUND($G$70*data1!K200,2)</f>
        <v>0</v>
      </c>
      <c r="N70" s="2">
        <f>ROUND($G$70*data1!L200,2)</f>
        <v>0</v>
      </c>
      <c r="O70" s="2">
        <f>ROUND($G$70*data1!M200,2)</f>
        <v>0</v>
      </c>
      <c r="P70" s="2">
        <f>ROUND($G$70*data1!N200,2)</f>
        <v>0</v>
      </c>
      <c r="Q70" s="2">
        <f>ROUND($G$70*data1!O200,2)</f>
        <v>0</v>
      </c>
      <c r="R70" s="2">
        <f>ROUND($G$70*data1!P200,2)</f>
        <v>0</v>
      </c>
      <c r="S70" s="2">
        <f>SUM(J70:R70)</f>
        <v>0</v>
      </c>
    </row>
    <row r="71" spans="1:19" s="2" customFormat="1" ht="12" customHeight="1">
      <c r="A71" s="331"/>
      <c r="B71" s="232"/>
      <c r="C71" s="232"/>
      <c r="D71" s="439"/>
      <c r="E71" s="439"/>
      <c r="F71" s="439"/>
      <c r="G71" s="505" t="s">
        <v>112</v>
      </c>
      <c r="H71" s="273"/>
      <c r="I71" s="205"/>
    </row>
    <row r="72" spans="1:19" s="2" customFormat="1" ht="12" customHeight="1">
      <c r="A72" s="331"/>
      <c r="B72" s="503" t="s">
        <v>292</v>
      </c>
      <c r="C72" s="277">
        <f>C68</f>
        <v>6</v>
      </c>
      <c r="D72" s="504">
        <v>0.45</v>
      </c>
      <c r="E72" s="504">
        <v>0.45</v>
      </c>
      <c r="F72" s="504">
        <v>0.45</v>
      </c>
      <c r="G72" s="504">
        <v>0</v>
      </c>
      <c r="H72" s="540">
        <f>data1!G208</f>
        <v>7038.33</v>
      </c>
      <c r="I72" s="205">
        <f>ROUND((H72*G72)/1,0)</f>
        <v>0</v>
      </c>
      <c r="J72" s="2">
        <f>ROUND($G$72*data1!H180,2)</f>
        <v>0</v>
      </c>
      <c r="K72" s="2">
        <f>ROUND($G$72*data1!I208,2)</f>
        <v>0</v>
      </c>
      <c r="L72" s="2">
        <f>ROUND($G$72*data1!J208,2)</f>
        <v>0</v>
      </c>
      <c r="M72" s="2">
        <f>ROUND($G$72*data1!K208,2)</f>
        <v>0</v>
      </c>
      <c r="N72" s="2">
        <f>ROUND($G$72*data1!L208,2)</f>
        <v>0</v>
      </c>
      <c r="O72" s="2">
        <f>ROUND($G$72*data1!M208,2)</f>
        <v>0</v>
      </c>
      <c r="P72" s="2">
        <f>ROUND($G$72*data1!N208,2)</f>
        <v>0</v>
      </c>
      <c r="Q72" s="2">
        <f>ROUND($G$72*data1!O208,2)</f>
        <v>0</v>
      </c>
      <c r="R72" s="2">
        <f>ROUND($G$72*data1!P208,2)</f>
        <v>0</v>
      </c>
      <c r="S72" s="2">
        <f>ROUND($G$72*data1!Q208,2)</f>
        <v>0</v>
      </c>
    </row>
    <row r="73" spans="1:19" s="2" customFormat="1" ht="12" customHeight="1">
      <c r="A73" s="331"/>
      <c r="B73" s="503"/>
      <c r="C73" s="277"/>
      <c r="D73" s="504"/>
      <c r="E73" s="504"/>
      <c r="F73" s="504"/>
      <c r="G73" s="504" t="s">
        <v>112</v>
      </c>
      <c r="H73" s="273"/>
      <c r="I73" s="205"/>
    </row>
    <row r="74" spans="1:19" s="2" customFormat="1" ht="11.25">
      <c r="A74" s="331"/>
      <c r="B74" s="503" t="s">
        <v>1086</v>
      </c>
      <c r="E74" s="275"/>
      <c r="F74" s="275"/>
      <c r="G74" s="275"/>
      <c r="H74" s="273"/>
      <c r="I74" s="205"/>
    </row>
    <row r="75" spans="1:19" s="2" customFormat="1" ht="11.25">
      <c r="A75" s="331"/>
      <c r="B75" s="272" t="s">
        <v>1380</v>
      </c>
      <c r="C75" s="2">
        <v>3</v>
      </c>
      <c r="D75" s="2">
        <f>4.8-0.23</f>
        <v>4.5699999999999994</v>
      </c>
      <c r="E75" s="275">
        <v>0.23</v>
      </c>
      <c r="F75" s="275">
        <v>0.38</v>
      </c>
      <c r="G75" s="504">
        <f>ROUND(F75*E75*D75*C75,2)</f>
        <v>1.2</v>
      </c>
      <c r="H75" s="273"/>
      <c r="I75" s="205"/>
    </row>
    <row r="76" spans="1:19" s="2" customFormat="1" ht="11.25">
      <c r="A76" s="331"/>
      <c r="B76" s="272" t="s">
        <v>1381</v>
      </c>
      <c r="C76" s="2">
        <v>2</v>
      </c>
      <c r="D76" s="276">
        <f>6.33+0.23</f>
        <v>6.5600000000000005</v>
      </c>
      <c r="E76" s="275">
        <v>0.23</v>
      </c>
      <c r="F76" s="275">
        <v>0.38</v>
      </c>
      <c r="G76" s="504">
        <f>ROUND(F76*E76*D76*C76,2)</f>
        <v>1.1499999999999999</v>
      </c>
      <c r="H76" s="273"/>
      <c r="I76" s="205"/>
    </row>
    <row r="77" spans="1:19" s="2" customFormat="1" ht="11.25">
      <c r="A77" s="331"/>
      <c r="B77" s="272" t="s">
        <v>1383</v>
      </c>
      <c r="C77" s="2">
        <v>6</v>
      </c>
      <c r="D77" s="276">
        <v>0.23</v>
      </c>
      <c r="E77" s="275">
        <v>0.38</v>
      </c>
      <c r="F77" s="275">
        <v>0.38</v>
      </c>
      <c r="G77" s="504">
        <f>-ROUND(F77*E77*D77*C77,2)</f>
        <v>-0.2</v>
      </c>
      <c r="H77" s="273"/>
      <c r="I77" s="205"/>
    </row>
    <row r="78" spans="1:19" s="2" customFormat="1" ht="12" customHeight="1">
      <c r="A78" s="331"/>
      <c r="B78" s="498" t="s">
        <v>1057</v>
      </c>
      <c r="C78" s="500"/>
      <c r="D78" s="504"/>
      <c r="E78" s="504"/>
      <c r="F78" s="504"/>
      <c r="G78" s="504">
        <v>0</v>
      </c>
      <c r="H78" s="273"/>
      <c r="I78" s="205"/>
    </row>
    <row r="79" spans="1:19" s="2" customFormat="1" ht="11.25">
      <c r="A79" s="331"/>
      <c r="B79" s="272"/>
      <c r="E79" s="275"/>
      <c r="F79" s="275"/>
      <c r="G79" s="505">
        <v>0</v>
      </c>
      <c r="H79" s="540">
        <f>data1!G216</f>
        <v>8617.33</v>
      </c>
      <c r="I79" s="205">
        <f>ROUND((H79*G79)/1,0)</f>
        <v>0</v>
      </c>
      <c r="J79" s="2">
        <f>ROUND($G$79*data1!H216,2)</f>
        <v>0</v>
      </c>
      <c r="K79" s="2">
        <f>ROUND($G$79*data1!I216,2)</f>
        <v>0</v>
      </c>
      <c r="L79" s="2">
        <f>ROUND($G$79*data1!J216,2)</f>
        <v>0</v>
      </c>
      <c r="M79" s="2">
        <f>ROUND($G$79*data1!K216,2)</f>
        <v>0</v>
      </c>
      <c r="N79" s="2">
        <f>ROUND($G$79*data1!L216,2)</f>
        <v>0</v>
      </c>
      <c r="O79" s="2">
        <f>ROUND($G$79*data1!M216,2)</f>
        <v>0</v>
      </c>
      <c r="P79" s="2">
        <f>ROUND($G$79*data1!N216,2)</f>
        <v>0</v>
      </c>
      <c r="Q79" s="2">
        <f>ROUND($G$79*data1!O216,2)</f>
        <v>0</v>
      </c>
      <c r="R79" s="2">
        <f>ROUND($G$79*data1!P216,2)</f>
        <v>0</v>
      </c>
      <c r="S79" s="2">
        <f>ROUND($G$79*data1!Q216,2)</f>
        <v>0</v>
      </c>
    </row>
    <row r="80" spans="1:19" s="2" customFormat="1" ht="11.25">
      <c r="A80" s="331"/>
      <c r="B80" s="272"/>
      <c r="E80" s="275"/>
      <c r="F80" s="275"/>
      <c r="G80" s="505" t="s">
        <v>112</v>
      </c>
      <c r="H80" s="273"/>
      <c r="I80" s="205"/>
    </row>
    <row r="81" spans="1:19" s="2" customFormat="1" ht="147.75" customHeight="1">
      <c r="A81" s="331"/>
      <c r="B81" s="1324" t="s">
        <v>1090</v>
      </c>
      <c r="C81" s="1324"/>
      <c r="D81" s="1324"/>
      <c r="E81" s="1324"/>
      <c r="F81" s="1324"/>
      <c r="G81" s="505"/>
      <c r="H81" s="273"/>
      <c r="I81" s="205"/>
    </row>
    <row r="82" spans="1:19" s="2" customFormat="1" ht="12" customHeight="1">
      <c r="A82" s="331"/>
      <c r="B82" s="503" t="s">
        <v>1067</v>
      </c>
      <c r="C82" s="277"/>
      <c r="D82" s="504"/>
      <c r="E82" s="504"/>
      <c r="F82" s="504"/>
      <c r="G82" s="504"/>
      <c r="H82" s="273"/>
      <c r="I82" s="205"/>
    </row>
    <row r="83" spans="1:19" s="2" customFormat="1" ht="12" customHeight="1">
      <c r="A83" s="331"/>
      <c r="B83" s="232" t="s">
        <v>1382</v>
      </c>
      <c r="C83" s="277">
        <f>C72</f>
        <v>6</v>
      </c>
      <c r="D83" s="504">
        <v>0.23</v>
      </c>
      <c r="E83" s="504">
        <v>0.38</v>
      </c>
      <c r="F83" s="504">
        <f>0.55+0.3+0.6+3.3</f>
        <v>4.75</v>
      </c>
      <c r="G83" s="504">
        <f>ROUND(C83*D83*E83*F83,2)</f>
        <v>2.4900000000000002</v>
      </c>
      <c r="H83" s="278"/>
      <c r="I83" s="205"/>
    </row>
    <row r="84" spans="1:19" s="2" customFormat="1" ht="11.25">
      <c r="A84" s="331"/>
      <c r="B84" s="275"/>
      <c r="E84" s="275"/>
      <c r="F84" s="275"/>
      <c r="G84" s="505">
        <v>0</v>
      </c>
      <c r="H84" s="540">
        <f>data1!E256</f>
        <v>8762.33</v>
      </c>
      <c r="I84" s="205">
        <f>ROUND((H84*G84)/1,0)</f>
        <v>0</v>
      </c>
      <c r="J84" s="2">
        <f>ROUND($G$84*data1!H256,2)</f>
        <v>0</v>
      </c>
      <c r="K84" s="2">
        <f>ROUND($G$84*data1!I256,2)</f>
        <v>0</v>
      </c>
      <c r="L84" s="2">
        <f>ROUND($G$84*data1!J256,2)</f>
        <v>0</v>
      </c>
      <c r="M84" s="2">
        <f>ROUND($G$84*data1!K256,2)</f>
        <v>0</v>
      </c>
      <c r="N84" s="2">
        <f>ROUND($G$84*data1!L256,2)</f>
        <v>0</v>
      </c>
      <c r="O84" s="2">
        <f>ROUND($G$84*data1!M256,2)</f>
        <v>0</v>
      </c>
      <c r="P84" s="2">
        <f>ROUND($G$84*data1!N256,2)</f>
        <v>0</v>
      </c>
      <c r="Q84" s="2">
        <f>ROUND($G$84*data1!O256,2)</f>
        <v>0</v>
      </c>
      <c r="R84" s="2">
        <f>ROUND($G$84*data1!P256,2)</f>
        <v>0</v>
      </c>
      <c r="S84" s="2">
        <f>ROUND($G$84*data1!Q256,2)</f>
        <v>0</v>
      </c>
    </row>
    <row r="85" spans="1:19" s="2" customFormat="1" ht="11.25">
      <c r="A85" s="331"/>
      <c r="B85" s="275"/>
      <c r="E85" s="275"/>
      <c r="F85" s="275"/>
      <c r="G85" s="505" t="s">
        <v>112</v>
      </c>
      <c r="H85" s="273"/>
      <c r="I85" s="205"/>
      <c r="J85" s="276"/>
      <c r="K85" s="276"/>
      <c r="L85" s="276"/>
      <c r="M85" s="276"/>
      <c r="N85" s="276"/>
      <c r="O85" s="276"/>
      <c r="P85" s="276"/>
      <c r="Q85" s="276"/>
      <c r="R85" s="276"/>
    </row>
    <row r="86" spans="1:19" s="2" customFormat="1" ht="11.25">
      <c r="A86" s="331"/>
      <c r="B86" s="345" t="s">
        <v>1087</v>
      </c>
      <c r="E86" s="275"/>
      <c r="F86" s="275"/>
      <c r="G86" s="504"/>
      <c r="H86" s="273"/>
      <c r="I86" s="205"/>
    </row>
    <row r="87" spans="1:19" s="2" customFormat="1" ht="11.25">
      <c r="A87" s="331"/>
      <c r="B87" s="272" t="s">
        <v>1381</v>
      </c>
      <c r="C87" s="2">
        <v>2</v>
      </c>
      <c r="D87" s="276">
        <f>D76</f>
        <v>6.5600000000000005</v>
      </c>
      <c r="E87" s="275">
        <v>0.23</v>
      </c>
      <c r="F87" s="275">
        <v>0.15</v>
      </c>
      <c r="G87" s="504">
        <f>ROUND(C87*D87*E87*F87,2)</f>
        <v>0.45</v>
      </c>
      <c r="H87" s="273"/>
      <c r="I87" s="205"/>
    </row>
    <row r="88" spans="1:19" s="2" customFormat="1" ht="11.25">
      <c r="A88" s="331"/>
      <c r="B88" s="272" t="s">
        <v>1380</v>
      </c>
      <c r="C88" s="2">
        <v>2</v>
      </c>
      <c r="D88" s="2">
        <f>D75</f>
        <v>4.5699999999999994</v>
      </c>
      <c r="E88" s="275">
        <v>0.23</v>
      </c>
      <c r="F88" s="275">
        <v>0.15</v>
      </c>
      <c r="G88" s="504">
        <f>ROUND(C88*D88*E88*F88,2)</f>
        <v>0.32</v>
      </c>
      <c r="H88" s="273"/>
      <c r="I88" s="205"/>
    </row>
    <row r="89" spans="1:19" s="2" customFormat="1" ht="11.25">
      <c r="A89" s="331"/>
      <c r="B89" s="272" t="str">
        <f>B77</f>
        <v>Deduct columns</v>
      </c>
      <c r="C89" s="275">
        <f>C77</f>
        <v>6</v>
      </c>
      <c r="D89" s="275">
        <f>D77</f>
        <v>0.23</v>
      </c>
      <c r="E89" s="275">
        <f>E77</f>
        <v>0.38</v>
      </c>
      <c r="F89" s="275">
        <f>F88</f>
        <v>0.15</v>
      </c>
      <c r="G89" s="504">
        <f>-ROUND(C89*D89*E89*F89,2)</f>
        <v>-0.08</v>
      </c>
      <c r="H89" s="273"/>
      <c r="I89" s="205"/>
    </row>
    <row r="90" spans="1:19" s="2" customFormat="1" ht="11.25">
      <c r="A90" s="331"/>
      <c r="B90" s="272" t="s">
        <v>1057</v>
      </c>
      <c r="E90" s="275"/>
      <c r="F90" s="275"/>
      <c r="G90" s="504">
        <v>0.01</v>
      </c>
      <c r="H90" s="273"/>
      <c r="I90" s="205"/>
    </row>
    <row r="91" spans="1:19" s="2" customFormat="1" ht="11.25">
      <c r="A91" s="331"/>
      <c r="B91" s="275"/>
      <c r="E91" s="275"/>
      <c r="F91" s="275"/>
      <c r="G91" s="505">
        <v>0</v>
      </c>
      <c r="H91" s="540">
        <f>data1!E245</f>
        <v>8934.33</v>
      </c>
      <c r="I91" s="205">
        <f>ROUND(H91*G91,0)</f>
        <v>0</v>
      </c>
      <c r="J91" s="2">
        <f>ROUND($G$91*data1!H245,2)</f>
        <v>0</v>
      </c>
      <c r="K91" s="2">
        <f>ROUND($G$91*data1!I245,2)</f>
        <v>0</v>
      </c>
      <c r="L91" s="2">
        <f>ROUND($G$91*data1!J245,2)</f>
        <v>0</v>
      </c>
      <c r="M91" s="2">
        <f>ROUND($G$91*data1!K245,2)</f>
        <v>0</v>
      </c>
      <c r="N91" s="2">
        <f>ROUND($G$91*data1!L245,2)</f>
        <v>0</v>
      </c>
      <c r="O91" s="2">
        <f>ROUND($G$91*data1!M245,2)</f>
        <v>0</v>
      </c>
      <c r="P91" s="2">
        <f>ROUND($G$91*data1!N245,2)</f>
        <v>0</v>
      </c>
      <c r="Q91" s="2">
        <f>ROUND($G$91*data1!O245,2)</f>
        <v>0</v>
      </c>
      <c r="R91" s="2">
        <f>ROUND($G$91*data1!P245,2)</f>
        <v>0</v>
      </c>
      <c r="S91" s="2">
        <f>ROUND($G$91*data1!Q245,2)</f>
        <v>0</v>
      </c>
    </row>
    <row r="92" spans="1:19" s="2" customFormat="1" ht="11.25">
      <c r="A92" s="331"/>
      <c r="B92" s="275"/>
      <c r="E92" s="275"/>
      <c r="F92" s="275"/>
      <c r="G92" s="505" t="s">
        <v>112</v>
      </c>
      <c r="H92" s="273"/>
      <c r="I92" s="205"/>
    </row>
    <row r="93" spans="1:19" s="2" customFormat="1" ht="135" customHeight="1">
      <c r="A93" s="331"/>
      <c r="B93" s="1324" t="s">
        <v>1088</v>
      </c>
      <c r="C93" s="1324"/>
      <c r="D93" s="1324"/>
      <c r="E93" s="1324"/>
      <c r="F93" s="1324"/>
      <c r="G93" s="505"/>
      <c r="H93" s="273"/>
      <c r="I93" s="205"/>
    </row>
    <row r="94" spans="1:19" s="2" customFormat="1" ht="11.25" hidden="1">
      <c r="A94" s="331"/>
      <c r="B94" s="503" t="s">
        <v>1078</v>
      </c>
      <c r="E94" s="275"/>
      <c r="F94" s="275"/>
      <c r="G94" s="505"/>
      <c r="H94" s="273"/>
      <c r="I94" s="205"/>
    </row>
    <row r="95" spans="1:19" s="2" customFormat="1" ht="11.25" hidden="1">
      <c r="A95" s="331"/>
      <c r="B95" s="272" t="s">
        <v>1074</v>
      </c>
      <c r="C95" s="2">
        <v>1</v>
      </c>
      <c r="D95" s="2">
        <v>3.56</v>
      </c>
      <c r="E95" s="275">
        <v>1.4750000000000001</v>
      </c>
      <c r="F95" s="275"/>
      <c r="G95" s="504">
        <f>ROUND(C95*D95*E95,2)</f>
        <v>5.25</v>
      </c>
      <c r="H95" s="273"/>
      <c r="I95" s="205"/>
    </row>
    <row r="96" spans="1:19" s="2" customFormat="1" ht="11.25" hidden="1">
      <c r="A96" s="331"/>
      <c r="B96" s="272" t="s">
        <v>1075</v>
      </c>
      <c r="C96" s="2">
        <v>1</v>
      </c>
      <c r="D96" s="2">
        <v>3.18</v>
      </c>
      <c r="E96" s="338">
        <v>1</v>
      </c>
      <c r="F96" s="275"/>
      <c r="G96" s="504">
        <f>ROUND(C96*D96*E96,2)</f>
        <v>3.18</v>
      </c>
      <c r="H96" s="273"/>
      <c r="I96" s="205"/>
    </row>
    <row r="97" spans="1:19" s="2" customFormat="1" ht="11.25" hidden="1">
      <c r="A97" s="331"/>
      <c r="B97" s="272" t="s">
        <v>1076</v>
      </c>
      <c r="C97" s="2">
        <v>1</v>
      </c>
      <c r="D97" s="2">
        <v>3.56</v>
      </c>
      <c r="E97" s="275">
        <v>1.4750000000000001</v>
      </c>
      <c r="F97" s="275"/>
      <c r="G97" s="504">
        <f>ROUND(C97*D97*E97,2)</f>
        <v>5.25</v>
      </c>
      <c r="H97" s="273"/>
      <c r="I97" s="205"/>
    </row>
    <row r="98" spans="1:19" s="2" customFormat="1" ht="11.25" hidden="1">
      <c r="A98" s="331"/>
      <c r="B98" s="272" t="s">
        <v>1079</v>
      </c>
      <c r="C98" s="2">
        <v>1</v>
      </c>
      <c r="D98" s="276">
        <v>1</v>
      </c>
      <c r="E98" s="275">
        <v>1.1499999999999999</v>
      </c>
      <c r="F98" s="275"/>
      <c r="G98" s="504">
        <f>ROUND(C98*D98*E98,2)</f>
        <v>1.1499999999999999</v>
      </c>
      <c r="H98" s="273"/>
      <c r="I98" s="205"/>
    </row>
    <row r="99" spans="1:19" s="2" customFormat="1" ht="11.25" hidden="1">
      <c r="A99" s="331"/>
      <c r="B99" s="272" t="s">
        <v>1057</v>
      </c>
      <c r="D99" s="276"/>
      <c r="E99" s="275"/>
      <c r="F99" s="275"/>
      <c r="G99" s="504">
        <v>0.02</v>
      </c>
      <c r="H99" s="273"/>
      <c r="I99" s="205"/>
    </row>
    <row r="100" spans="1:19" s="2" customFormat="1" ht="11.25" hidden="1">
      <c r="A100" s="331"/>
      <c r="B100" s="272"/>
      <c r="E100" s="275"/>
      <c r="F100" s="275"/>
      <c r="G100" s="505">
        <v>0</v>
      </c>
      <c r="H100" s="540">
        <f>data1!E307</f>
        <v>1142.77</v>
      </c>
      <c r="I100" s="205">
        <f>ROUND(H100*G100,0)</f>
        <v>0</v>
      </c>
      <c r="J100" s="2">
        <f>ROUND($G$100*data1!H307,2)</f>
        <v>0</v>
      </c>
      <c r="K100" s="2">
        <f>ROUND($G$100*data1!I307,2)</f>
        <v>0</v>
      </c>
      <c r="L100" s="2">
        <f>ROUND($G$100*data1!J307,2)</f>
        <v>0</v>
      </c>
      <c r="M100" s="2">
        <f>ROUND($G$100*data1!K307,2)</f>
        <v>0</v>
      </c>
      <c r="N100" s="2">
        <f>ROUND($G$100*data1!L307,2)</f>
        <v>0</v>
      </c>
      <c r="O100" s="2">
        <f>ROUND($G$100*data1!M307,2)</f>
        <v>0</v>
      </c>
      <c r="P100" s="2">
        <f>ROUND($G$100*data1!N307,2)</f>
        <v>0</v>
      </c>
      <c r="Q100" s="2">
        <f>ROUND($G$100*data1!O307,2)</f>
        <v>0</v>
      </c>
      <c r="R100" s="2">
        <f>ROUND($G$100*data1!P307,2)</f>
        <v>0</v>
      </c>
      <c r="S100" s="2">
        <f>ROUND($G$100*data1!Q307,2)</f>
        <v>0</v>
      </c>
    </row>
    <row r="101" spans="1:19" s="2" customFormat="1" ht="11.25" hidden="1">
      <c r="A101" s="331"/>
      <c r="B101" s="272"/>
      <c r="E101" s="275"/>
      <c r="F101" s="275"/>
      <c r="G101" s="505" t="s">
        <v>536</v>
      </c>
      <c r="H101" s="273"/>
      <c r="I101" s="205"/>
    </row>
    <row r="102" spans="1:19" s="2" customFormat="1" ht="11.25">
      <c r="A102" s="331"/>
      <c r="B102" s="345" t="s">
        <v>1084</v>
      </c>
      <c r="E102" s="275"/>
      <c r="F102" s="275"/>
      <c r="G102" s="505"/>
      <c r="H102" s="273"/>
      <c r="I102" s="205"/>
    </row>
    <row r="103" spans="1:19" s="2" customFormat="1" ht="11.25">
      <c r="A103" s="331"/>
      <c r="B103" s="272" t="s">
        <v>1085</v>
      </c>
      <c r="C103" s="2">
        <v>1</v>
      </c>
      <c r="D103" s="2">
        <f>6.33+0.23+2*0.3</f>
        <v>7.16</v>
      </c>
      <c r="E103" s="275">
        <f>4.8+0.23+2*0.3</f>
        <v>5.63</v>
      </c>
      <c r="F103" s="275"/>
      <c r="G103" s="504">
        <f>ROUND(C103*D103*E103,2)</f>
        <v>40.31</v>
      </c>
      <c r="H103" s="273"/>
      <c r="I103" s="205"/>
    </row>
    <row r="104" spans="1:19" s="2" customFormat="1" ht="11.25">
      <c r="A104" s="331"/>
      <c r="B104" s="272" t="s">
        <v>1057</v>
      </c>
      <c r="E104" s="338"/>
      <c r="F104" s="275"/>
      <c r="G104" s="504">
        <v>0.04</v>
      </c>
      <c r="H104" s="273"/>
      <c r="I104" s="205"/>
    </row>
    <row r="105" spans="1:19" s="2" customFormat="1" ht="11.25">
      <c r="A105" s="331"/>
      <c r="B105" s="272"/>
      <c r="E105" s="338"/>
      <c r="F105" s="275"/>
      <c r="G105" s="504">
        <v>0</v>
      </c>
      <c r="H105" s="540">
        <f>data1!E295</f>
        <v>1027.48</v>
      </c>
      <c r="I105" s="205">
        <f>ROUND(H105*G105,0)</f>
        <v>0</v>
      </c>
      <c r="J105" s="2">
        <f>ROUND($G$105*data1!H295,2)</f>
        <v>0</v>
      </c>
      <c r="K105" s="2">
        <f>ROUND($G$105*data1!I295,2)</f>
        <v>0</v>
      </c>
      <c r="L105" s="2">
        <f>ROUND($G$105*data1!J295,2)</f>
        <v>0</v>
      </c>
      <c r="M105" s="2">
        <f>ROUND($G$105*data1!K295,2)</f>
        <v>0</v>
      </c>
      <c r="N105" s="2">
        <f>ROUND($G$105*data1!L295,2)</f>
        <v>0</v>
      </c>
      <c r="O105" s="2">
        <f>ROUND($G$105*data1!M295,2)</f>
        <v>0</v>
      </c>
      <c r="P105" s="2">
        <f>ROUND($G$105*data1!N295,2)</f>
        <v>0</v>
      </c>
      <c r="Q105" s="2">
        <f>ROUND($G$105*data1!O295,2)</f>
        <v>0</v>
      </c>
      <c r="R105" s="2">
        <f>ROUND($G$105*data1!P295,2)</f>
        <v>0</v>
      </c>
      <c r="S105" s="2">
        <f>ROUND($G$105*data1!Q295,2)</f>
        <v>0</v>
      </c>
    </row>
    <row r="106" spans="1:19" s="2" customFormat="1" ht="11.25">
      <c r="A106" s="331"/>
      <c r="B106" s="275"/>
      <c r="E106" s="275"/>
      <c r="F106" s="275"/>
      <c r="G106" s="505" t="s">
        <v>536</v>
      </c>
      <c r="H106" s="273"/>
      <c r="I106" s="205"/>
    </row>
    <row r="107" spans="1:19" s="2" customFormat="1" ht="11.25">
      <c r="A107" s="331"/>
      <c r="B107" s="345" t="s">
        <v>1082</v>
      </c>
      <c r="E107" s="275"/>
      <c r="F107" s="275"/>
      <c r="G107" s="505"/>
      <c r="H107" s="273"/>
      <c r="I107" s="205"/>
    </row>
    <row r="108" spans="1:19" s="2" customFormat="1" ht="11.25">
      <c r="A108" s="331"/>
      <c r="B108" s="272" t="s">
        <v>1381</v>
      </c>
      <c r="C108" s="2">
        <v>2</v>
      </c>
      <c r="D108" s="2">
        <f>6.33+0.23</f>
        <v>6.5600000000000005</v>
      </c>
      <c r="E108" s="275">
        <v>0.23</v>
      </c>
      <c r="F108" s="338">
        <v>0.3</v>
      </c>
      <c r="G108" s="504">
        <f>ROUND(C108*D108*E108*F108,2)</f>
        <v>0.91</v>
      </c>
      <c r="H108" s="273"/>
      <c r="I108" s="205"/>
    </row>
    <row r="109" spans="1:19" s="2" customFormat="1" ht="11.25">
      <c r="A109" s="331"/>
      <c r="B109" s="272" t="s">
        <v>1380</v>
      </c>
      <c r="C109" s="2">
        <v>3</v>
      </c>
      <c r="D109" s="2">
        <f>4.8-0.265</f>
        <v>4.5350000000000001</v>
      </c>
      <c r="E109" s="275">
        <v>0.23</v>
      </c>
      <c r="F109" s="338">
        <v>0.38</v>
      </c>
      <c r="G109" s="504">
        <f>ROUND(C109*D109*E109*F109,2)</f>
        <v>1.19</v>
      </c>
      <c r="H109" s="273"/>
      <c r="I109" s="205"/>
    </row>
    <row r="110" spans="1:19" s="2" customFormat="1" ht="11.25">
      <c r="A110" s="331"/>
      <c r="B110" s="272" t="s">
        <v>1064</v>
      </c>
      <c r="C110" s="2">
        <v>6</v>
      </c>
      <c r="D110" s="2">
        <v>0.23</v>
      </c>
      <c r="E110" s="275">
        <v>0.23</v>
      </c>
      <c r="F110" s="275">
        <v>0.38</v>
      </c>
      <c r="G110" s="504">
        <f>-ROUND(C110*D110*E110*F110,2)</f>
        <v>-0.12</v>
      </c>
      <c r="H110" s="273"/>
      <c r="I110" s="205"/>
    </row>
    <row r="111" spans="1:19" s="2" customFormat="1" ht="11.25">
      <c r="A111" s="331"/>
      <c r="B111" s="272" t="s">
        <v>1057</v>
      </c>
      <c r="E111" s="275"/>
      <c r="F111" s="275"/>
      <c r="G111" s="504">
        <v>0.02</v>
      </c>
      <c r="H111" s="273"/>
      <c r="I111" s="205"/>
    </row>
    <row r="112" spans="1:19" s="2" customFormat="1" ht="11.25">
      <c r="A112" s="331"/>
      <c r="G112" s="505">
        <v>0</v>
      </c>
      <c r="H112" s="541">
        <f>data1!E283</f>
        <v>8599.82</v>
      </c>
      <c r="I112" s="205">
        <f>ROUND((H112*G112)/1,0)</f>
        <v>0</v>
      </c>
      <c r="J112" s="2">
        <f>ROUND($G$112*data1!H283,2)</f>
        <v>0</v>
      </c>
      <c r="K112" s="2">
        <f>ROUND($G$112*data1!I283,2)</f>
        <v>0</v>
      </c>
      <c r="L112" s="2">
        <f>ROUND($G$112*data1!J283,2)</f>
        <v>0</v>
      </c>
      <c r="M112" s="2">
        <f>ROUND($G$112*data1!K283,2)</f>
        <v>0</v>
      </c>
      <c r="N112" s="2">
        <f>ROUND($G$112*data1!L283,2)</f>
        <v>0</v>
      </c>
      <c r="O112" s="2">
        <f>ROUND($G$112*data1!M283,2)</f>
        <v>0</v>
      </c>
      <c r="P112" s="2">
        <f>ROUND($G$112*data1!N283,2)</f>
        <v>0</v>
      </c>
      <c r="Q112" s="2">
        <f>ROUND($G$112*data1!O283,2)</f>
        <v>0</v>
      </c>
      <c r="R112" s="2">
        <f>ROUND($G$112*data1!P283,2)</f>
        <v>0</v>
      </c>
      <c r="S112" s="2">
        <f>ROUND($G$112*data1!Q283,2)</f>
        <v>0</v>
      </c>
    </row>
    <row r="113" spans="1:19" s="2" customFormat="1" ht="11.25">
      <c r="A113" s="331"/>
      <c r="G113" s="275" t="s">
        <v>112</v>
      </c>
      <c r="H113" s="531"/>
      <c r="I113" s="205"/>
    </row>
    <row r="114" spans="1:19" s="2" customFormat="1" ht="168.75" customHeight="1">
      <c r="A114" s="331">
        <v>7</v>
      </c>
      <c r="B114" s="1324" t="s">
        <v>1097</v>
      </c>
      <c r="C114" s="1324"/>
      <c r="D114" s="1324"/>
      <c r="E114" s="1324"/>
      <c r="F114" s="1324"/>
      <c r="G114" s="275"/>
      <c r="H114" s="273"/>
      <c r="I114" s="205"/>
    </row>
    <row r="115" spans="1:19" s="2" customFormat="1" ht="11.25">
      <c r="A115" s="331"/>
      <c r="B115" s="272" t="s">
        <v>1413</v>
      </c>
      <c r="C115" s="2">
        <v>4</v>
      </c>
      <c r="D115" s="2">
        <f>1.5+2*0.15</f>
        <v>1.8</v>
      </c>
      <c r="E115" s="275"/>
      <c r="F115" s="275"/>
      <c r="G115" s="504">
        <f>ROUND(D115*C115,2)</f>
        <v>7.2</v>
      </c>
      <c r="H115" s="273"/>
      <c r="I115" s="205"/>
    </row>
    <row r="116" spans="1:19" s="2" customFormat="1" ht="11.25">
      <c r="A116" s="331"/>
      <c r="B116" s="272" t="s">
        <v>1414</v>
      </c>
      <c r="C116" s="2">
        <v>1</v>
      </c>
      <c r="D116" s="2">
        <v>5.03</v>
      </c>
      <c r="E116" s="275"/>
      <c r="F116" s="275"/>
      <c r="G116" s="504">
        <f>ROUND(D116*C116,2)</f>
        <v>5.03</v>
      </c>
      <c r="H116" s="273"/>
      <c r="I116" s="205"/>
    </row>
    <row r="117" spans="1:19" s="2" customFormat="1" ht="11.25">
      <c r="A117" s="331"/>
      <c r="B117" s="272" t="s">
        <v>1057</v>
      </c>
      <c r="E117" s="275"/>
      <c r="F117" s="275"/>
      <c r="G117" s="504">
        <v>0.02</v>
      </c>
      <c r="H117" s="273"/>
      <c r="I117" s="205"/>
    </row>
    <row r="118" spans="1:19" s="2" customFormat="1" ht="11.25">
      <c r="A118" s="331"/>
      <c r="B118" s="333"/>
      <c r="G118" s="338">
        <v>0</v>
      </c>
      <c r="H118" s="541">
        <f>data1!E331</f>
        <v>653.94000000000005</v>
      </c>
      <c r="I118" s="205">
        <f>ROUND((H118*G118),0)</f>
        <v>0</v>
      </c>
      <c r="J118" s="276">
        <f>ROUND(data1!H331*$G$118,2)</f>
        <v>0</v>
      </c>
      <c r="K118" s="276">
        <f>ROUND(data1!I331*$G$118,2)</f>
        <v>0</v>
      </c>
      <c r="L118" s="276">
        <f>ROUND(data1!J331*$G$118,2)</f>
        <v>0</v>
      </c>
      <c r="M118" s="276">
        <f>ROUND(data1!K331*$G$118,2)</f>
        <v>0</v>
      </c>
      <c r="N118" s="276">
        <f>ROUND(data1!L331*$G$118,2)</f>
        <v>0</v>
      </c>
      <c r="O118" s="276">
        <f>ROUND(data1!M331*$G$118,2)</f>
        <v>0</v>
      </c>
      <c r="P118" s="276">
        <f>ROUND(data1!N331*$G$118,2)</f>
        <v>0</v>
      </c>
      <c r="Q118" s="276">
        <f>ROUND(data1!O331*$G$118,2)</f>
        <v>0</v>
      </c>
      <c r="R118" s="276">
        <f>ROUND(data1!P331*$G$118,2)</f>
        <v>0</v>
      </c>
      <c r="S118" s="276">
        <f>SUM(J118:R118)</f>
        <v>0</v>
      </c>
    </row>
    <row r="119" spans="1:19" s="2" customFormat="1" ht="11.25">
      <c r="A119" s="331"/>
      <c r="B119" s="333"/>
      <c r="G119" s="275" t="s">
        <v>369</v>
      </c>
      <c r="H119" s="531"/>
      <c r="I119" s="205"/>
    </row>
    <row r="120" spans="1:19" s="2" customFormat="1" ht="124.5" customHeight="1">
      <c r="A120" s="331">
        <v>11</v>
      </c>
      <c r="B120" s="1324" t="s">
        <v>1104</v>
      </c>
      <c r="C120" s="1325"/>
      <c r="D120" s="1325"/>
      <c r="E120" s="1325"/>
      <c r="F120" s="1325"/>
      <c r="G120" s="275"/>
      <c r="H120" s="273"/>
      <c r="I120" s="205"/>
    </row>
    <row r="121" spans="1:19" s="331" customFormat="1" ht="12.6" customHeight="1">
      <c r="B121" s="488" t="s">
        <v>1384</v>
      </c>
      <c r="C121" s="489">
        <v>1</v>
      </c>
      <c r="D121" s="490">
        <f>6.33+2*0.165</f>
        <v>6.66</v>
      </c>
      <c r="E121" s="490">
        <v>0.45</v>
      </c>
      <c r="F121" s="490">
        <f>0.6+0.3+0.22</f>
        <v>1.1199999999999999</v>
      </c>
      <c r="G121" s="490">
        <f t="shared" ref="G121:G128" si="6">ROUND(C121*D121*E121*F121,2)</f>
        <v>3.36</v>
      </c>
    </row>
    <row r="122" spans="1:19" s="331" customFormat="1" ht="12.6" customHeight="1">
      <c r="B122" s="488" t="s">
        <v>1385</v>
      </c>
      <c r="C122" s="489">
        <v>1</v>
      </c>
      <c r="D122" s="490">
        <f>4.8+2*0.165-2*0.45</f>
        <v>4.2299999999999995</v>
      </c>
      <c r="E122" s="490">
        <f>E121</f>
        <v>0.45</v>
      </c>
      <c r="F122" s="490">
        <f>F121</f>
        <v>1.1199999999999999</v>
      </c>
      <c r="G122" s="490">
        <f t="shared" si="6"/>
        <v>2.13</v>
      </c>
    </row>
    <row r="123" spans="1:19" s="331" customFormat="1" ht="12.6" customHeight="1">
      <c r="B123" s="331" t="s">
        <v>1098</v>
      </c>
      <c r="C123" s="180">
        <v>1</v>
      </c>
      <c r="D123" s="491">
        <f>D13</f>
        <v>5.03</v>
      </c>
      <c r="E123" s="491">
        <v>1.8</v>
      </c>
      <c r="F123" s="491">
        <v>0.15</v>
      </c>
      <c r="G123" s="490">
        <f t="shared" si="6"/>
        <v>1.36</v>
      </c>
    </row>
    <row r="124" spans="1:19" s="331" customFormat="1" ht="12.6" customHeight="1">
      <c r="B124" s="492" t="s">
        <v>1099</v>
      </c>
      <c r="C124" s="180">
        <v>1</v>
      </c>
      <c r="D124" s="491">
        <f>D123</f>
        <v>5.03</v>
      </c>
      <c r="E124" s="491">
        <f>E123-0.3</f>
        <v>1.5</v>
      </c>
      <c r="F124" s="491">
        <v>0.15</v>
      </c>
      <c r="G124" s="490">
        <f t="shared" si="6"/>
        <v>1.1299999999999999</v>
      </c>
    </row>
    <row r="125" spans="1:19" s="331" customFormat="1" ht="12.6" customHeight="1">
      <c r="B125" s="492" t="s">
        <v>1100</v>
      </c>
      <c r="C125" s="180">
        <v>1</v>
      </c>
      <c r="D125" s="491">
        <f>D124</f>
        <v>5.03</v>
      </c>
      <c r="E125" s="491">
        <f>E124-0.3</f>
        <v>1.2</v>
      </c>
      <c r="F125" s="491">
        <v>0.15</v>
      </c>
      <c r="G125" s="490">
        <f t="shared" si="6"/>
        <v>0.91</v>
      </c>
    </row>
    <row r="126" spans="1:19" s="331" customFormat="1" ht="12.6" customHeight="1">
      <c r="B126" s="492" t="s">
        <v>1101</v>
      </c>
      <c r="C126" s="180">
        <v>1</v>
      </c>
      <c r="D126" s="491">
        <f>D125</f>
        <v>5.03</v>
      </c>
      <c r="E126" s="491">
        <f>E125-0.3</f>
        <v>0.89999999999999991</v>
      </c>
      <c r="F126" s="491">
        <v>0.15</v>
      </c>
      <c r="G126" s="490">
        <f t="shared" si="6"/>
        <v>0.68</v>
      </c>
    </row>
    <row r="127" spans="1:19" s="331" customFormat="1" ht="12.6" customHeight="1">
      <c r="B127" s="492" t="s">
        <v>1102</v>
      </c>
      <c r="C127" s="180">
        <v>1</v>
      </c>
      <c r="D127" s="491">
        <f>D126</f>
        <v>5.03</v>
      </c>
      <c r="E127" s="491">
        <f>E126-0.3</f>
        <v>0.59999999999999987</v>
      </c>
      <c r="F127" s="491">
        <v>0.15</v>
      </c>
      <c r="G127" s="490">
        <f t="shared" si="6"/>
        <v>0.45</v>
      </c>
    </row>
    <row r="128" spans="1:19" s="331" customFormat="1" ht="12.6" customHeight="1">
      <c r="B128" s="492" t="s">
        <v>1103</v>
      </c>
      <c r="C128" s="180">
        <v>1</v>
      </c>
      <c r="D128" s="491">
        <f>D127</f>
        <v>5.03</v>
      </c>
      <c r="E128" s="491">
        <f>E127-0.3</f>
        <v>0.29999999999999988</v>
      </c>
      <c r="F128" s="491">
        <v>0.15</v>
      </c>
      <c r="G128" s="490">
        <f t="shared" si="6"/>
        <v>0.23</v>
      </c>
    </row>
    <row r="129" spans="1:19" s="331" customFormat="1" ht="12.6" customHeight="1">
      <c r="B129" s="331" t="s">
        <v>1057</v>
      </c>
      <c r="C129" s="180"/>
      <c r="D129" s="491"/>
      <c r="E129" s="491"/>
      <c r="F129" s="491"/>
      <c r="G129" s="492">
        <v>0</v>
      </c>
    </row>
    <row r="130" spans="1:19" s="2" customFormat="1" ht="11.25">
      <c r="A130" s="331"/>
      <c r="G130" s="338">
        <v>0</v>
      </c>
      <c r="H130" s="541">
        <f>data1!G362</f>
        <v>5278.76</v>
      </c>
      <c r="I130" s="205">
        <f>ROUND((H130*G130)/1,0)</f>
        <v>0</v>
      </c>
      <c r="J130" s="276">
        <f>ROUND(data1!H362*$G$130,2)</f>
        <v>0</v>
      </c>
      <c r="K130" s="276">
        <f>ROUND(data1!I362*$G$130,2)</f>
        <v>0</v>
      </c>
      <c r="L130" s="276">
        <f>ROUND(data1!J362*$G$130,2)</f>
        <v>0</v>
      </c>
      <c r="M130" s="276">
        <f>ROUND(data1!K362*$G$130,2)</f>
        <v>0</v>
      </c>
      <c r="N130" s="276">
        <f>ROUND(data1!L362*$G$130,2)</f>
        <v>0</v>
      </c>
      <c r="O130" s="276">
        <f>ROUND(data1!M362*$G$130,2)</f>
        <v>0</v>
      </c>
      <c r="P130" s="276">
        <f>ROUND(data1!N362*$G$130,2)</f>
        <v>0</v>
      </c>
      <c r="Q130" s="276">
        <f>ROUND(data1!O362*$G$130,2)</f>
        <v>0</v>
      </c>
      <c r="R130" s="276">
        <f>ROUND(data1!P362*$G$130,2)</f>
        <v>0</v>
      </c>
      <c r="S130" s="276">
        <f>ROUND(data1!Q362*$G$130,2)</f>
        <v>0</v>
      </c>
    </row>
    <row r="131" spans="1:19" s="2" customFormat="1" ht="11.25">
      <c r="A131" s="331"/>
      <c r="G131" s="275" t="s">
        <v>112</v>
      </c>
      <c r="H131" s="531"/>
      <c r="I131" s="205"/>
    </row>
    <row r="132" spans="1:19" s="2" customFormat="1" ht="123.75" customHeight="1">
      <c r="A132" s="331">
        <v>12</v>
      </c>
      <c r="B132" s="1324" t="s">
        <v>1105</v>
      </c>
      <c r="C132" s="1325"/>
      <c r="D132" s="1325"/>
      <c r="E132" s="1325"/>
      <c r="F132" s="1325"/>
      <c r="G132" s="275"/>
      <c r="H132" s="273"/>
      <c r="I132" s="205"/>
    </row>
    <row r="133" spans="1:19" s="2" customFormat="1" ht="11.25">
      <c r="A133" s="331"/>
      <c r="B133" s="2" t="str">
        <f>B121</f>
        <v xml:space="preserve">External Plinth wall Long walls </v>
      </c>
      <c r="C133" s="2">
        <v>2</v>
      </c>
      <c r="D133" s="2">
        <f>6.33-0.23</f>
        <v>6.1</v>
      </c>
      <c r="E133" s="2">
        <v>0.23</v>
      </c>
      <c r="F133" s="276">
        <f>3.3-0.425</f>
        <v>2.875</v>
      </c>
      <c r="G133" s="338">
        <f>ROUND(D133*E133*F133*C133,2)</f>
        <v>8.07</v>
      </c>
      <c r="H133" s="273"/>
      <c r="I133" s="205"/>
    </row>
    <row r="134" spans="1:19" s="2" customFormat="1" ht="11.25">
      <c r="A134" s="331"/>
      <c r="B134" s="2" t="str">
        <f>B122</f>
        <v>External Plinth wall Short walls</v>
      </c>
      <c r="C134" s="2">
        <v>2</v>
      </c>
      <c r="D134" s="2">
        <f>4.8-0.23</f>
        <v>4.5699999999999994</v>
      </c>
      <c r="E134" s="2">
        <v>0.23</v>
      </c>
      <c r="F134" s="532">
        <f>3.3-0.505</f>
        <v>2.7949999999999999</v>
      </c>
      <c r="G134" s="338">
        <f>ROUND(D134*E134*F134*C134,2)</f>
        <v>5.88</v>
      </c>
      <c r="H134" s="273"/>
      <c r="I134" s="205"/>
    </row>
    <row r="135" spans="1:19" s="2" customFormat="1" ht="22.5">
      <c r="A135" s="331"/>
      <c r="B135" s="335" t="s">
        <v>1114</v>
      </c>
      <c r="C135" s="533">
        <v>1</v>
      </c>
      <c r="D135" s="534">
        <v>2.4</v>
      </c>
      <c r="E135" s="533">
        <v>0.23</v>
      </c>
      <c r="F135" s="534">
        <v>2.1</v>
      </c>
      <c r="G135" s="493">
        <f>-ROUND(D135*E135*F135*C135,2)</f>
        <v>-1.1599999999999999</v>
      </c>
      <c r="H135" s="273"/>
      <c r="I135" s="205"/>
    </row>
    <row r="136" spans="1:19" s="2" customFormat="1" ht="11.25">
      <c r="A136" s="331"/>
      <c r="B136" s="335" t="s">
        <v>1396</v>
      </c>
      <c r="C136" s="533">
        <v>4</v>
      </c>
      <c r="D136" s="534">
        <v>1.5</v>
      </c>
      <c r="E136" s="533">
        <v>0.23</v>
      </c>
      <c r="F136" s="534">
        <v>1.35</v>
      </c>
      <c r="G136" s="493">
        <f>-ROUND(D136*E136*F136*C136,2)</f>
        <v>-1.86</v>
      </c>
      <c r="H136" s="273"/>
      <c r="I136" s="205"/>
    </row>
    <row r="137" spans="1:19" s="2" customFormat="1" ht="11.25">
      <c r="A137" s="331"/>
      <c r="B137" s="2" t="s">
        <v>1057</v>
      </c>
      <c r="G137" s="338">
        <v>7.0000000000000007E-2</v>
      </c>
      <c r="H137" s="273"/>
      <c r="I137" s="205"/>
    </row>
    <row r="138" spans="1:19" s="2" customFormat="1" ht="11.25">
      <c r="A138" s="331"/>
      <c r="G138" s="338">
        <v>0</v>
      </c>
      <c r="H138" s="541">
        <f>data1!E383</f>
        <v>5720.8799999999992</v>
      </c>
      <c r="I138" s="205">
        <f>ROUND((H138*G138)/1,0)</f>
        <v>0</v>
      </c>
      <c r="J138" s="276">
        <f>ROUND(data1!H383*$G$138,2)</f>
        <v>0</v>
      </c>
      <c r="K138" s="276">
        <f>ROUND(data1!I383*$G$138,2)</f>
        <v>0</v>
      </c>
      <c r="L138" s="276">
        <f>ROUND(data1!J383*$G$138,2)</f>
        <v>0</v>
      </c>
      <c r="M138" s="276">
        <f>ROUND(data1!K383*$G$138,2)</f>
        <v>0</v>
      </c>
      <c r="N138" s="276">
        <f>ROUND(data1!L383*$G$138,2)</f>
        <v>0</v>
      </c>
      <c r="O138" s="276">
        <f>ROUND(data1!M383*$G$138,2)</f>
        <v>0</v>
      </c>
      <c r="P138" s="276">
        <f>ROUND(data1!N383*$G$138,2)</f>
        <v>0</v>
      </c>
      <c r="Q138" s="276">
        <f>ROUND(data1!O383*$G$138,2)</f>
        <v>0</v>
      </c>
      <c r="R138" s="276">
        <f>ROUND(data1!P383*$G$138,2)</f>
        <v>0</v>
      </c>
      <c r="S138" s="276">
        <f>ROUND(data1!Q383*$G$138,2)</f>
        <v>0</v>
      </c>
    </row>
    <row r="139" spans="1:19" s="2" customFormat="1" ht="11.25">
      <c r="A139" s="331"/>
      <c r="G139" s="275" t="s">
        <v>112</v>
      </c>
      <c r="H139" s="531"/>
      <c r="I139" s="205"/>
    </row>
    <row r="140" spans="1:19" s="2" customFormat="1" ht="135.75" customHeight="1">
      <c r="A140" s="331">
        <v>13</v>
      </c>
      <c r="B140" s="1324" t="s">
        <v>1115</v>
      </c>
      <c r="C140" s="1325"/>
      <c r="D140" s="1325"/>
      <c r="E140" s="1325"/>
      <c r="F140" s="1325"/>
      <c r="G140" s="275"/>
      <c r="H140" s="531"/>
      <c r="I140" s="205"/>
    </row>
    <row r="141" spans="1:19" s="2" customFormat="1" ht="11.25">
      <c r="A141" s="331"/>
      <c r="B141" s="535" t="s">
        <v>1116</v>
      </c>
      <c r="G141" s="275"/>
      <c r="H141" s="531"/>
      <c r="I141" s="205"/>
    </row>
    <row r="142" spans="1:19" s="2" customFormat="1" ht="11.25">
      <c r="A142" s="331"/>
      <c r="B142" s="2" t="s">
        <v>1386</v>
      </c>
      <c r="C142" s="2">
        <v>2</v>
      </c>
      <c r="D142" s="2">
        <f>6.33+0.23+2*0.3</f>
        <v>7.16</v>
      </c>
      <c r="F142" s="2">
        <v>0.9</v>
      </c>
      <c r="G142" s="275">
        <f>ROUND(C142*D142*F142,2)</f>
        <v>12.89</v>
      </c>
      <c r="H142" s="531"/>
      <c r="I142" s="205"/>
    </row>
    <row r="143" spans="1:19" s="2" customFormat="1" ht="11.25">
      <c r="A143" s="331"/>
      <c r="B143" s="2" t="s">
        <v>1387</v>
      </c>
      <c r="C143" s="2">
        <v>2</v>
      </c>
      <c r="D143" s="2">
        <f>4.8+0.23-2*0.115+2*0.3</f>
        <v>5.3999999999999995</v>
      </c>
      <c r="F143" s="2">
        <f>F142</f>
        <v>0.9</v>
      </c>
      <c r="G143" s="275">
        <f>ROUND(C143*D143*F143,2)</f>
        <v>9.7200000000000006</v>
      </c>
      <c r="H143" s="531"/>
      <c r="I143" s="205"/>
    </row>
    <row r="144" spans="1:19" s="2" customFormat="1" ht="11.25">
      <c r="A144" s="331"/>
      <c r="B144" s="335" t="s">
        <v>1057</v>
      </c>
      <c r="C144" s="533"/>
      <c r="D144" s="533"/>
      <c r="E144" s="533"/>
      <c r="F144" s="534"/>
      <c r="G144" s="482">
        <v>0.09</v>
      </c>
      <c r="H144" s="273"/>
      <c r="I144" s="205"/>
    </row>
    <row r="145" spans="1:20" s="2" customFormat="1" ht="11.25">
      <c r="A145" s="331"/>
      <c r="G145" s="338">
        <v>0</v>
      </c>
      <c r="H145" s="541">
        <f>data1!E416</f>
        <v>7151.3099999999995</v>
      </c>
      <c r="I145" s="205">
        <f>ROUND(G145*H145/10,0)</f>
        <v>0</v>
      </c>
      <c r="J145" s="276">
        <f>ROUND(data1!H416*$G$145/10,2)</f>
        <v>0</v>
      </c>
      <c r="K145" s="276">
        <f>ROUND(data1!I416*$G$145/10,2)</f>
        <v>0</v>
      </c>
      <c r="L145" s="276">
        <f>ROUND(data1!J416*$G$145/10,2)</f>
        <v>0</v>
      </c>
      <c r="M145" s="276">
        <f>ROUND(data1!K416*$G$145/10,2)</f>
        <v>0</v>
      </c>
      <c r="N145" s="276">
        <f>ROUND(data1!L416*$G$145/10,2)</f>
        <v>0</v>
      </c>
      <c r="O145" s="276">
        <f>ROUND(data1!M416*$G$145/10,2)</f>
        <v>0</v>
      </c>
      <c r="P145" s="276">
        <f>ROUND(data1!N416*$G$145/10,2)</f>
        <v>0</v>
      </c>
      <c r="Q145" s="276">
        <f>ROUND(data1!O416*$G$145/10,2)</f>
        <v>0</v>
      </c>
      <c r="R145" s="276">
        <f>ROUND(data1!P416*$G$145/10,2)</f>
        <v>0</v>
      </c>
      <c r="S145" s="276">
        <f>SUM(J145:R145)</f>
        <v>0</v>
      </c>
      <c r="T145" s="276"/>
    </row>
    <row r="146" spans="1:20" s="2" customFormat="1" ht="91.5" customHeight="1">
      <c r="A146" s="331">
        <v>14</v>
      </c>
      <c r="B146" s="1324" t="s">
        <v>1179</v>
      </c>
      <c r="C146" s="1325"/>
      <c r="D146" s="1325"/>
      <c r="E146" s="1325"/>
      <c r="F146" s="1325"/>
      <c r="G146" s="275"/>
      <c r="H146" s="273"/>
      <c r="I146" s="205"/>
    </row>
    <row r="147" spans="1:20" s="2" customFormat="1" ht="12" customHeight="1">
      <c r="A147" s="331"/>
      <c r="B147" s="1326" t="s">
        <v>1180</v>
      </c>
      <c r="C147" s="1326"/>
      <c r="D147" s="1326"/>
      <c r="E147" s="332"/>
      <c r="F147" s="332"/>
      <c r="G147" s="275"/>
      <c r="H147" s="273"/>
      <c r="I147" s="205"/>
    </row>
    <row r="148" spans="1:20" s="533" customFormat="1" ht="11.25">
      <c r="B148" s="536" t="s">
        <v>1388</v>
      </c>
      <c r="C148" s="482">
        <v>1</v>
      </c>
      <c r="D148" s="482">
        <f>2*(6.1+4.57)</f>
        <v>21.34</v>
      </c>
      <c r="E148" s="482"/>
      <c r="F148" s="482">
        <f>3.3-0.125-0.05</f>
        <v>3.125</v>
      </c>
      <c r="G148" s="493">
        <f>ROUND(C148*D148*F148,2)</f>
        <v>66.69</v>
      </c>
      <c r="H148" s="414"/>
      <c r="I148" s="537"/>
    </row>
    <row r="149" spans="1:20" s="533" customFormat="1" ht="11.25">
      <c r="B149" s="536" t="s">
        <v>1397</v>
      </c>
      <c r="C149" s="482">
        <v>4</v>
      </c>
      <c r="D149" s="482">
        <f>2*(1.5+1.35)</f>
        <v>5.7</v>
      </c>
      <c r="E149" s="482"/>
      <c r="F149" s="482">
        <v>0.15</v>
      </c>
      <c r="G149" s="493"/>
      <c r="H149" s="414"/>
      <c r="I149" s="537"/>
    </row>
    <row r="150" spans="1:20" s="2" customFormat="1" ht="22.5">
      <c r="A150" s="331"/>
      <c r="B150" s="335" t="s">
        <v>1129</v>
      </c>
      <c r="C150" s="482">
        <v>1</v>
      </c>
      <c r="D150" s="482">
        <f>2*(2.4+2.1)-2*0.15</f>
        <v>8.6999999999999993</v>
      </c>
      <c r="E150" s="482"/>
      <c r="F150" s="493">
        <v>0.15</v>
      </c>
      <c r="G150" s="493">
        <f>ROUND(D150*F150*C150,2)</f>
        <v>1.31</v>
      </c>
      <c r="H150" s="273"/>
      <c r="I150" s="205"/>
    </row>
    <row r="151" spans="1:20" s="2" customFormat="1" ht="22.5">
      <c r="A151" s="331"/>
      <c r="B151" s="335" t="s">
        <v>1389</v>
      </c>
      <c r="C151" s="482">
        <v>1</v>
      </c>
      <c r="D151" s="482">
        <v>2.4</v>
      </c>
      <c r="E151" s="482"/>
      <c r="F151" s="493">
        <v>2.1</v>
      </c>
      <c r="G151" s="493">
        <f>-ROUND(D151*F151*C151,2)</f>
        <v>-5.04</v>
      </c>
      <c r="H151" s="273"/>
      <c r="I151" s="205"/>
    </row>
    <row r="152" spans="1:20" s="2" customFormat="1" ht="11.25">
      <c r="A152" s="331"/>
      <c r="B152" s="335" t="s">
        <v>1396</v>
      </c>
      <c r="C152" s="482">
        <v>4</v>
      </c>
      <c r="D152" s="482">
        <v>1.5</v>
      </c>
      <c r="E152" s="482"/>
      <c r="F152" s="493">
        <v>1.35</v>
      </c>
      <c r="G152" s="493">
        <f>-ROUND(D152*F152*C152,2)</f>
        <v>-8.1</v>
      </c>
      <c r="H152" s="273"/>
      <c r="I152" s="205"/>
    </row>
    <row r="153" spans="1:20" s="2" customFormat="1" ht="11.25">
      <c r="A153" s="331"/>
      <c r="B153" s="335"/>
      <c r="C153" s="533"/>
      <c r="D153" s="533"/>
      <c r="E153" s="533"/>
      <c r="F153" s="534"/>
      <c r="G153" s="482">
        <v>0.14000000000000001</v>
      </c>
      <c r="H153" s="273"/>
      <c r="I153" s="205"/>
    </row>
    <row r="154" spans="1:20" s="2" customFormat="1" ht="11.25">
      <c r="A154" s="331"/>
      <c r="G154" s="338">
        <v>0</v>
      </c>
      <c r="H154" s="541">
        <f>data1!E442</f>
        <v>242.51</v>
      </c>
      <c r="I154" s="205">
        <f>ROUND((H154*G154)/1,0)</f>
        <v>0</v>
      </c>
      <c r="J154" s="276">
        <f>ROUND(data1!H442*$G$154,2)</f>
        <v>0</v>
      </c>
      <c r="K154" s="276">
        <f>ROUND(data1!I442*$G$154,2)</f>
        <v>0</v>
      </c>
      <c r="L154" s="276">
        <f>ROUND(data1!J442*$G$154,2)</f>
        <v>0</v>
      </c>
      <c r="M154" s="276">
        <f>ROUND(data1!K442*$G$154,2)</f>
        <v>0</v>
      </c>
      <c r="N154" s="276">
        <f>ROUND(data1!L442*$G$154,2)</f>
        <v>0</v>
      </c>
      <c r="O154" s="276">
        <f>ROUND(data1!M442*$G$154,2)</f>
        <v>0</v>
      </c>
      <c r="P154" s="276">
        <f>ROUND(data1!N442*$G$154,2)</f>
        <v>0</v>
      </c>
      <c r="Q154" s="276">
        <f>ROUND(data1!O442*$G$154,2)</f>
        <v>0</v>
      </c>
      <c r="R154" s="276">
        <f>ROUND(data1!P442*$G$154,2)</f>
        <v>0</v>
      </c>
      <c r="S154" s="276">
        <f>ROUND(data1!Q442*$G$154,2)</f>
        <v>0</v>
      </c>
    </row>
    <row r="155" spans="1:20" s="2" customFormat="1" ht="11.25">
      <c r="A155" s="331"/>
      <c r="G155" s="275" t="s">
        <v>114</v>
      </c>
      <c r="H155" s="531"/>
      <c r="I155" s="205"/>
    </row>
    <row r="156" spans="1:20" s="2" customFormat="1" ht="102" customHeight="1">
      <c r="A156" s="331">
        <v>15</v>
      </c>
      <c r="B156" s="1322" t="s">
        <v>1261</v>
      </c>
      <c r="C156" s="1322"/>
      <c r="D156" s="1322"/>
      <c r="E156" s="1322"/>
      <c r="F156" s="1322"/>
      <c r="G156" s="275"/>
      <c r="H156" s="273"/>
      <c r="I156" s="205"/>
      <c r="J156" s="205"/>
      <c r="K156" s="205"/>
    </row>
    <row r="157" spans="1:20" s="2" customFormat="1" ht="11.25">
      <c r="A157" s="331"/>
      <c r="B157" s="535" t="s">
        <v>1262</v>
      </c>
      <c r="G157" s="275"/>
      <c r="H157" s="531"/>
      <c r="I157" s="205"/>
    </row>
    <row r="158" spans="1:20" s="2" customFormat="1" ht="11.25">
      <c r="A158" s="331"/>
      <c r="B158" s="272" t="s">
        <v>1390</v>
      </c>
      <c r="C158" s="274">
        <v>1</v>
      </c>
      <c r="D158" s="2">
        <f>2*(6.33+0.23)+2*(4.8+0.23)</f>
        <v>23.18</v>
      </c>
      <c r="F158" s="276">
        <f>3.3+0.38</f>
        <v>3.6799999999999997</v>
      </c>
      <c r="G158" s="338">
        <f>ROUND(D158*F158*C158,2)</f>
        <v>85.3</v>
      </c>
      <c r="H158" s="273"/>
      <c r="I158" s="205"/>
    </row>
    <row r="159" spans="1:20" s="2" customFormat="1" ht="11.25">
      <c r="A159" s="331"/>
      <c r="B159" s="272" t="s">
        <v>1391</v>
      </c>
      <c r="C159" s="274">
        <v>1</v>
      </c>
      <c r="D159" s="2">
        <f>D158+4*0.05</f>
        <v>23.38</v>
      </c>
      <c r="F159" s="276">
        <f>0.52+0.05</f>
        <v>0.57000000000000006</v>
      </c>
      <c r="G159" s="338">
        <f>ROUND(D159*F159*C159,2)</f>
        <v>13.33</v>
      </c>
      <c r="H159" s="273"/>
      <c r="I159" s="205"/>
    </row>
    <row r="160" spans="1:20" s="2" customFormat="1" ht="11.25">
      <c r="A160" s="331"/>
      <c r="B160" s="272" t="s">
        <v>1404</v>
      </c>
      <c r="C160" s="274">
        <v>1</v>
      </c>
      <c r="D160" s="2">
        <f>2*(D142+D143)</f>
        <v>25.119999999999997</v>
      </c>
      <c r="F160" s="276">
        <f>2*0.9+0.15+0.125</f>
        <v>2.0750000000000002</v>
      </c>
      <c r="G160" s="338">
        <f>ROUND(D160*F160*C160,2)</f>
        <v>52.12</v>
      </c>
      <c r="H160" s="273"/>
      <c r="I160" s="205"/>
    </row>
    <row r="161" spans="1:19" s="2" customFormat="1" ht="22.5">
      <c r="A161" s="331"/>
      <c r="B161" s="335" t="s">
        <v>1389</v>
      </c>
      <c r="C161" s="482">
        <v>1</v>
      </c>
      <c r="D161" s="482">
        <v>2.4</v>
      </c>
      <c r="E161" s="482"/>
      <c r="F161" s="493">
        <v>2.1</v>
      </c>
      <c r="G161" s="493">
        <f>-ROUND(D161*F161*C161,2)</f>
        <v>-5.04</v>
      </c>
      <c r="H161" s="273"/>
      <c r="I161" s="205"/>
    </row>
    <row r="162" spans="1:19" s="2" customFormat="1" ht="11.25">
      <c r="A162" s="331"/>
      <c r="B162" s="335" t="s">
        <v>1398</v>
      </c>
      <c r="C162" s="482">
        <v>2</v>
      </c>
      <c r="D162" s="482">
        <v>1.5</v>
      </c>
      <c r="E162" s="482"/>
      <c r="F162" s="493">
        <v>1.35</v>
      </c>
      <c r="G162" s="493">
        <f>-ROUND(D162*F162*C162,2)</f>
        <v>-4.05</v>
      </c>
      <c r="H162" s="273"/>
      <c r="I162" s="205"/>
    </row>
    <row r="163" spans="1:19" s="2" customFormat="1" ht="11.25">
      <c r="A163" s="331"/>
      <c r="B163" s="272" t="s">
        <v>1057</v>
      </c>
      <c r="G163" s="338">
        <v>0.34</v>
      </c>
      <c r="H163" s="273"/>
      <c r="I163" s="205"/>
    </row>
    <row r="164" spans="1:19" s="2" customFormat="1" ht="11.25">
      <c r="A164" s="331"/>
      <c r="G164" s="338">
        <v>0</v>
      </c>
      <c r="H164" s="541">
        <f>data1!E469</f>
        <v>256.19</v>
      </c>
      <c r="I164" s="205">
        <f>ROUND((H164*G164),0)</f>
        <v>0</v>
      </c>
      <c r="J164" s="276">
        <f>ROUND(data1!H469*$G$164,2)</f>
        <v>0</v>
      </c>
      <c r="K164" s="276">
        <f>ROUND(data1!I469*$G$164,2)</f>
        <v>0</v>
      </c>
      <c r="L164" s="276">
        <f>ROUND(data1!J469*$G$164,2)</f>
        <v>0</v>
      </c>
      <c r="M164" s="276">
        <f>ROUND(data1!K469*$G$164,2)</f>
        <v>0</v>
      </c>
      <c r="N164" s="276">
        <f>ROUND(data1!L469*$G$164,2)</f>
        <v>0</v>
      </c>
      <c r="O164" s="276">
        <f>ROUND(data1!M469*$G$164,2)</f>
        <v>0</v>
      </c>
      <c r="P164" s="276">
        <f>ROUND(data1!N469*$G$164,2)</f>
        <v>0</v>
      </c>
      <c r="Q164" s="276">
        <f>ROUND(data1!O469*$G$164,2)</f>
        <v>0</v>
      </c>
      <c r="R164" s="276">
        <f>ROUND(data1!P469*$G$164,2)</f>
        <v>0</v>
      </c>
      <c r="S164" s="276">
        <f>SUM(J164:R164)</f>
        <v>0</v>
      </c>
    </row>
    <row r="165" spans="1:19" s="2" customFormat="1" ht="11.25">
      <c r="A165" s="331"/>
      <c r="G165" s="275" t="s">
        <v>114</v>
      </c>
      <c r="H165" s="531"/>
      <c r="I165" s="205"/>
    </row>
    <row r="166" spans="1:19" s="2" customFormat="1" ht="88.5" customHeight="1">
      <c r="A166" s="331"/>
      <c r="B166" s="1322" t="s">
        <v>1313</v>
      </c>
      <c r="C166" s="1322"/>
      <c r="D166" s="1322"/>
      <c r="E166" s="1322"/>
      <c r="F166" s="1322"/>
      <c r="G166" s="275"/>
      <c r="H166" s="531"/>
      <c r="I166" s="205"/>
    </row>
    <row r="167" spans="1:19" s="2" customFormat="1" ht="11.25" customHeight="1">
      <c r="A167" s="331"/>
      <c r="B167" s="345" t="s">
        <v>1226</v>
      </c>
      <c r="C167" s="332"/>
      <c r="D167" s="332"/>
      <c r="E167" s="332"/>
      <c r="F167" s="332"/>
      <c r="G167" s="275"/>
      <c r="H167" s="273"/>
      <c r="I167" s="205"/>
    </row>
    <row r="168" spans="1:19" s="2" customFormat="1" ht="11.25" customHeight="1">
      <c r="A168" s="331"/>
      <c r="B168" s="272" t="s">
        <v>1392</v>
      </c>
      <c r="C168" s="273">
        <v>1</v>
      </c>
      <c r="D168" s="2">
        <f>6.33-0.23</f>
        <v>6.1</v>
      </c>
      <c r="E168" s="2">
        <f>4.8-0.23</f>
        <v>4.5699999999999994</v>
      </c>
      <c r="G168" s="338">
        <f>ROUND(E168*D168,2)</f>
        <v>27.88</v>
      </c>
      <c r="H168" s="273"/>
      <c r="I168" s="205"/>
    </row>
    <row r="169" spans="1:19" s="2" customFormat="1" ht="11.25">
      <c r="A169" s="331"/>
      <c r="B169" s="272" t="s">
        <v>1401</v>
      </c>
      <c r="C169" s="273">
        <v>1</v>
      </c>
      <c r="D169" s="2">
        <v>4.57</v>
      </c>
      <c r="E169" s="2">
        <f>0.505-0.125</f>
        <v>0.38</v>
      </c>
      <c r="G169" s="338">
        <f>ROUND(E169*D169,2)</f>
        <v>1.74</v>
      </c>
      <c r="H169" s="273"/>
      <c r="I169" s="205"/>
    </row>
    <row r="170" spans="1:19" s="2" customFormat="1" ht="11.25">
      <c r="A170" s="331"/>
      <c r="B170" s="272" t="s">
        <v>1415</v>
      </c>
      <c r="C170" s="273">
        <v>2</v>
      </c>
      <c r="D170" s="2">
        <v>7.16</v>
      </c>
      <c r="E170" s="2">
        <v>0.3</v>
      </c>
      <c r="G170" s="338">
        <f>ROUND(E170*D170,2)</f>
        <v>2.15</v>
      </c>
      <c r="H170" s="273"/>
      <c r="I170" s="205"/>
    </row>
    <row r="171" spans="1:19" s="2" customFormat="1" ht="11.25">
      <c r="A171" s="331"/>
      <c r="B171" s="272" t="s">
        <v>1416</v>
      </c>
      <c r="C171" s="273">
        <v>2</v>
      </c>
      <c r="D171" s="2">
        <v>5.03</v>
      </c>
      <c r="E171" s="2">
        <v>0.3</v>
      </c>
      <c r="G171" s="338">
        <f>ROUND(E171*D171,2)</f>
        <v>1.51</v>
      </c>
      <c r="H171" s="273"/>
      <c r="I171" s="205"/>
    </row>
    <row r="172" spans="1:19" s="2" customFormat="1" ht="11.25">
      <c r="A172" s="331"/>
      <c r="B172" s="345" t="s">
        <v>1134</v>
      </c>
      <c r="C172" s="273"/>
      <c r="G172" s="338"/>
      <c r="H172" s="273"/>
      <c r="I172" s="205"/>
    </row>
    <row r="173" spans="1:19" s="2" customFormat="1" ht="11.25">
      <c r="A173" s="331"/>
      <c r="B173" s="272" t="s">
        <v>1223</v>
      </c>
      <c r="C173" s="273">
        <v>2</v>
      </c>
      <c r="D173" s="2">
        <v>0.23</v>
      </c>
      <c r="E173" s="2">
        <v>0.38</v>
      </c>
      <c r="G173" s="338">
        <f>-ROUND(E173*D173*C173,2)</f>
        <v>-0.17</v>
      </c>
      <c r="H173" s="273"/>
      <c r="I173" s="205"/>
    </row>
    <row r="174" spans="1:19" s="2" customFormat="1" ht="11.25">
      <c r="A174" s="331"/>
      <c r="B174" s="272" t="s">
        <v>1057</v>
      </c>
      <c r="C174" s="273"/>
      <c r="G174" s="338">
        <v>0.39</v>
      </c>
      <c r="H174" s="273"/>
      <c r="I174" s="205"/>
    </row>
    <row r="175" spans="1:19" s="2" customFormat="1" ht="11.25">
      <c r="A175" s="331"/>
      <c r="G175" s="338">
        <v>0</v>
      </c>
      <c r="H175" s="548">
        <f>data1!E728</f>
        <v>263.07</v>
      </c>
      <c r="I175" s="205">
        <f>ROUND((H175*G175)/1,0)</f>
        <v>0</v>
      </c>
      <c r="J175" s="276">
        <f>ROUND(data1!H728*$G$175,2)</f>
        <v>0</v>
      </c>
      <c r="K175" s="276">
        <f>ROUND(data1!I728*$G$175,2)</f>
        <v>0</v>
      </c>
      <c r="L175" s="276">
        <f>ROUND(data1!J728*$G$175,2)</f>
        <v>0</v>
      </c>
      <c r="M175" s="276">
        <f>ROUND(data1!K728*$G$175,2)</f>
        <v>0</v>
      </c>
      <c r="N175" s="276">
        <f>ROUND(data1!L728*$G$175,2)</f>
        <v>0</v>
      </c>
      <c r="O175" s="276">
        <f>ROUND(data1!M728*$G$175,2)</f>
        <v>0</v>
      </c>
      <c r="P175" s="276">
        <f>ROUND(data1!N728*$G$175,2)</f>
        <v>0</v>
      </c>
      <c r="Q175" s="276">
        <f>ROUND(data1!O728*$G$175,2)</f>
        <v>0</v>
      </c>
      <c r="R175" s="276">
        <f>ROUND(data1!P728*$G$175,2)</f>
        <v>0</v>
      </c>
      <c r="S175" s="276">
        <f>ROUND(data1!Q728*$G$175,2)</f>
        <v>0</v>
      </c>
    </row>
    <row r="176" spans="1:19" s="2" customFormat="1" ht="11.25">
      <c r="A176" s="331"/>
      <c r="G176" s="275" t="s">
        <v>114</v>
      </c>
      <c r="H176" s="531"/>
      <c r="I176" s="205"/>
    </row>
    <row r="177" spans="1:19" s="2" customFormat="1" ht="146.25" customHeight="1">
      <c r="A177" s="331"/>
      <c r="B177" s="1312" t="s">
        <v>1406</v>
      </c>
      <c r="C177" s="1312"/>
      <c r="D177" s="1312"/>
      <c r="E177" s="1312"/>
      <c r="F177" s="1312"/>
      <c r="G177" s="275"/>
      <c r="H177" s="531"/>
      <c r="I177" s="205"/>
    </row>
    <row r="178" spans="1:19" s="2" customFormat="1" ht="11.25">
      <c r="A178" s="331"/>
      <c r="B178" s="345" t="s">
        <v>1229</v>
      </c>
      <c r="C178" s="273">
        <v>1</v>
      </c>
      <c r="D178" s="2">
        <f>D103</f>
        <v>7.16</v>
      </c>
      <c r="E178" s="2">
        <f>E103</f>
        <v>5.63</v>
      </c>
      <c r="F178" s="275"/>
      <c r="G178" s="338">
        <v>0</v>
      </c>
      <c r="H178" s="540">
        <f>data1!E602</f>
        <v>351.91</v>
      </c>
      <c r="I178" s="205">
        <f>ROUND((H178*G178),0)</f>
        <v>0</v>
      </c>
      <c r="J178" s="2">
        <f>ROUND($G$178*data1!H602,2)</f>
        <v>0</v>
      </c>
      <c r="K178" s="2">
        <f>ROUND($G$178*data1!I602,2)</f>
        <v>0</v>
      </c>
      <c r="L178" s="2">
        <f>ROUND($G$178*data1!J602,2)</f>
        <v>0</v>
      </c>
      <c r="M178" s="2">
        <f>ROUND($G$178*data1!K602,2)</f>
        <v>0</v>
      </c>
      <c r="N178" s="2">
        <f>ROUND($G$178*data1!L602,2)</f>
        <v>0</v>
      </c>
      <c r="O178" s="2">
        <f>ROUND($G$178*data1!M602,2)</f>
        <v>0</v>
      </c>
      <c r="P178" s="2">
        <f>ROUND($G$178*data1!N602,2)</f>
        <v>0</v>
      </c>
      <c r="Q178" s="2">
        <f>ROUND($G$178*data1!O602,2)</f>
        <v>0</v>
      </c>
      <c r="R178" s="2">
        <f>ROUND($G$178*data1!P602,2)</f>
        <v>0</v>
      </c>
      <c r="S178" s="2">
        <f>ROUND($G$178*data1!Q602,2)</f>
        <v>0</v>
      </c>
    </row>
    <row r="179" spans="1:19" s="2" customFormat="1" ht="11.25">
      <c r="A179" s="331"/>
      <c r="B179" s="272"/>
      <c r="C179" s="273"/>
      <c r="E179" s="338"/>
      <c r="F179" s="275"/>
      <c r="G179" s="338" t="s">
        <v>114</v>
      </c>
      <c r="H179" s="273"/>
      <c r="I179" s="205"/>
    </row>
    <row r="180" spans="1:19" s="2" customFormat="1" ht="11.25">
      <c r="A180" s="331"/>
      <c r="B180" s="272"/>
      <c r="C180" s="273"/>
      <c r="E180" s="338"/>
      <c r="F180" s="275"/>
      <c r="G180" s="504"/>
      <c r="H180" s="273"/>
      <c r="I180" s="205"/>
    </row>
    <row r="181" spans="1:19" s="2" customFormat="1" ht="102.75" customHeight="1">
      <c r="A181" s="331">
        <v>17</v>
      </c>
      <c r="B181" s="1312" t="s">
        <v>1266</v>
      </c>
      <c r="C181" s="1312"/>
      <c r="D181" s="1312"/>
      <c r="E181" s="1312"/>
      <c r="F181" s="1312"/>
      <c r="G181" s="275"/>
      <c r="H181" s="273"/>
      <c r="I181" s="205"/>
    </row>
    <row r="182" spans="1:19" s="2" customFormat="1" ht="11.25" customHeight="1">
      <c r="A182" s="331"/>
      <c r="B182" s="503" t="s">
        <v>261</v>
      </c>
      <c r="C182" s="332"/>
      <c r="D182" s="332"/>
      <c r="E182" s="332"/>
      <c r="F182" s="332"/>
      <c r="G182" s="275"/>
      <c r="H182" s="273"/>
      <c r="I182" s="205"/>
    </row>
    <row r="183" spans="1:19" s="2" customFormat="1" ht="11.25">
      <c r="A183" s="331"/>
      <c r="B183" s="272" t="s">
        <v>1417</v>
      </c>
      <c r="C183" s="273">
        <v>1</v>
      </c>
      <c r="D183" s="276">
        <f>D123</f>
        <v>5.03</v>
      </c>
      <c r="E183" s="2">
        <f>6*(0.3+0.15)</f>
        <v>2.6999999999999997</v>
      </c>
      <c r="G183" s="338">
        <f>ROUND(E183*D183,2)</f>
        <v>13.58</v>
      </c>
      <c r="H183" s="273"/>
      <c r="I183" s="205"/>
    </row>
    <row r="184" spans="1:19" s="2" customFormat="1" ht="11.25">
      <c r="A184" s="331"/>
      <c r="B184" s="272" t="s">
        <v>1057</v>
      </c>
      <c r="C184" s="273"/>
      <c r="G184" s="338">
        <v>0.02</v>
      </c>
      <c r="H184" s="273"/>
      <c r="I184" s="205"/>
    </row>
    <row r="185" spans="1:19" s="2" customFormat="1" ht="11.25">
      <c r="A185" s="331"/>
      <c r="G185" s="338">
        <v>0</v>
      </c>
      <c r="H185" s="540">
        <f>data1!E497</f>
        <v>979.99</v>
      </c>
      <c r="I185" s="205">
        <f>ROUND((H185*G185),0)</f>
        <v>0</v>
      </c>
      <c r="J185" s="2">
        <f>ROUND($G$185*data1!H497,2)</f>
        <v>0</v>
      </c>
      <c r="K185" s="2">
        <f>ROUND($G$185*data1!I497,2)</f>
        <v>0</v>
      </c>
      <c r="L185" s="2">
        <f>ROUND($G$185*data1!J497,2)</f>
        <v>0</v>
      </c>
      <c r="M185" s="2">
        <f>ROUND($G$185*data1!K497,2)</f>
        <v>0</v>
      </c>
      <c r="N185" s="2">
        <f>ROUND($G$185*data1!L497,2)</f>
        <v>0</v>
      </c>
      <c r="O185" s="2">
        <f>ROUND($G$185*data1!M497,2)</f>
        <v>0</v>
      </c>
      <c r="P185" s="2">
        <f>ROUND($G$185*data1!N497,2)</f>
        <v>0</v>
      </c>
      <c r="Q185" s="2">
        <f>ROUND($G$185*data1!O497,2)</f>
        <v>0</v>
      </c>
      <c r="R185" s="2">
        <f>ROUND($G$185*data1!P497,2)</f>
        <v>0</v>
      </c>
      <c r="S185" s="2">
        <f>SUM(J185:R185)</f>
        <v>0</v>
      </c>
    </row>
    <row r="186" spans="1:19" s="2" customFormat="1" ht="11.25">
      <c r="A186" s="331"/>
      <c r="G186" s="338" t="s">
        <v>114</v>
      </c>
      <c r="H186" s="273"/>
      <c r="I186" s="205"/>
    </row>
    <row r="187" spans="1:19" s="2" customFormat="1" ht="92.25" hidden="1" customHeight="1">
      <c r="A187" s="331">
        <v>18</v>
      </c>
      <c r="B187" s="1312" t="s">
        <v>485</v>
      </c>
      <c r="C187" s="1312"/>
      <c r="D187" s="1312"/>
      <c r="E187" s="1312"/>
      <c r="F187" s="1312"/>
      <c r="G187" s="338"/>
      <c r="H187" s="273"/>
      <c r="I187" s="205"/>
    </row>
    <row r="188" spans="1:19" s="2" customFormat="1" ht="11.25" hidden="1" customHeight="1">
      <c r="A188" s="331"/>
      <c r="B188" s="503" t="s">
        <v>1272</v>
      </c>
      <c r="C188" s="332"/>
      <c r="D188" s="332"/>
      <c r="E188" s="332"/>
      <c r="F188" s="332"/>
      <c r="G188" s="275"/>
      <c r="H188" s="273"/>
      <c r="I188" s="205"/>
    </row>
    <row r="189" spans="1:19" s="2" customFormat="1" ht="11.25" hidden="1">
      <c r="A189" s="331"/>
      <c r="B189" s="272" t="s">
        <v>1124</v>
      </c>
      <c r="C189" s="273">
        <v>1</v>
      </c>
      <c r="D189" s="2">
        <f>2*(2.95+2.82+3.01-0.23+5.22-0.23)</f>
        <v>27.08</v>
      </c>
      <c r="F189" s="2">
        <v>0.15</v>
      </c>
      <c r="G189" s="338">
        <f>ROUND(F189*D189,2)</f>
        <v>4.0599999999999996</v>
      </c>
      <c r="H189" s="273"/>
      <c r="I189" s="205"/>
    </row>
    <row r="190" spans="1:19" s="2" customFormat="1" ht="11.25" hidden="1">
      <c r="A190" s="331"/>
      <c r="B190" s="272" t="s">
        <v>1136</v>
      </c>
      <c r="C190" s="273">
        <v>1</v>
      </c>
      <c r="D190" s="2">
        <f>2*(2.82+3.39-0.23)</f>
        <v>11.959999999999999</v>
      </c>
      <c r="F190" s="2">
        <v>0.15</v>
      </c>
      <c r="G190" s="338">
        <f>ROUND(F190*D190,2)</f>
        <v>1.79</v>
      </c>
      <c r="H190" s="273"/>
      <c r="I190" s="205"/>
    </row>
    <row r="191" spans="1:19" s="2" customFormat="1" ht="11.25" hidden="1">
      <c r="A191" s="331"/>
      <c r="B191" s="272" t="s">
        <v>863</v>
      </c>
      <c r="C191" s="273">
        <v>1</v>
      </c>
      <c r="D191" s="2">
        <f>2*(3.01-0.23+3.39-0.23)</f>
        <v>11.879999999999999</v>
      </c>
      <c r="F191" s="2">
        <v>0.15</v>
      </c>
      <c r="G191" s="338">
        <f>ROUND(F191*D191,2)</f>
        <v>1.78</v>
      </c>
      <c r="H191" s="273"/>
      <c r="I191" s="205"/>
    </row>
    <row r="192" spans="1:19" s="2" customFormat="1" ht="11.25" hidden="1">
      <c r="A192" s="331"/>
      <c r="B192" s="272" t="s">
        <v>1132</v>
      </c>
      <c r="C192" s="273">
        <v>1</v>
      </c>
      <c r="D192" s="2">
        <f>2.95-0.23+2*3.39</f>
        <v>9.5</v>
      </c>
      <c r="F192" s="2">
        <v>0.15</v>
      </c>
      <c r="G192" s="338">
        <f>ROUND(F192*D192,2)</f>
        <v>1.43</v>
      </c>
      <c r="H192" s="273"/>
      <c r="I192" s="205"/>
    </row>
    <row r="193" spans="1:19" s="2" customFormat="1" ht="11.25" hidden="1">
      <c r="A193" s="331"/>
      <c r="B193" s="272" t="s">
        <v>1133</v>
      </c>
      <c r="C193" s="273">
        <v>1</v>
      </c>
      <c r="D193" s="2">
        <f>5.22+0.23</f>
        <v>5.45</v>
      </c>
      <c r="F193" s="2">
        <v>0.15</v>
      </c>
      <c r="G193" s="338">
        <f>ROUND(F193*D193,2)</f>
        <v>0.82</v>
      </c>
      <c r="H193" s="273"/>
      <c r="I193" s="205"/>
    </row>
    <row r="194" spans="1:19" s="2" customFormat="1" ht="11.25" hidden="1">
      <c r="A194" s="331"/>
      <c r="B194" s="345" t="s">
        <v>1138</v>
      </c>
      <c r="H194" s="273"/>
      <c r="I194" s="205"/>
    </row>
    <row r="195" spans="1:19" s="2" customFormat="1" ht="11.25" hidden="1">
      <c r="A195" s="331"/>
      <c r="B195" s="272" t="s">
        <v>1139</v>
      </c>
      <c r="C195" s="273">
        <v>1</v>
      </c>
      <c r="D195" s="2">
        <v>1.22</v>
      </c>
      <c r="E195" s="2">
        <v>0.12</v>
      </c>
      <c r="G195" s="338">
        <f>ROUND(E195*D195,2)</f>
        <v>0.15</v>
      </c>
      <c r="H195" s="273"/>
      <c r="I195" s="205"/>
    </row>
    <row r="196" spans="1:19" s="2" customFormat="1" ht="11.25" hidden="1">
      <c r="A196" s="331"/>
      <c r="B196" s="272" t="s">
        <v>1140</v>
      </c>
      <c r="C196" s="273">
        <v>2</v>
      </c>
      <c r="D196" s="2">
        <v>1.05</v>
      </c>
      <c r="E196" s="2">
        <v>0.15</v>
      </c>
      <c r="G196" s="338">
        <f>ROUND(E196*D196,2)</f>
        <v>0.16</v>
      </c>
      <c r="H196" s="273"/>
      <c r="I196" s="205"/>
    </row>
    <row r="197" spans="1:19" s="2" customFormat="1" ht="11.25" hidden="1">
      <c r="A197" s="331"/>
      <c r="B197" s="345" t="s">
        <v>1134</v>
      </c>
      <c r="G197" s="338"/>
      <c r="H197" s="273"/>
      <c r="I197" s="205"/>
    </row>
    <row r="198" spans="1:19" s="2" customFormat="1" ht="11.25" hidden="1">
      <c r="A198" s="331"/>
      <c r="B198" s="272" t="s">
        <v>1135</v>
      </c>
      <c r="C198" s="273">
        <v>4</v>
      </c>
      <c r="D198" s="2">
        <v>0.115</v>
      </c>
      <c r="E198" s="2">
        <v>0.15</v>
      </c>
      <c r="G198" s="338">
        <f>-ROUND(E198*D198,2)</f>
        <v>-0.02</v>
      </c>
      <c r="H198" s="273"/>
      <c r="I198" s="205"/>
    </row>
    <row r="199" spans="1:19" s="2" customFormat="1" ht="11.25" hidden="1">
      <c r="A199" s="331"/>
      <c r="B199" s="272" t="s">
        <v>1137</v>
      </c>
      <c r="C199" s="273">
        <v>2</v>
      </c>
      <c r="D199" s="2">
        <v>0.38</v>
      </c>
      <c r="E199" s="2">
        <v>0.15</v>
      </c>
      <c r="G199" s="338">
        <f>-ROUND(E199*D199,2)</f>
        <v>-0.06</v>
      </c>
      <c r="H199" s="273"/>
      <c r="I199" s="205"/>
    </row>
    <row r="200" spans="1:19" s="2" customFormat="1" ht="11.25" hidden="1">
      <c r="A200" s="331"/>
      <c r="B200" s="345" t="s">
        <v>1277</v>
      </c>
      <c r="H200" s="273"/>
      <c r="I200" s="205"/>
    </row>
    <row r="201" spans="1:19" s="2" customFormat="1" ht="11.25" hidden="1">
      <c r="A201" s="331"/>
      <c r="B201" s="272" t="s">
        <v>1139</v>
      </c>
      <c r="C201" s="273">
        <v>2</v>
      </c>
      <c r="D201" s="2">
        <v>1.22</v>
      </c>
      <c r="F201" s="2">
        <v>0.15</v>
      </c>
      <c r="G201" s="338">
        <f>-ROUND(F201*D201,2)</f>
        <v>-0.18</v>
      </c>
      <c r="H201" s="273"/>
      <c r="I201" s="205"/>
    </row>
    <row r="202" spans="1:19" s="2" customFormat="1" ht="11.25" hidden="1">
      <c r="A202" s="331"/>
      <c r="B202" s="272" t="s">
        <v>1140</v>
      </c>
      <c r="C202" s="273">
        <v>4</v>
      </c>
      <c r="D202" s="2">
        <v>1.05</v>
      </c>
      <c r="F202" s="2">
        <v>0.15</v>
      </c>
      <c r="G202" s="338">
        <f>-ROUND(F202*D202,2)</f>
        <v>-0.16</v>
      </c>
      <c r="H202" s="273"/>
      <c r="I202" s="205"/>
    </row>
    <row r="203" spans="1:19" s="2" customFormat="1" ht="11.25" hidden="1">
      <c r="A203" s="331"/>
      <c r="B203" s="272" t="s">
        <v>1057</v>
      </c>
      <c r="C203" s="273"/>
      <c r="G203" s="338">
        <v>0.23</v>
      </c>
      <c r="H203" s="273"/>
      <c r="I203" s="205"/>
    </row>
    <row r="204" spans="1:19" s="2" customFormat="1" ht="11.25" hidden="1">
      <c r="A204" s="331"/>
      <c r="C204" s="273"/>
      <c r="G204" s="338">
        <v>0</v>
      </c>
      <c r="H204" s="540">
        <f>data1!E522</f>
        <v>985.28</v>
      </c>
      <c r="I204" s="205">
        <f>ROUND((H204*G204),0)</f>
        <v>0</v>
      </c>
      <c r="J204" s="2">
        <f>ROUND($G$204*data1!H522,2)</f>
        <v>0</v>
      </c>
      <c r="K204" s="2">
        <f>ROUND($G$204*data1!I522,2)</f>
        <v>0</v>
      </c>
      <c r="L204" s="2">
        <f>ROUND($G$204*data1!J522,2)</f>
        <v>0</v>
      </c>
      <c r="M204" s="2">
        <f>ROUND($G$204*data1!K522,2)</f>
        <v>0</v>
      </c>
      <c r="N204" s="2">
        <f>ROUND($G$204*data1!L522,2)</f>
        <v>0</v>
      </c>
      <c r="O204" s="2">
        <f>ROUND($G$204*data1!M522,2)</f>
        <v>0</v>
      </c>
      <c r="P204" s="2">
        <f>ROUND($G$204*data1!N522,2)</f>
        <v>0</v>
      </c>
      <c r="Q204" s="2">
        <f>ROUND($G$204*data1!O522,2)</f>
        <v>0</v>
      </c>
      <c r="R204" s="2">
        <f>ROUND($G$204*data1!P522,2)</f>
        <v>0</v>
      </c>
      <c r="S204" s="2">
        <f>SUM(J204:R204)</f>
        <v>0</v>
      </c>
    </row>
    <row r="205" spans="1:19" s="2" customFormat="1" ht="11.25" hidden="1">
      <c r="A205" s="331"/>
      <c r="C205" s="273"/>
      <c r="G205" s="338" t="s">
        <v>114</v>
      </c>
      <c r="H205" s="273" t="s">
        <v>114</v>
      </c>
      <c r="I205" s="205"/>
    </row>
    <row r="206" spans="1:19" s="2" customFormat="1" ht="91.5" customHeight="1">
      <c r="A206" s="331">
        <v>19</v>
      </c>
      <c r="B206" s="1312" t="s">
        <v>1130</v>
      </c>
      <c r="C206" s="1312"/>
      <c r="D206" s="1312"/>
      <c r="E206" s="1312"/>
      <c r="F206" s="1312"/>
      <c r="G206" s="338"/>
      <c r="H206" s="273"/>
      <c r="I206" s="205"/>
    </row>
    <row r="207" spans="1:19" s="2" customFormat="1" ht="11.25">
      <c r="A207" s="331"/>
      <c r="B207" s="2" t="s">
        <v>1393</v>
      </c>
      <c r="C207" s="273">
        <v>1</v>
      </c>
      <c r="D207" s="276">
        <f>D168</f>
        <v>6.1</v>
      </c>
      <c r="E207" s="2">
        <f>E168</f>
        <v>4.5699999999999994</v>
      </c>
      <c r="G207" s="338">
        <f>ROUND(E207*D207,2)</f>
        <v>27.88</v>
      </c>
      <c r="H207" s="273"/>
      <c r="I207" s="205"/>
    </row>
    <row r="208" spans="1:19" s="2" customFormat="1" ht="11.25">
      <c r="A208" s="331"/>
      <c r="B208" s="2" t="s">
        <v>1057</v>
      </c>
      <c r="G208" s="338">
        <v>0.12</v>
      </c>
      <c r="H208" s="273"/>
      <c r="I208" s="205"/>
    </row>
    <row r="209" spans="1:19" s="2" customFormat="1" ht="11.25">
      <c r="A209" s="331"/>
      <c r="C209" s="273"/>
      <c r="G209" s="338">
        <v>0</v>
      </c>
      <c r="H209" s="540">
        <f>data1!G583</f>
        <v>283.74</v>
      </c>
      <c r="I209" s="205">
        <f>ROUND((H209*G209),0)</f>
        <v>0</v>
      </c>
      <c r="J209" s="2">
        <f>ROUND($G$209*data1!H583,2)</f>
        <v>0</v>
      </c>
      <c r="K209" s="2">
        <f>ROUND($G$209*data1!I583,2)</f>
        <v>0</v>
      </c>
      <c r="L209" s="2">
        <f>ROUND($G$209*data1!J583,2)</f>
        <v>0</v>
      </c>
      <c r="M209" s="2">
        <f>ROUND($G$209*data1!K583,2)</f>
        <v>0</v>
      </c>
      <c r="N209" s="2">
        <f>ROUND($G$209*data1!L583,2)</f>
        <v>0</v>
      </c>
      <c r="O209" s="2">
        <f>ROUND($G$209*data1!M583,2)</f>
        <v>0</v>
      </c>
      <c r="P209" s="2">
        <f>ROUND($G$209*data1!N583,2)</f>
        <v>0</v>
      </c>
      <c r="Q209" s="2">
        <f>ROUND($G$209*data1!O583,2)</f>
        <v>0</v>
      </c>
      <c r="R209" s="2">
        <f>ROUND($G$209*data1!P583,2)</f>
        <v>0</v>
      </c>
      <c r="S209" s="2">
        <f>ROUND($G$209*data1!Q583,2)</f>
        <v>0</v>
      </c>
    </row>
    <row r="210" spans="1:19" s="2" customFormat="1" ht="11.25">
      <c r="A210" s="331"/>
      <c r="C210" s="273"/>
      <c r="G210" s="338" t="s">
        <v>1267</v>
      </c>
    </row>
    <row r="211" spans="1:19" s="2" customFormat="1" ht="105" hidden="1" customHeight="1">
      <c r="A211" s="331">
        <v>19</v>
      </c>
      <c r="B211" s="1309" t="s">
        <v>495</v>
      </c>
      <c r="C211" s="1309"/>
      <c r="D211" s="1309"/>
      <c r="E211" s="1309"/>
      <c r="F211" s="1309"/>
      <c r="G211" s="338"/>
      <c r="H211" s="273"/>
      <c r="I211" s="205"/>
    </row>
    <row r="212" spans="1:19" s="2" customFormat="1" ht="11.25" hidden="1">
      <c r="A212" s="331"/>
      <c r="B212" s="275" t="s">
        <v>979</v>
      </c>
      <c r="C212" s="2">
        <v>0</v>
      </c>
      <c r="D212" s="2">
        <v>0</v>
      </c>
      <c r="E212" s="2">
        <v>1.5</v>
      </c>
      <c r="G212" s="338">
        <f>ROUND(E212*D212*C212,2)</f>
        <v>0</v>
      </c>
      <c r="H212" s="273"/>
      <c r="I212" s="205"/>
    </row>
    <row r="213" spans="1:19" s="2" customFormat="1" ht="11.25" hidden="1">
      <c r="A213" s="331"/>
      <c r="G213" s="338">
        <f>SUM(G212:G212)</f>
        <v>0</v>
      </c>
      <c r="H213" s="540">
        <f>data1!E546</f>
        <v>676.26</v>
      </c>
      <c r="I213" s="205">
        <f>ROUND((H213*G213),0)</f>
        <v>0</v>
      </c>
      <c r="J213" s="2">
        <f>ROUND($G$213*data1!H546,2)</f>
        <v>0</v>
      </c>
      <c r="K213" s="2">
        <f>ROUND($G$213*data1!I546,2)</f>
        <v>0</v>
      </c>
      <c r="L213" s="2">
        <f>ROUND($G$213*data1!J546,2)</f>
        <v>0</v>
      </c>
      <c r="M213" s="2">
        <f>ROUND($G$213*data1!K546,2)</f>
        <v>0</v>
      </c>
      <c r="N213" s="2">
        <f>ROUND($G$213*data1!L546,2)</f>
        <v>0</v>
      </c>
      <c r="O213" s="2">
        <f>ROUND($G$213*data1!M546,2)</f>
        <v>0</v>
      </c>
      <c r="P213" s="2">
        <f>ROUND($G$213*data1!N546,2)</f>
        <v>0</v>
      </c>
      <c r="Q213" s="2">
        <f>ROUND($G$213*data1!O546,2)</f>
        <v>0</v>
      </c>
      <c r="R213" s="2">
        <f>ROUND($G$213*data1!P546,2)</f>
        <v>0</v>
      </c>
      <c r="S213" s="2">
        <f>SUM(J213:R213)</f>
        <v>0</v>
      </c>
    </row>
    <row r="214" spans="1:19" s="2" customFormat="1" ht="11.25" hidden="1">
      <c r="A214" s="331"/>
      <c r="G214" s="338" t="s">
        <v>114</v>
      </c>
      <c r="H214" s="273" t="s">
        <v>114</v>
      </c>
      <c r="I214" s="205"/>
    </row>
    <row r="215" spans="1:19" s="2" customFormat="1" ht="93" hidden="1" customHeight="1">
      <c r="A215" s="331">
        <v>20</v>
      </c>
      <c r="B215" s="1312" t="s">
        <v>499</v>
      </c>
      <c r="C215" s="1312"/>
      <c r="D215" s="1312"/>
      <c r="E215" s="1312"/>
      <c r="F215" s="1312"/>
      <c r="G215" s="338"/>
      <c r="H215" s="273"/>
      <c r="I215" s="205"/>
    </row>
    <row r="216" spans="1:19" s="2" customFormat="1" ht="11.25" hidden="1">
      <c r="A216" s="331"/>
      <c r="B216" s="275" t="s">
        <v>980</v>
      </c>
      <c r="C216" s="2">
        <v>0</v>
      </c>
      <c r="D216" s="2">
        <v>0</v>
      </c>
      <c r="F216" s="2">
        <v>0</v>
      </c>
      <c r="G216" s="338">
        <f>ROUND(F216*D216*C216,2)</f>
        <v>0</v>
      </c>
      <c r="H216" s="273"/>
      <c r="I216" s="205"/>
    </row>
    <row r="217" spans="1:19" s="2" customFormat="1" ht="11.25" hidden="1">
      <c r="A217" s="331"/>
      <c r="B217" s="2" t="s">
        <v>629</v>
      </c>
      <c r="C217" s="2">
        <v>0</v>
      </c>
      <c r="D217" s="2">
        <v>0</v>
      </c>
      <c r="F217" s="2">
        <v>0</v>
      </c>
      <c r="G217" s="338">
        <f>-ROUND(F217*D217*C217,2)</f>
        <v>0</v>
      </c>
      <c r="H217" s="273"/>
      <c r="I217" s="205"/>
    </row>
    <row r="218" spans="1:19" s="2" customFormat="1" ht="11.25" hidden="1">
      <c r="A218" s="331"/>
      <c r="G218" s="338">
        <f>SUM(G216:G217)</f>
        <v>0</v>
      </c>
      <c r="H218" s="540">
        <f>data1!E568</f>
        <v>485</v>
      </c>
      <c r="I218" s="205">
        <f>ROUND((H218*G218),0)</f>
        <v>0</v>
      </c>
      <c r="J218" s="2">
        <f>ROUND($G$218*data1!H568,2)</f>
        <v>0</v>
      </c>
      <c r="K218" s="2">
        <f>ROUND($G$218*data1!I568,2)</f>
        <v>0</v>
      </c>
      <c r="L218" s="2">
        <f>ROUND($G$218*data1!J568,2)</f>
        <v>0</v>
      </c>
      <c r="M218" s="2">
        <f>ROUND($G$218*data1!K568,2)</f>
        <v>0</v>
      </c>
      <c r="N218" s="2">
        <f>ROUND($G$218*data1!L568,2)</f>
        <v>0</v>
      </c>
      <c r="O218" s="2">
        <f>ROUND($G$218*data1!M568,2)</f>
        <v>0</v>
      </c>
      <c r="P218" s="2">
        <f>ROUND($G$218*data1!N568,2)</f>
        <v>0</v>
      </c>
      <c r="Q218" s="2">
        <f>ROUND($G$218*data1!O568,2)</f>
        <v>0</v>
      </c>
      <c r="R218" s="2">
        <f>ROUND($G$218*data1!P568,2)</f>
        <v>0</v>
      </c>
      <c r="S218" s="2">
        <f>SUM(J218:R218)</f>
        <v>0</v>
      </c>
    </row>
    <row r="219" spans="1:19" s="2" customFormat="1" ht="11.25" hidden="1">
      <c r="A219" s="331"/>
      <c r="G219" s="338" t="s">
        <v>114</v>
      </c>
      <c r="H219" s="273" t="s">
        <v>114</v>
      </c>
      <c r="I219" s="205"/>
    </row>
    <row r="220" spans="1:19" s="2" customFormat="1" ht="91.5" customHeight="1">
      <c r="A220" s="331">
        <v>21</v>
      </c>
      <c r="B220" s="1322" t="s">
        <v>1332</v>
      </c>
      <c r="C220" s="1322"/>
      <c r="D220" s="1322"/>
      <c r="E220" s="1322"/>
      <c r="F220" s="1322"/>
      <c r="G220" s="338"/>
      <c r="H220" s="273"/>
      <c r="I220" s="205"/>
    </row>
    <row r="221" spans="1:19" s="2" customFormat="1" ht="11.25">
      <c r="A221" s="331"/>
      <c r="B221" s="535" t="s">
        <v>1281</v>
      </c>
      <c r="D221" s="276"/>
      <c r="G221" s="338"/>
      <c r="H221" s="273"/>
      <c r="I221" s="205"/>
    </row>
    <row r="222" spans="1:19" s="2" customFormat="1" ht="11.25" customHeight="1">
      <c r="A222" s="331"/>
      <c r="B222" s="503" t="s">
        <v>1181</v>
      </c>
      <c r="C222" s="332"/>
      <c r="D222" s="332"/>
      <c r="E222" s="332"/>
      <c r="F222" s="332"/>
      <c r="G222" s="275"/>
      <c r="H222" s="273"/>
      <c r="I222" s="205"/>
    </row>
    <row r="223" spans="1:19" s="2" customFormat="1" ht="11.25" customHeight="1">
      <c r="A223" s="331"/>
      <c r="B223" s="272" t="s">
        <v>1392</v>
      </c>
      <c r="C223" s="273">
        <v>1</v>
      </c>
      <c r="D223" s="276">
        <f>D168</f>
        <v>6.1</v>
      </c>
      <c r="E223" s="2">
        <f>E168</f>
        <v>4.5699999999999994</v>
      </c>
      <c r="G223" s="338">
        <f>ROUND(E223*D223*C223,2)</f>
        <v>27.88</v>
      </c>
      <c r="H223" s="273"/>
      <c r="I223" s="205"/>
    </row>
    <row r="224" spans="1:19" s="2" customFormat="1" ht="11.25">
      <c r="A224" s="331"/>
      <c r="B224" s="272" t="s">
        <v>1394</v>
      </c>
      <c r="C224" s="273">
        <v>1</v>
      </c>
      <c r="D224" s="276">
        <f>2*(D223+E223)</f>
        <v>21.339999999999996</v>
      </c>
      <c r="E224" s="2">
        <f>3.3-0.125-0.05</f>
        <v>3.125</v>
      </c>
      <c r="G224" s="338">
        <f>ROUND(E224*D224*C224,2)</f>
        <v>66.69</v>
      </c>
      <c r="H224" s="273"/>
      <c r="I224" s="205"/>
    </row>
    <row r="225" spans="1:19" s="2" customFormat="1" ht="11.25">
      <c r="A225" s="331"/>
      <c r="B225" s="272" t="s">
        <v>1400</v>
      </c>
      <c r="C225" s="273">
        <v>2</v>
      </c>
      <c r="D225" s="276">
        <f>(2.4+2.1*2)</f>
        <v>6.6</v>
      </c>
      <c r="E225" s="338">
        <f>0.23-0.05</f>
        <v>0.18</v>
      </c>
      <c r="F225" s="275"/>
      <c r="G225" s="338">
        <f>ROUND(E225*D225*C225,2)</f>
        <v>2.38</v>
      </c>
      <c r="H225" s="273"/>
      <c r="I225" s="205"/>
    </row>
    <row r="226" spans="1:19" s="2" customFormat="1" ht="11.25">
      <c r="A226" s="331"/>
      <c r="B226" s="272" t="s">
        <v>1395</v>
      </c>
      <c r="C226" s="273">
        <v>4</v>
      </c>
      <c r="D226" s="2">
        <f>2*(1.5+1.35)</f>
        <v>5.7</v>
      </c>
      <c r="F226" s="2">
        <v>0.15</v>
      </c>
      <c r="G226" s="338">
        <f>ROUND(E226*D226*C226,2)</f>
        <v>0</v>
      </c>
      <c r="H226" s="273"/>
      <c r="I226" s="205"/>
    </row>
    <row r="227" spans="1:19" s="2" customFormat="1" ht="11.25">
      <c r="A227" s="331"/>
      <c r="B227" s="345" t="s">
        <v>1399</v>
      </c>
      <c r="C227" s="273">
        <v>4</v>
      </c>
      <c r="D227" s="2">
        <v>1.5</v>
      </c>
      <c r="E227" s="2">
        <v>1.35</v>
      </c>
      <c r="G227" s="338">
        <f>-ROUND(E227*D227*C227,2)</f>
        <v>-8.1</v>
      </c>
      <c r="H227" s="273"/>
      <c r="I227" s="205"/>
    </row>
    <row r="228" spans="1:19" s="2" customFormat="1" ht="11.25">
      <c r="A228" s="331"/>
      <c r="B228" s="345" t="s">
        <v>1057</v>
      </c>
      <c r="C228" s="273"/>
      <c r="G228" s="338">
        <v>0.15</v>
      </c>
      <c r="H228" s="273"/>
      <c r="I228" s="205"/>
    </row>
    <row r="229" spans="1:19" s="2" customFormat="1" ht="11.25">
      <c r="A229" s="331"/>
      <c r="G229" s="338">
        <v>0</v>
      </c>
      <c r="H229" s="539">
        <f>data1!E649</f>
        <v>140.28</v>
      </c>
      <c r="I229" s="205">
        <f>ROUND((H229*G229),0)</f>
        <v>0</v>
      </c>
      <c r="R229" s="205">
        <f>I229</f>
        <v>0</v>
      </c>
      <c r="S229" s="2">
        <f>SUM(J229:R229)</f>
        <v>0</v>
      </c>
    </row>
    <row r="230" spans="1:19" s="2" customFormat="1" ht="11.25">
      <c r="A230" s="331"/>
      <c r="G230" s="275" t="s">
        <v>114</v>
      </c>
      <c r="H230" s="273" t="s">
        <v>625</v>
      </c>
      <c r="I230" s="205"/>
    </row>
    <row r="231" spans="1:19" s="2" customFormat="1" ht="91.5" customHeight="1">
      <c r="A231" s="331">
        <v>21</v>
      </c>
      <c r="B231" s="1322" t="str">
        <f>data1!C663</f>
        <v>Painting to new walls with 2 coats of Plastic Emulsion Paint Asian/ Berger/ Nerolac/ Saicoat/Indocem or Equivalent and shade over Priming Coat with Cement Primer Waterbase Interior Gr- 1 Asian/ Berger/ Nerolac/ Saicoat/Indocem or Equivalenton New Plastered Surfaceafter thoroughly brushing the surface to remove all dirt and remains of loose powdered materials, including cost and conveyance of all materials to work site and all operational, incidental, labour charges  but excluding VAT etc, complete for finished item of work as per SS 912  for external walls.</v>
      </c>
      <c r="C231" s="1322"/>
      <c r="D231" s="1322"/>
      <c r="E231" s="1322"/>
      <c r="F231" s="1322"/>
      <c r="G231" s="338"/>
      <c r="H231" s="273"/>
      <c r="I231" s="205"/>
    </row>
    <row r="232" spans="1:19" s="2" customFormat="1" ht="11.25">
      <c r="A232" s="331"/>
      <c r="B232" s="272" t="s">
        <v>1126</v>
      </c>
      <c r="C232" s="274">
        <v>1</v>
      </c>
      <c r="D232" s="2">
        <f>D159</f>
        <v>23.38</v>
      </c>
      <c r="F232" s="2">
        <f>F159</f>
        <v>0.57000000000000006</v>
      </c>
      <c r="G232" s="338">
        <f>ROUND(D232*F232*C232,2)</f>
        <v>13.33</v>
      </c>
      <c r="H232" s="273"/>
      <c r="I232" s="205"/>
    </row>
    <row r="233" spans="1:19" s="2" customFormat="1" ht="11.25">
      <c r="A233" s="331"/>
      <c r="B233" s="272" t="s">
        <v>1128</v>
      </c>
      <c r="C233" s="274">
        <v>1</v>
      </c>
      <c r="D233" s="2">
        <f>D158</f>
        <v>23.18</v>
      </c>
      <c r="F233" s="2">
        <f>F158</f>
        <v>3.6799999999999997</v>
      </c>
      <c r="G233" s="338">
        <f>ROUND(D233*F233*C233,2)</f>
        <v>85.3</v>
      </c>
      <c r="H233" s="273"/>
      <c r="I233" s="205"/>
    </row>
    <row r="234" spans="1:19" s="2" customFormat="1" ht="11.25">
      <c r="A234" s="331"/>
      <c r="B234" s="272" t="s">
        <v>1404</v>
      </c>
      <c r="C234" s="274">
        <v>1</v>
      </c>
      <c r="D234" s="2">
        <f>D160</f>
        <v>25.119999999999997</v>
      </c>
      <c r="F234" s="2">
        <f>F160</f>
        <v>2.0750000000000002</v>
      </c>
      <c r="G234" s="338">
        <f>ROUND(D234*F234*C234,2)</f>
        <v>52.12</v>
      </c>
      <c r="H234" s="273"/>
      <c r="I234" s="205"/>
    </row>
    <row r="235" spans="1:19" s="2" customFormat="1" ht="11.25">
      <c r="A235" s="331"/>
      <c r="B235" s="272" t="s">
        <v>1127</v>
      </c>
      <c r="C235" s="274">
        <v>1</v>
      </c>
      <c r="D235" s="276">
        <f>D123</f>
        <v>5.03</v>
      </c>
      <c r="F235" s="276">
        <f>F232</f>
        <v>0.57000000000000006</v>
      </c>
      <c r="G235" s="338">
        <f>-ROUND(D235*F235*C235,2)</f>
        <v>-2.87</v>
      </c>
      <c r="H235" s="273"/>
      <c r="I235" s="205"/>
    </row>
    <row r="236" spans="1:19" s="2" customFormat="1" ht="11.25">
      <c r="A236" s="331"/>
      <c r="B236" s="272" t="s">
        <v>1402</v>
      </c>
      <c r="C236" s="274">
        <v>1</v>
      </c>
      <c r="D236" s="2">
        <v>2.4</v>
      </c>
      <c r="F236" s="276">
        <v>2.1</v>
      </c>
      <c r="G236" s="338">
        <f>-ROUND(D236*F236*C236,2)</f>
        <v>-5.04</v>
      </c>
      <c r="H236" s="273"/>
      <c r="I236" s="205"/>
    </row>
    <row r="237" spans="1:19" s="2" customFormat="1" ht="11.25">
      <c r="A237" s="331"/>
      <c r="B237" s="272" t="s">
        <v>1403</v>
      </c>
      <c r="C237" s="274">
        <v>4</v>
      </c>
      <c r="D237" s="2">
        <v>1.5</v>
      </c>
      <c r="F237" s="276">
        <v>1.35</v>
      </c>
      <c r="G237" s="338">
        <f>-ROUND(D237*F237*C237,2)</f>
        <v>-8.1</v>
      </c>
      <c r="H237" s="273"/>
      <c r="I237" s="205"/>
    </row>
    <row r="238" spans="1:19" s="2" customFormat="1" ht="11.25">
      <c r="A238" s="331"/>
      <c r="B238" s="272" t="s">
        <v>1057</v>
      </c>
      <c r="G238" s="338">
        <v>0.26</v>
      </c>
      <c r="H238" s="273"/>
      <c r="I238" s="205"/>
    </row>
    <row r="239" spans="1:19" s="2" customFormat="1" ht="11.25">
      <c r="A239" s="331"/>
      <c r="G239" s="338">
        <v>0</v>
      </c>
      <c r="H239" s="539">
        <f>data1!E683</f>
        <v>180.24</v>
      </c>
      <c r="I239" s="205">
        <f>ROUND((H239*G239),0)</f>
        <v>0</v>
      </c>
      <c r="R239" s="205">
        <f>I239</f>
        <v>0</v>
      </c>
      <c r="S239" s="2">
        <f>SUM(J239:R239)</f>
        <v>0</v>
      </c>
    </row>
    <row r="240" spans="1:19" s="2" customFormat="1" ht="11.25">
      <c r="A240" s="331"/>
      <c r="G240" s="275" t="s">
        <v>114</v>
      </c>
      <c r="H240" s="273" t="s">
        <v>625</v>
      </c>
      <c r="I240" s="205"/>
    </row>
    <row r="241" spans="1:19" s="2" customFormat="1" ht="101.25" hidden="1" customHeight="1">
      <c r="A241" s="331">
        <v>26</v>
      </c>
      <c r="B241" s="1323" t="s">
        <v>1173</v>
      </c>
      <c r="C241" s="1323"/>
      <c r="D241" s="1323"/>
      <c r="E241" s="1323"/>
      <c r="F241" s="1323"/>
      <c r="G241" s="275"/>
      <c r="H241" s="273"/>
      <c r="I241" s="205"/>
    </row>
    <row r="242" spans="1:19" s="2" customFormat="1" ht="126" hidden="1" customHeight="1">
      <c r="A242" s="331"/>
      <c r="B242" s="1322" t="s">
        <v>1175</v>
      </c>
      <c r="C242" s="1322"/>
      <c r="D242" s="1322"/>
      <c r="E242" s="1322"/>
      <c r="F242" s="1322"/>
      <c r="G242" s="275"/>
      <c r="H242" s="273"/>
      <c r="I242" s="205"/>
    </row>
    <row r="243" spans="1:19" s="2" customFormat="1" ht="11.25" hidden="1">
      <c r="A243" s="331"/>
      <c r="B243" s="2" t="s">
        <v>1197</v>
      </c>
      <c r="C243" s="2">
        <v>1</v>
      </c>
      <c r="G243" s="275">
        <v>0</v>
      </c>
      <c r="H243" s="539">
        <f>data1!G986</f>
        <v>9777.36</v>
      </c>
      <c r="I243" s="205">
        <f>ROUND((H243*G243)/1,0)</f>
        <v>0</v>
      </c>
      <c r="R243" s="205">
        <f>I243</f>
        <v>0</v>
      </c>
      <c r="S243" s="2">
        <f>SUM(J243:R243)</f>
        <v>0</v>
      </c>
    </row>
    <row r="244" spans="1:19" s="2" customFormat="1" ht="11.25" hidden="1">
      <c r="A244" s="331"/>
      <c r="G244" s="275"/>
      <c r="H244" s="278" t="s">
        <v>107</v>
      </c>
      <c r="I244" s="205"/>
    </row>
    <row r="245" spans="1:19" s="2" customFormat="1" ht="117" hidden="1" customHeight="1">
      <c r="A245" s="331"/>
      <c r="B245" s="1322" t="s">
        <v>1291</v>
      </c>
      <c r="C245" s="1322"/>
      <c r="D245" s="1322"/>
      <c r="E245" s="1322"/>
      <c r="F245" s="1322"/>
      <c r="G245" s="275"/>
      <c r="H245" s="278"/>
      <c r="I245" s="205"/>
    </row>
    <row r="246" spans="1:19" s="274" customFormat="1" ht="33.75" hidden="1">
      <c r="B246" s="335" t="s">
        <v>1196</v>
      </c>
      <c r="C246" s="274">
        <v>2</v>
      </c>
      <c r="G246" s="275">
        <v>0</v>
      </c>
      <c r="H246" s="539">
        <f>data1!G939</f>
        <v>8697.7999999999993</v>
      </c>
      <c r="I246" s="550">
        <f>ROUND((H246*G246)/1,0)</f>
        <v>0</v>
      </c>
      <c r="R246" s="550">
        <f>I246</f>
        <v>0</v>
      </c>
      <c r="S246" s="274">
        <f>SUM(J246:R246)</f>
        <v>0</v>
      </c>
    </row>
    <row r="247" spans="1:19" s="2" customFormat="1" ht="11.25" hidden="1">
      <c r="A247" s="331"/>
      <c r="G247" s="275"/>
      <c r="H247" s="278" t="s">
        <v>107</v>
      </c>
      <c r="I247" s="205"/>
    </row>
    <row r="248" spans="1:19" s="2" customFormat="1" ht="103.5" hidden="1" customHeight="1">
      <c r="A248" s="331">
        <v>27</v>
      </c>
      <c r="B248" s="1323" t="s">
        <v>911</v>
      </c>
      <c r="C248" s="1323"/>
      <c r="D248" s="1323"/>
      <c r="E248" s="1323"/>
      <c r="F248" s="1323"/>
      <c r="G248" s="275"/>
      <c r="H248" s="278"/>
      <c r="I248" s="205"/>
    </row>
    <row r="249" spans="1:19" s="2" customFormat="1" ht="11.25" hidden="1">
      <c r="A249" s="331"/>
      <c r="C249" s="2">
        <v>2</v>
      </c>
      <c r="G249" s="275">
        <f>C249</f>
        <v>2</v>
      </c>
      <c r="H249" s="330">
        <f>data1!G898</f>
        <v>7175.5</v>
      </c>
      <c r="I249" s="205"/>
      <c r="R249" s="205">
        <f>I249</f>
        <v>0</v>
      </c>
      <c r="S249" s="2">
        <f>SUM(J249:R249)</f>
        <v>0</v>
      </c>
    </row>
    <row r="250" spans="1:19" s="2" customFormat="1" ht="11.25" hidden="1">
      <c r="A250" s="331"/>
      <c r="G250" s="275"/>
      <c r="H250" s="278" t="s">
        <v>107</v>
      </c>
      <c r="I250" s="205"/>
    </row>
    <row r="251" spans="1:19" s="2" customFormat="1" ht="158.25" customHeight="1">
      <c r="A251" s="331">
        <v>28</v>
      </c>
      <c r="B251" s="1322" t="s">
        <v>720</v>
      </c>
      <c r="C251" s="1322"/>
      <c r="D251" s="1322"/>
      <c r="E251" s="1322"/>
      <c r="F251" s="1322"/>
      <c r="G251" s="275"/>
      <c r="H251" s="273"/>
      <c r="I251" s="205"/>
    </row>
    <row r="252" spans="1:19" s="2" customFormat="1" ht="11.25">
      <c r="A252" s="331"/>
      <c r="C252" s="2">
        <v>4</v>
      </c>
      <c r="D252" s="276">
        <v>1.5</v>
      </c>
      <c r="F252" s="2">
        <v>1.35</v>
      </c>
      <c r="G252" s="275">
        <v>0</v>
      </c>
      <c r="H252" s="330">
        <f>data1!G990</f>
        <v>7288</v>
      </c>
      <c r="I252" s="205">
        <f>ROUND((H252*G252)/1,0)</f>
        <v>0</v>
      </c>
      <c r="R252" s="205">
        <f>I252</f>
        <v>0</v>
      </c>
      <c r="S252" s="2">
        <f>SUM(J252:R252)</f>
        <v>0</v>
      </c>
    </row>
    <row r="253" spans="1:19" s="2" customFormat="1" ht="11.25">
      <c r="A253" s="331"/>
      <c r="G253" s="275" t="s">
        <v>114</v>
      </c>
      <c r="H253" s="273" t="s">
        <v>114</v>
      </c>
      <c r="I253" s="205"/>
    </row>
    <row r="254" spans="1:19" s="2" customFormat="1" ht="11.25">
      <c r="A254" s="331"/>
      <c r="B254" s="2" t="s">
        <v>1418</v>
      </c>
      <c r="C254" s="2">
        <v>1</v>
      </c>
      <c r="D254" s="2">
        <v>2.4</v>
      </c>
      <c r="F254" s="2">
        <v>2</v>
      </c>
      <c r="G254" s="275">
        <f>C254*D254*F254</f>
        <v>4.8</v>
      </c>
      <c r="H254" s="273"/>
      <c r="I254" s="205"/>
    </row>
    <row r="255" spans="1:19" s="2" customFormat="1" ht="11.25">
      <c r="A255" s="331"/>
      <c r="B255" s="2" t="s">
        <v>1419</v>
      </c>
      <c r="G255" s="275">
        <v>48</v>
      </c>
      <c r="H255" s="273"/>
      <c r="I255" s="205"/>
    </row>
    <row r="256" spans="1:19" s="2" customFormat="1" ht="11.25">
      <c r="A256" s="331"/>
      <c r="G256" s="275">
        <v>0</v>
      </c>
      <c r="H256" s="278">
        <f>H266</f>
        <v>51205</v>
      </c>
      <c r="I256" s="205">
        <f>ROUND((H256*G256/1000),0)</f>
        <v>0</v>
      </c>
    </row>
    <row r="257" spans="1:19" s="2" customFormat="1" ht="11.25">
      <c r="A257" s="331"/>
      <c r="G257" s="275"/>
      <c r="H257" s="273"/>
      <c r="I257" s="205"/>
    </row>
    <row r="258" spans="1:19" s="2" customFormat="1" ht="91.5" hidden="1" customHeight="1">
      <c r="A258" s="331">
        <v>22</v>
      </c>
      <c r="B258" s="1324" t="s">
        <v>1185</v>
      </c>
      <c r="C258" s="1325"/>
      <c r="D258" s="1325"/>
      <c r="E258" s="1325"/>
      <c r="F258" s="1325"/>
      <c r="G258" s="275"/>
      <c r="H258" s="273"/>
      <c r="I258" s="205"/>
    </row>
    <row r="259" spans="1:19" s="2" customFormat="1" ht="11.25" hidden="1">
      <c r="A259" s="331"/>
      <c r="B259" s="2" t="s">
        <v>1289</v>
      </c>
      <c r="C259" s="2">
        <v>1</v>
      </c>
      <c r="D259" s="2">
        <v>2.25</v>
      </c>
      <c r="E259" s="276">
        <v>1.2</v>
      </c>
      <c r="F259" s="276">
        <v>2.1</v>
      </c>
      <c r="G259" s="338">
        <f>ROUND(F259*E259*D259*C259,2)</f>
        <v>5.67</v>
      </c>
      <c r="H259" s="273"/>
      <c r="I259" s="205"/>
    </row>
    <row r="260" spans="1:19" s="2" customFormat="1" ht="11.25" hidden="1">
      <c r="A260" s="331"/>
      <c r="B260" s="2" t="s">
        <v>1290</v>
      </c>
      <c r="C260" s="2">
        <v>2</v>
      </c>
      <c r="D260" s="2">
        <v>2.25</v>
      </c>
      <c r="E260" s="2">
        <v>1.05</v>
      </c>
      <c r="F260" s="276">
        <v>2.1</v>
      </c>
      <c r="G260" s="338">
        <f>ROUND(F260*E260*D260*C260,2)</f>
        <v>9.92</v>
      </c>
      <c r="H260" s="273"/>
      <c r="I260" s="205"/>
    </row>
    <row r="261" spans="1:19" s="2" customFormat="1" ht="11.25" hidden="1">
      <c r="A261" s="331"/>
      <c r="G261" s="338">
        <v>0</v>
      </c>
      <c r="H261" s="539">
        <f>data1!G697</f>
        <v>183.19</v>
      </c>
      <c r="I261" s="205">
        <f>ROUND((H261*G261),0)</f>
        <v>0</v>
      </c>
      <c r="R261" s="205">
        <f>I261</f>
        <v>0</v>
      </c>
      <c r="S261" s="2">
        <f>SUM(J261:R261)</f>
        <v>0</v>
      </c>
    </row>
    <row r="262" spans="1:19" s="2" customFormat="1" ht="11.25" hidden="1">
      <c r="A262" s="331"/>
      <c r="G262" s="275" t="s">
        <v>114</v>
      </c>
      <c r="H262" s="273" t="s">
        <v>106</v>
      </c>
      <c r="I262" s="205"/>
    </row>
    <row r="263" spans="1:19" s="2" customFormat="1" ht="124.5" customHeight="1">
      <c r="A263" s="331">
        <v>29</v>
      </c>
      <c r="B263" s="1322" t="s">
        <v>1186</v>
      </c>
      <c r="C263" s="1322" t="s">
        <v>103</v>
      </c>
      <c r="D263" s="1322"/>
      <c r="E263" s="1322"/>
      <c r="F263" s="1322"/>
      <c r="G263" s="275"/>
    </row>
    <row r="264" spans="1:19" s="2" customFormat="1" ht="11.25">
      <c r="A264" s="331"/>
      <c r="B264" s="275" t="s">
        <v>1187</v>
      </c>
      <c r="C264" s="276"/>
      <c r="D264" s="273"/>
      <c r="E264" s="276"/>
      <c r="G264" s="338">
        <v>1638.5045500000001</v>
      </c>
      <c r="H264" s="273"/>
      <c r="I264" s="205"/>
    </row>
    <row r="265" spans="1:19" s="2" customFormat="1" ht="11.25">
      <c r="A265" s="331"/>
      <c r="B265" s="275" t="s">
        <v>1057</v>
      </c>
      <c r="C265" s="276"/>
      <c r="D265" s="273"/>
      <c r="E265" s="276"/>
      <c r="G265" s="338">
        <v>11.5</v>
      </c>
      <c r="H265" s="273"/>
      <c r="I265" s="205"/>
    </row>
    <row r="266" spans="1:19" s="2" customFormat="1" ht="11.25">
      <c r="A266" s="331"/>
      <c r="G266" s="338">
        <v>0</v>
      </c>
      <c r="H266" s="540">
        <f>data1!G345</f>
        <v>51205</v>
      </c>
      <c r="I266" s="205">
        <f>ROUND((H266*G266/1000),0)</f>
        <v>0</v>
      </c>
      <c r="Q266" s="205">
        <f>ROUND(G266*data1!O345/1000,0)</f>
        <v>0</v>
      </c>
      <c r="R266" s="276">
        <f>ROUND((data1!P345*G266)/1000,0)</f>
        <v>0</v>
      </c>
      <c r="S266" s="2">
        <f>SUM(J266:R266)</f>
        <v>0</v>
      </c>
    </row>
    <row r="267" spans="1:19" s="2" customFormat="1" ht="14.25" customHeight="1">
      <c r="A267" s="331"/>
      <c r="B267" s="281"/>
      <c r="G267" s="275" t="s">
        <v>113</v>
      </c>
      <c r="H267" s="273" t="s">
        <v>113</v>
      </c>
      <c r="I267" s="205"/>
    </row>
    <row r="268" spans="1:19" s="2" customFormat="1" ht="14.25" customHeight="1">
      <c r="A268" s="331"/>
      <c r="B268" s="281"/>
      <c r="G268" s="275"/>
      <c r="H268" s="273"/>
      <c r="I268" s="205"/>
    </row>
    <row r="269" spans="1:19" s="2" customFormat="1" ht="18" customHeight="1">
      <c r="A269" s="331"/>
      <c r="B269" s="281"/>
      <c r="G269" s="275"/>
      <c r="H269" s="273"/>
      <c r="I269" s="205">
        <f t="shared" ref="I269:S269" si="7">SUM(I8:I268)</f>
        <v>0</v>
      </c>
      <c r="J269" s="205">
        <f t="shared" si="7"/>
        <v>0</v>
      </c>
      <c r="K269" s="205">
        <f t="shared" si="7"/>
        <v>0</v>
      </c>
      <c r="L269" s="205">
        <f t="shared" si="7"/>
        <v>0</v>
      </c>
      <c r="M269" s="205">
        <f t="shared" si="7"/>
        <v>0</v>
      </c>
      <c r="N269" s="205">
        <f t="shared" si="7"/>
        <v>0</v>
      </c>
      <c r="O269" s="205">
        <f t="shared" si="7"/>
        <v>0</v>
      </c>
      <c r="P269" s="205">
        <f t="shared" si="7"/>
        <v>0</v>
      </c>
      <c r="Q269" s="205">
        <f t="shared" si="7"/>
        <v>0</v>
      </c>
      <c r="R269" s="205">
        <f t="shared" si="7"/>
        <v>0</v>
      </c>
      <c r="S269" s="205">
        <f t="shared" si="7"/>
        <v>0</v>
      </c>
    </row>
    <row r="270" spans="1:19" s="179" customFormat="1">
      <c r="G270" s="483"/>
      <c r="I270" s="204">
        <f>SUM(I269:I269)</f>
        <v>0</v>
      </c>
    </row>
    <row r="271" spans="1:19" s="179" customFormat="1">
      <c r="G271" s="483"/>
      <c r="I271" s="204"/>
    </row>
    <row r="272" spans="1:19" s="179" customFormat="1">
      <c r="G272" s="483"/>
      <c r="I272" s="204"/>
    </row>
    <row r="273" spans="2:11" s="179" customFormat="1">
      <c r="G273" s="483"/>
      <c r="I273" s="204"/>
    </row>
    <row r="274" spans="2:11" ht="17.25" customHeight="1"/>
    <row r="275" spans="2:11" s="179" customFormat="1">
      <c r="C275" s="274"/>
      <c r="D275" s="274"/>
      <c r="E275" s="406" t="s">
        <v>836</v>
      </c>
      <c r="G275" s="275"/>
      <c r="H275" s="1267" t="s">
        <v>1145</v>
      </c>
      <c r="I275" s="1267"/>
      <c r="J275" s="1267"/>
    </row>
    <row r="276" spans="2:11" s="179" customFormat="1">
      <c r="C276" s="274"/>
      <c r="D276" s="274"/>
      <c r="E276" s="406" t="s">
        <v>1369</v>
      </c>
      <c r="G276" s="483"/>
      <c r="H276" s="280"/>
      <c r="I276" s="280" t="s">
        <v>1368</v>
      </c>
      <c r="J276" s="280"/>
    </row>
    <row r="278" spans="2:11">
      <c r="B278" s="7"/>
      <c r="C278" s="7"/>
      <c r="D278" s="7"/>
      <c r="E278" s="7"/>
      <c r="F278" s="7"/>
      <c r="G278" s="484"/>
      <c r="H278" s="7"/>
      <c r="I278" s="7"/>
    </row>
    <row r="279" spans="2:11">
      <c r="B279" s="7"/>
      <c r="C279" s="7"/>
      <c r="D279" s="7"/>
      <c r="E279" s="7"/>
      <c r="F279" s="7"/>
      <c r="G279" s="484"/>
      <c r="H279" s="7"/>
      <c r="I279" s="7"/>
      <c r="K279" s="6"/>
    </row>
  </sheetData>
  <mergeCells count="53">
    <mergeCell ref="A1:I1"/>
    <mergeCell ref="A2:I2"/>
    <mergeCell ref="F3:H3"/>
    <mergeCell ref="C4:F4"/>
    <mergeCell ref="A5:A6"/>
    <mergeCell ref="B5:B6"/>
    <mergeCell ref="S5:S6"/>
    <mergeCell ref="B8:F8"/>
    <mergeCell ref="I5:I6"/>
    <mergeCell ref="J5:J6"/>
    <mergeCell ref="K5:K6"/>
    <mergeCell ref="L5:L6"/>
    <mergeCell ref="C5:C6"/>
    <mergeCell ref="D5:F5"/>
    <mergeCell ref="O5:O6"/>
    <mergeCell ref="P5:P6"/>
    <mergeCell ref="Q5:Q6"/>
    <mergeCell ref="R5:R6"/>
    <mergeCell ref="G5:G6"/>
    <mergeCell ref="H5:H6"/>
    <mergeCell ref="M5:M6"/>
    <mergeCell ref="N5:N6"/>
    <mergeCell ref="B146:F146"/>
    <mergeCell ref="B17:F17"/>
    <mergeCell ref="B38:F38"/>
    <mergeCell ref="B49:F49"/>
    <mergeCell ref="B52:F52"/>
    <mergeCell ref="B65:F65"/>
    <mergeCell ref="B81:F81"/>
    <mergeCell ref="B93:F93"/>
    <mergeCell ref="B114:F114"/>
    <mergeCell ref="B120:F120"/>
    <mergeCell ref="B132:F132"/>
    <mergeCell ref="B140:F140"/>
    <mergeCell ref="B147:D147"/>
    <mergeCell ref="B156:F156"/>
    <mergeCell ref="B166:F166"/>
    <mergeCell ref="B181:F181"/>
    <mergeCell ref="B187:F187"/>
    <mergeCell ref="H275:J275"/>
    <mergeCell ref="B177:F177"/>
    <mergeCell ref="B242:F242"/>
    <mergeCell ref="B245:F245"/>
    <mergeCell ref="B248:F248"/>
    <mergeCell ref="B251:F251"/>
    <mergeCell ref="B258:F258"/>
    <mergeCell ref="B263:F263"/>
    <mergeCell ref="B211:F211"/>
    <mergeCell ref="B215:F215"/>
    <mergeCell ref="B220:F220"/>
    <mergeCell ref="B231:F231"/>
    <mergeCell ref="B241:F241"/>
    <mergeCell ref="B206:F206"/>
  </mergeCells>
  <pageMargins left="0.7" right="0.7" top="0.75" bottom="0.75"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sheetPr>
    <tabColor rgb="FF00B0F0"/>
  </sheetPr>
  <dimension ref="A1:H58"/>
  <sheetViews>
    <sheetView view="pageBreakPreview" topLeftCell="A30" zoomScale="115" zoomScaleSheetLayoutView="115" workbookViewId="0">
      <selection activeCell="B32" sqref="B32"/>
    </sheetView>
  </sheetViews>
  <sheetFormatPr defaultRowHeight="12.75"/>
  <cols>
    <col min="1" max="1" width="9.140625" style="736"/>
    <col min="2" max="2" width="40.5703125" style="736" customWidth="1"/>
    <col min="3" max="4" width="9.140625" style="736"/>
    <col min="5" max="6" width="10.5703125" style="736" bestFit="1" customWidth="1"/>
  </cols>
  <sheetData>
    <row r="1" spans="1:6" ht="25.5" customHeight="1">
      <c r="A1" s="1343" t="s">
        <v>93</v>
      </c>
      <c r="B1" s="1344"/>
      <c r="C1" s="1344"/>
      <c r="D1" s="1344"/>
      <c r="E1" s="1344"/>
      <c r="F1" s="1344"/>
    </row>
    <row r="2" spans="1:6" s="557" customFormat="1" ht="30.75" customHeight="1">
      <c r="A2" s="748" t="s">
        <v>1831</v>
      </c>
      <c r="B2" s="1345" t="str">
        <f>'lead 1'!C2</f>
        <v>Constrution of Bharat Nirman Seva Kendra (BNSK) Grama Panchayat building in Gayamvaripalli  GP of H.M.Padu Mandal</v>
      </c>
      <c r="C2" s="1345"/>
      <c r="D2" s="1345"/>
      <c r="E2" s="1345"/>
      <c r="F2" s="1345"/>
    </row>
    <row r="3" spans="1:6" s="557" customFormat="1" ht="39.75" customHeight="1">
      <c r="A3" s="747" t="s">
        <v>1833</v>
      </c>
      <c r="B3" s="1346" t="s">
        <v>1834</v>
      </c>
      <c r="C3" s="1346"/>
      <c r="D3" s="1346"/>
      <c r="E3" s="1346"/>
      <c r="F3" s="1346"/>
    </row>
    <row r="4" spans="1:6" ht="26.25" customHeight="1">
      <c r="A4" s="733" t="s">
        <v>1813</v>
      </c>
      <c r="B4" s="733" t="s">
        <v>1814</v>
      </c>
      <c r="C4" s="733" t="s">
        <v>1815</v>
      </c>
      <c r="D4" s="734" t="s">
        <v>1816</v>
      </c>
      <c r="E4" s="733" t="s">
        <v>1817</v>
      </c>
      <c r="F4" s="734" t="s">
        <v>1818</v>
      </c>
    </row>
    <row r="5" spans="1:6" s="480" customFormat="1" ht="67.5">
      <c r="A5" s="738">
        <v>1</v>
      </c>
      <c r="B5" s="714" t="s">
        <v>1824</v>
      </c>
      <c r="C5" s="739">
        <v>50</v>
      </c>
      <c r="D5" s="740">
        <f>'Ele Data'!I20</f>
        <v>57.7</v>
      </c>
      <c r="E5" s="738" t="s">
        <v>1819</v>
      </c>
      <c r="F5" s="740">
        <f>ROUND(C5*D5,0)</f>
        <v>2885</v>
      </c>
    </row>
    <row r="6" spans="1:6" s="480" customFormat="1">
      <c r="A6" s="738"/>
      <c r="B6" s="714"/>
      <c r="C6" s="739"/>
      <c r="D6" s="740"/>
      <c r="E6" s="738"/>
      <c r="F6" s="740"/>
    </row>
    <row r="7" spans="1:6" s="480" customFormat="1">
      <c r="A7" s="738">
        <v>2</v>
      </c>
      <c r="B7" s="714" t="s">
        <v>1933</v>
      </c>
      <c r="C7" s="739">
        <v>50</v>
      </c>
      <c r="D7" s="740">
        <f>'Ele Data'!I24</f>
        <v>55</v>
      </c>
      <c r="E7" s="738" t="s">
        <v>1819</v>
      </c>
      <c r="F7" s="740">
        <f>ROUND(C7*D7,0)</f>
        <v>2750</v>
      </c>
    </row>
    <row r="8" spans="1:6" s="480" customFormat="1">
      <c r="A8" s="738"/>
      <c r="B8" s="714"/>
      <c r="C8" s="739"/>
      <c r="D8" s="740"/>
      <c r="E8" s="738"/>
      <c r="F8" s="740"/>
    </row>
    <row r="9" spans="1:6" s="480" customFormat="1" ht="90">
      <c r="A9" s="738">
        <v>3</v>
      </c>
      <c r="B9" s="714" t="s">
        <v>1677</v>
      </c>
      <c r="C9" s="739">
        <v>40</v>
      </c>
      <c r="D9" s="740">
        <f>'Ele Data'!I44</f>
        <v>72.2</v>
      </c>
      <c r="E9" s="738" t="s">
        <v>1819</v>
      </c>
      <c r="F9" s="740">
        <f>ROUND(C9*D9,0)</f>
        <v>2888</v>
      </c>
    </row>
    <row r="10" spans="1:6" s="480" customFormat="1">
      <c r="A10" s="738"/>
      <c r="B10" s="741"/>
      <c r="C10" s="739"/>
      <c r="D10" s="740"/>
      <c r="E10" s="738"/>
      <c r="F10" s="740"/>
    </row>
    <row r="11" spans="1:6" s="480" customFormat="1" ht="101.25">
      <c r="A11" s="738">
        <v>4</v>
      </c>
      <c r="B11" s="735" t="s">
        <v>1683</v>
      </c>
      <c r="C11" s="739">
        <v>20</v>
      </c>
      <c r="D11" s="740">
        <f>'Ele Data'!I65</f>
        <v>522</v>
      </c>
      <c r="E11" s="738" t="s">
        <v>1820</v>
      </c>
      <c r="F11" s="740">
        <f>ROUND(C11*D11,0)</f>
        <v>10440</v>
      </c>
    </row>
    <row r="12" spans="1:6" s="480" customFormat="1">
      <c r="A12" s="738"/>
      <c r="B12" s="741"/>
      <c r="C12" s="739"/>
      <c r="D12" s="740"/>
      <c r="E12" s="738"/>
      <c r="F12" s="740"/>
    </row>
    <row r="13" spans="1:6" s="480" customFormat="1" ht="58.5" customHeight="1">
      <c r="A13" s="738">
        <v>5</v>
      </c>
      <c r="B13" s="735" t="s">
        <v>1697</v>
      </c>
      <c r="C13" s="739">
        <v>6</v>
      </c>
      <c r="D13" s="740">
        <f>'Ele Data'!I81</f>
        <v>431</v>
      </c>
      <c r="E13" s="738" t="s">
        <v>1820</v>
      </c>
      <c r="F13" s="740">
        <f>ROUND(C13*D13,0)</f>
        <v>2586</v>
      </c>
    </row>
    <row r="14" spans="1:6" s="480" customFormat="1" hidden="1">
      <c r="A14" s="738"/>
      <c r="B14" s="741"/>
      <c r="C14" s="739"/>
      <c r="D14" s="740"/>
      <c r="E14" s="738"/>
      <c r="F14" s="740"/>
    </row>
    <row r="15" spans="1:6" s="480" customFormat="1" ht="101.25" hidden="1">
      <c r="A15" s="738">
        <v>5</v>
      </c>
      <c r="B15" s="735" t="s">
        <v>1702</v>
      </c>
      <c r="C15" s="739"/>
      <c r="D15" s="740">
        <f>'Ele Data'!I104</f>
        <v>564</v>
      </c>
      <c r="E15" s="738" t="s">
        <v>1820</v>
      </c>
      <c r="F15" s="740">
        <f>ROUND(C15*D15,0)</f>
        <v>0</v>
      </c>
    </row>
    <row r="16" spans="1:6" s="480" customFormat="1" hidden="1">
      <c r="A16" s="738"/>
      <c r="B16" s="741"/>
      <c r="C16" s="739"/>
      <c r="D16" s="740"/>
      <c r="E16" s="738"/>
      <c r="F16" s="740">
        <f>ROUND(C16*D16,0)</f>
        <v>0</v>
      </c>
    </row>
    <row r="17" spans="1:6" s="480" customFormat="1" ht="45">
      <c r="A17" s="738">
        <v>6</v>
      </c>
      <c r="B17" s="737" t="s">
        <v>1707</v>
      </c>
      <c r="C17" s="739">
        <v>30</v>
      </c>
      <c r="D17" s="740">
        <f>'Ele Data'!I122</f>
        <v>67</v>
      </c>
      <c r="E17" s="738" t="s">
        <v>1819</v>
      </c>
      <c r="F17" s="740">
        <f>ROUND(C17*D17,0)</f>
        <v>2010</v>
      </c>
    </row>
    <row r="18" spans="1:6" s="480" customFormat="1">
      <c r="A18" s="738"/>
      <c r="B18" s="741"/>
      <c r="C18" s="739"/>
      <c r="D18" s="740"/>
      <c r="E18" s="738"/>
      <c r="F18" s="740"/>
    </row>
    <row r="19" spans="1:6" s="480" customFormat="1" ht="56.25" hidden="1">
      <c r="A19" s="738">
        <v>7</v>
      </c>
      <c r="B19" s="737" t="s">
        <v>1713</v>
      </c>
      <c r="C19" s="739"/>
      <c r="D19" s="740">
        <f>'Ele Data'!I140</f>
        <v>85.6</v>
      </c>
      <c r="E19" s="738" t="s">
        <v>1819</v>
      </c>
      <c r="F19" s="740">
        <f>ROUND(C19*D19,0)</f>
        <v>0</v>
      </c>
    </row>
    <row r="20" spans="1:6" s="480" customFormat="1" hidden="1">
      <c r="A20" s="738"/>
      <c r="B20" s="741"/>
      <c r="C20" s="739"/>
      <c r="D20" s="740"/>
      <c r="E20" s="738"/>
      <c r="F20" s="740"/>
    </row>
    <row r="21" spans="1:6" s="480" customFormat="1" ht="56.25" hidden="1">
      <c r="A21" s="738">
        <v>8</v>
      </c>
      <c r="B21" s="735" t="s">
        <v>1716</v>
      </c>
      <c r="C21" s="739"/>
      <c r="D21" s="740">
        <f>'Ele Data'!I158</f>
        <v>113</v>
      </c>
      <c r="E21" s="738" t="s">
        <v>1819</v>
      </c>
      <c r="F21" s="740">
        <f>ROUND(C21*D21,0)</f>
        <v>0</v>
      </c>
    </row>
    <row r="22" spans="1:6" s="480" customFormat="1" hidden="1">
      <c r="A22" s="738"/>
      <c r="B22" s="741"/>
      <c r="C22" s="739"/>
      <c r="D22" s="740"/>
      <c r="E22" s="738"/>
      <c r="F22" s="740"/>
    </row>
    <row r="23" spans="1:6" s="480" customFormat="1" ht="45">
      <c r="A23" s="738">
        <v>7</v>
      </c>
      <c r="B23" s="735" t="s">
        <v>1720</v>
      </c>
      <c r="C23" s="739">
        <v>8</v>
      </c>
      <c r="D23" s="740">
        <f>'Ele Data'!I172</f>
        <v>67</v>
      </c>
      <c r="E23" s="738" t="s">
        <v>1820</v>
      </c>
      <c r="F23" s="740">
        <f>ROUND(C23*D23,0)</f>
        <v>536</v>
      </c>
    </row>
    <row r="24" spans="1:6" s="480" customFormat="1">
      <c r="A24" s="738"/>
      <c r="B24" s="741"/>
      <c r="C24" s="739"/>
      <c r="D24" s="740"/>
      <c r="E24" s="738"/>
      <c r="F24" s="740"/>
    </row>
    <row r="25" spans="1:6" s="480" customFormat="1" ht="56.25" hidden="1">
      <c r="A25" s="738">
        <v>10</v>
      </c>
      <c r="B25" s="735" t="s">
        <v>1726</v>
      </c>
      <c r="C25" s="739"/>
      <c r="D25" s="740">
        <f>'Ele Data'!I185</f>
        <v>113.6</v>
      </c>
      <c r="E25" s="738" t="s">
        <v>1820</v>
      </c>
      <c r="F25" s="740">
        <f>ROUND(C25*D25,0)</f>
        <v>0</v>
      </c>
    </row>
    <row r="26" spans="1:6" s="480" customFormat="1" hidden="1">
      <c r="A26" s="738"/>
      <c r="B26" s="735"/>
      <c r="C26" s="739"/>
      <c r="D26" s="740"/>
      <c r="E26" s="738"/>
      <c r="F26" s="740"/>
    </row>
    <row r="27" spans="1:6" s="480" customFormat="1" ht="58.5" customHeight="1">
      <c r="A27" s="738">
        <v>8</v>
      </c>
      <c r="B27" s="735" t="s">
        <v>1761</v>
      </c>
      <c r="C27" s="739">
        <v>6</v>
      </c>
      <c r="D27" s="742">
        <f>'Ele Data'!I279</f>
        <v>405</v>
      </c>
      <c r="E27" s="738" t="s">
        <v>1820</v>
      </c>
      <c r="F27" s="740">
        <f>ROUND(C27*D27,0)</f>
        <v>2430</v>
      </c>
    </row>
    <row r="28" spans="1:6" s="480" customFormat="1">
      <c r="A28" s="738"/>
      <c r="B28" s="735"/>
      <c r="C28" s="739"/>
      <c r="D28" s="740"/>
      <c r="E28" s="738"/>
      <c r="F28" s="740"/>
    </row>
    <row r="29" spans="1:6" s="480" customFormat="1" ht="56.25">
      <c r="A29" s="738">
        <v>9</v>
      </c>
      <c r="B29" s="735" t="s">
        <v>1810</v>
      </c>
      <c r="C29" s="739">
        <v>4</v>
      </c>
      <c r="D29" s="740">
        <f>'Ele Data'!I202</f>
        <v>2457</v>
      </c>
      <c r="E29" s="738" t="s">
        <v>1820</v>
      </c>
      <c r="F29" s="740">
        <f>ROUND(C29*D29,0)</f>
        <v>9828</v>
      </c>
    </row>
    <row r="30" spans="1:6" s="480" customFormat="1">
      <c r="A30" s="738"/>
      <c r="B30" s="741"/>
      <c r="C30" s="739"/>
      <c r="D30" s="740"/>
      <c r="E30" s="738"/>
      <c r="F30" s="740"/>
    </row>
    <row r="31" spans="1:6" s="480" customFormat="1" ht="33.75">
      <c r="A31" s="738">
        <v>10</v>
      </c>
      <c r="B31" s="714" t="s">
        <v>1811</v>
      </c>
      <c r="C31" s="739">
        <v>4</v>
      </c>
      <c r="D31" s="740">
        <f>'Ele Data'!I216</f>
        <v>497</v>
      </c>
      <c r="E31" s="738" t="s">
        <v>1820</v>
      </c>
      <c r="F31" s="740">
        <f>ROUND(C31*D31,0)</f>
        <v>1988</v>
      </c>
    </row>
    <row r="32" spans="1:6" s="480" customFormat="1">
      <c r="A32" s="738"/>
      <c r="B32" s="741"/>
      <c r="C32" s="739"/>
      <c r="D32" s="740"/>
      <c r="E32" s="738"/>
      <c r="F32" s="740"/>
    </row>
    <row r="33" spans="1:6" s="480" customFormat="1" ht="33.75">
      <c r="A33" s="738">
        <v>11</v>
      </c>
      <c r="B33" s="735" t="s">
        <v>1745</v>
      </c>
      <c r="C33" s="739">
        <v>4</v>
      </c>
      <c r="D33" s="740">
        <f>'Ele Data'!I230</f>
        <v>272.8</v>
      </c>
      <c r="E33" s="738" t="s">
        <v>1820</v>
      </c>
      <c r="F33" s="740">
        <f>ROUND(C33*D33,0)</f>
        <v>1091</v>
      </c>
    </row>
    <row r="34" spans="1:6" s="480" customFormat="1">
      <c r="A34" s="738"/>
      <c r="B34" s="741"/>
      <c r="C34" s="739"/>
      <c r="D34" s="740"/>
      <c r="E34" s="738"/>
      <c r="F34" s="740"/>
    </row>
    <row r="35" spans="1:6" s="480" customFormat="1" ht="45">
      <c r="A35" s="738">
        <v>12</v>
      </c>
      <c r="B35" s="735" t="s">
        <v>1751</v>
      </c>
      <c r="C35" s="739">
        <v>4</v>
      </c>
      <c r="D35" s="740">
        <f>'Ele Data'!I242</f>
        <v>132</v>
      </c>
      <c r="E35" s="738" t="s">
        <v>1820</v>
      </c>
      <c r="F35" s="740">
        <f>ROUND(C35*D35,0)</f>
        <v>528</v>
      </c>
    </row>
    <row r="36" spans="1:6" s="480" customFormat="1">
      <c r="A36" s="738"/>
      <c r="B36" s="741"/>
      <c r="C36" s="739"/>
      <c r="D36" s="740"/>
      <c r="E36" s="738"/>
      <c r="F36" s="740"/>
    </row>
    <row r="37" spans="1:6" s="480" customFormat="1" ht="45" hidden="1">
      <c r="A37" s="738">
        <v>16</v>
      </c>
      <c r="B37" s="735" t="s">
        <v>1754</v>
      </c>
      <c r="C37" s="739">
        <v>2</v>
      </c>
      <c r="D37" s="740">
        <f>'Ele Data'!I263</f>
        <v>2076</v>
      </c>
      <c r="E37" s="738" t="s">
        <v>1820</v>
      </c>
      <c r="F37" s="740"/>
    </row>
    <row r="38" spans="1:6" s="480" customFormat="1" hidden="1">
      <c r="A38" s="738"/>
      <c r="B38" s="741"/>
      <c r="C38" s="739"/>
      <c r="D38" s="740"/>
      <c r="E38" s="738"/>
      <c r="F38" s="740"/>
    </row>
    <row r="39" spans="1:6" s="480" customFormat="1" ht="56.25">
      <c r="A39" s="738">
        <v>13</v>
      </c>
      <c r="B39" s="735" t="s">
        <v>1765</v>
      </c>
      <c r="C39" s="739">
        <v>1</v>
      </c>
      <c r="D39" s="740">
        <f>'Ele Data'!I295</f>
        <v>1227</v>
      </c>
      <c r="E39" s="738" t="s">
        <v>1820</v>
      </c>
      <c r="F39" s="740">
        <f>ROUND(C39*D39,0)</f>
        <v>1227</v>
      </c>
    </row>
    <row r="40" spans="1:6" s="480" customFormat="1">
      <c r="A40" s="738"/>
      <c r="B40" s="741"/>
      <c r="C40" s="739"/>
      <c r="D40" s="740"/>
      <c r="E40" s="738"/>
      <c r="F40" s="740"/>
    </row>
    <row r="41" spans="1:6" s="480" customFormat="1" ht="78.75">
      <c r="A41" s="738">
        <v>14</v>
      </c>
      <c r="B41" s="735" t="s">
        <v>1773</v>
      </c>
      <c r="C41" s="739">
        <v>1</v>
      </c>
      <c r="D41" s="740">
        <f>'Ele Data'!I315</f>
        <v>10532</v>
      </c>
      <c r="E41" s="738" t="s">
        <v>1820</v>
      </c>
      <c r="F41" s="740">
        <f>ROUND(C41*D41,0)</f>
        <v>10532</v>
      </c>
    </row>
    <row r="42" spans="1:6" s="480" customFormat="1">
      <c r="A42" s="738"/>
      <c r="B42" s="741"/>
      <c r="C42" s="739"/>
      <c r="D42" s="740"/>
      <c r="E42" s="738"/>
      <c r="F42" s="740"/>
    </row>
    <row r="43" spans="1:6" s="480" customFormat="1" ht="56.25" hidden="1">
      <c r="A43" s="738">
        <v>19</v>
      </c>
      <c r="B43" s="735" t="s">
        <v>1782</v>
      </c>
      <c r="C43" s="739"/>
      <c r="D43" s="740">
        <f>'Ele Data'!I333</f>
        <v>297.8</v>
      </c>
      <c r="E43" s="738" t="s">
        <v>1819</v>
      </c>
      <c r="F43" s="740">
        <f>ROUND(C43*D43,0)</f>
        <v>0</v>
      </c>
    </row>
    <row r="44" spans="1:6" s="480" customFormat="1" hidden="1">
      <c r="A44" s="738"/>
      <c r="B44" s="741"/>
      <c r="C44" s="739"/>
      <c r="D44" s="740"/>
      <c r="E44" s="738"/>
      <c r="F44" s="740"/>
    </row>
    <row r="45" spans="1:6" s="480" customFormat="1" ht="101.25">
      <c r="A45" s="738">
        <v>15</v>
      </c>
      <c r="B45" s="735" t="s">
        <v>1787</v>
      </c>
      <c r="C45" s="739">
        <v>1</v>
      </c>
      <c r="D45" s="740">
        <f>'Ele Data'!I357</f>
        <v>3390</v>
      </c>
      <c r="E45" s="738" t="s">
        <v>1821</v>
      </c>
      <c r="F45" s="740">
        <f>ROUND(C45*D45,0)</f>
        <v>3390</v>
      </c>
    </row>
    <row r="46" spans="1:6" s="480" customFormat="1" hidden="1">
      <c r="A46" s="738"/>
      <c r="B46" s="741"/>
      <c r="C46" s="739"/>
      <c r="D46" s="740"/>
      <c r="E46" s="738"/>
      <c r="F46" s="740"/>
    </row>
    <row r="47" spans="1:6" s="480" customFormat="1" ht="123.75" hidden="1">
      <c r="A47" s="738">
        <v>21</v>
      </c>
      <c r="B47" s="735" t="s">
        <v>1832</v>
      </c>
      <c r="C47" s="739"/>
      <c r="D47" s="740">
        <f>'Ele Data'!I391</f>
        <v>32</v>
      </c>
      <c r="E47" s="738" t="s">
        <v>1819</v>
      </c>
      <c r="F47" s="740">
        <f>ROUND(C47*D47,0)</f>
        <v>0</v>
      </c>
    </row>
    <row r="48" spans="1:6" s="480" customFormat="1" hidden="1">
      <c r="A48" s="738"/>
      <c r="B48" s="741"/>
      <c r="C48" s="739"/>
      <c r="D48" s="740"/>
      <c r="E48" s="738"/>
      <c r="F48" s="740"/>
    </row>
    <row r="49" spans="1:8" s="480" customFormat="1" ht="33.75" hidden="1">
      <c r="A49" s="738">
        <v>22</v>
      </c>
      <c r="B49" s="735" t="s">
        <v>1812</v>
      </c>
      <c r="C49" s="739"/>
      <c r="D49" s="740">
        <f>'Ele Data'!I371</f>
        <v>29.7</v>
      </c>
      <c r="E49" s="738" t="s">
        <v>1819</v>
      </c>
      <c r="F49" s="740">
        <f>ROUND(C49*D49,0)</f>
        <v>0</v>
      </c>
    </row>
    <row r="50" spans="1:8" s="480" customFormat="1" hidden="1">
      <c r="A50" s="738"/>
      <c r="B50" s="735"/>
      <c r="C50" s="739"/>
      <c r="D50" s="740"/>
      <c r="E50" s="738"/>
      <c r="F50" s="740"/>
    </row>
    <row r="51" spans="1:8" s="480" customFormat="1" hidden="1">
      <c r="A51" s="738">
        <v>23</v>
      </c>
      <c r="B51" s="735" t="s">
        <v>1822</v>
      </c>
      <c r="C51" s="741"/>
      <c r="D51" s="741"/>
      <c r="E51" s="741"/>
      <c r="F51" s="743"/>
      <c r="H51" s="744">
        <f>F51+G54</f>
        <v>294891</v>
      </c>
    </row>
    <row r="52" spans="1:8" s="480" customFormat="1">
      <c r="A52" s="741"/>
      <c r="B52" s="745" t="s">
        <v>1823</v>
      </c>
      <c r="C52" s="741"/>
      <c r="D52" s="741"/>
      <c r="E52" s="741"/>
      <c r="F52" s="743">
        <f>SUM(F5:F51)</f>
        <v>55109</v>
      </c>
    </row>
    <row r="53" spans="1:8">
      <c r="H53" s="3"/>
    </row>
    <row r="54" spans="1:8">
      <c r="G54" s="3">
        <f>350000-F52</f>
        <v>294891</v>
      </c>
    </row>
    <row r="56" spans="1:8">
      <c r="B56" s="746" t="str">
        <f>'lead 1'!I37</f>
        <v>Deputy Executive Engineer</v>
      </c>
      <c r="E56" s="746" t="str">
        <f>'lead 1'!L37</f>
        <v>Assistant Engineer</v>
      </c>
    </row>
    <row r="57" spans="1:8">
      <c r="B57" s="746" t="str">
        <f>'lead 1'!I38</f>
        <v>PRI Sub Division</v>
      </c>
      <c r="E57" s="746" t="str">
        <f>'lead 1'!L38</f>
        <v>Mandal Praja parishad</v>
      </c>
    </row>
    <row r="58" spans="1:8">
      <c r="B58" s="746" t="str">
        <f>'lead 1'!I39</f>
        <v>Kanigiri</v>
      </c>
      <c r="E58" s="746" t="str">
        <f>'lead 1'!L39</f>
        <v>H.M.Padu</v>
      </c>
    </row>
  </sheetData>
  <mergeCells count="3">
    <mergeCell ref="A1:F1"/>
    <mergeCell ref="B2:F2"/>
    <mergeCell ref="B3:F3"/>
  </mergeCells>
  <pageMargins left="0.7" right="0.7" top="0.35" bottom="0.23"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sheetPr>
    <tabColor rgb="FF00B0F0"/>
  </sheetPr>
  <dimension ref="A1:Y134"/>
  <sheetViews>
    <sheetView defaultGridColor="0" view="pageBreakPreview" topLeftCell="A14" colorId="8" zoomScale="85" zoomScaleSheetLayoutView="85" workbookViewId="0">
      <selection activeCell="B32" sqref="B32"/>
    </sheetView>
  </sheetViews>
  <sheetFormatPr defaultRowHeight="12.75"/>
  <cols>
    <col min="1" max="1" width="5" style="836" customWidth="1"/>
    <col min="2" max="2" width="29.42578125" style="836" customWidth="1"/>
    <col min="3" max="3" width="9.85546875" style="836" customWidth="1"/>
    <col min="4" max="4" width="11.7109375" style="836" hidden="1" customWidth="1"/>
    <col min="5" max="5" width="13.42578125" style="836" hidden="1" customWidth="1"/>
    <col min="6" max="6" width="20.7109375" style="836" hidden="1" customWidth="1"/>
    <col min="7" max="7" width="9.85546875" style="836" customWidth="1"/>
    <col min="8" max="8" width="5.7109375" style="836" customWidth="1"/>
    <col min="9" max="9" width="5" style="836" customWidth="1"/>
    <col min="10" max="10" width="8.28515625" style="875" customWidth="1"/>
    <col min="11" max="11" width="7.5703125" style="836" customWidth="1"/>
    <col min="12" max="12" width="7.85546875" style="875" customWidth="1"/>
    <col min="13" max="13" width="6.7109375" style="836" customWidth="1"/>
    <col min="14" max="14" width="8.5703125" style="875" customWidth="1"/>
    <col min="15" max="15" width="7.5703125" style="875" customWidth="1"/>
    <col min="16" max="16" width="7.42578125" style="836" customWidth="1"/>
    <col min="17" max="17" width="7.5703125" style="875" customWidth="1"/>
    <col min="18" max="18" width="8.140625" style="836" customWidth="1"/>
    <col min="19" max="19" width="7.5703125" style="836" customWidth="1"/>
    <col min="20" max="20" width="8" style="836" customWidth="1"/>
    <col min="21" max="21" width="7.5703125" style="836" customWidth="1"/>
    <col min="22" max="23" width="10.85546875" style="836" customWidth="1"/>
    <col min="24" max="25" width="10.5703125" style="875" customWidth="1"/>
    <col min="26" max="26" width="9.7109375" style="836" bestFit="1" customWidth="1"/>
    <col min="27" max="270" width="9.140625" style="836"/>
    <col min="271" max="271" width="5" style="836" customWidth="1"/>
    <col min="272" max="272" width="20.28515625" style="836" customWidth="1"/>
    <col min="273" max="273" width="6.7109375" style="836" customWidth="1"/>
    <col min="274" max="274" width="10.42578125" style="836" customWidth="1"/>
    <col min="275" max="275" width="3.7109375" style="836" customWidth="1"/>
    <col min="276" max="276" width="15.85546875" style="836" customWidth="1"/>
    <col min="277" max="277" width="3.5703125" style="836" customWidth="1"/>
    <col min="278" max="278" width="10.42578125" style="836" customWidth="1"/>
    <col min="279" max="279" width="9.7109375" style="836" customWidth="1"/>
    <col min="280" max="280" width="10.85546875" style="836" customWidth="1"/>
    <col min="281" max="281" width="10.5703125" style="836" customWidth="1"/>
    <col min="282" max="282" width="9.7109375" style="836" bestFit="1" customWidth="1"/>
    <col min="283" max="526" width="9.140625" style="836"/>
    <col min="527" max="527" width="5" style="836" customWidth="1"/>
    <col min="528" max="528" width="20.28515625" style="836" customWidth="1"/>
    <col min="529" max="529" width="6.7109375" style="836" customWidth="1"/>
    <col min="530" max="530" width="10.42578125" style="836" customWidth="1"/>
    <col min="531" max="531" width="3.7109375" style="836" customWidth="1"/>
    <col min="532" max="532" width="15.85546875" style="836" customWidth="1"/>
    <col min="533" max="533" width="3.5703125" style="836" customWidth="1"/>
    <col min="534" max="534" width="10.42578125" style="836" customWidth="1"/>
    <col min="535" max="535" width="9.7109375" style="836" customWidth="1"/>
    <col min="536" max="536" width="10.85546875" style="836" customWidth="1"/>
    <col min="537" max="537" width="10.5703125" style="836" customWidth="1"/>
    <col min="538" max="538" width="9.7109375" style="836" bestFit="1" customWidth="1"/>
    <col min="539" max="782" width="9.140625" style="836"/>
    <col min="783" max="783" width="5" style="836" customWidth="1"/>
    <col min="784" max="784" width="20.28515625" style="836" customWidth="1"/>
    <col min="785" max="785" width="6.7109375" style="836" customWidth="1"/>
    <col min="786" max="786" width="10.42578125" style="836" customWidth="1"/>
    <col min="787" max="787" width="3.7109375" style="836" customWidth="1"/>
    <col min="788" max="788" width="15.85546875" style="836" customWidth="1"/>
    <col min="789" max="789" width="3.5703125" style="836" customWidth="1"/>
    <col min="790" max="790" width="10.42578125" style="836" customWidth="1"/>
    <col min="791" max="791" width="9.7109375" style="836" customWidth="1"/>
    <col min="792" max="792" width="10.85546875" style="836" customWidth="1"/>
    <col min="793" max="793" width="10.5703125" style="836" customWidth="1"/>
    <col min="794" max="794" width="9.7109375" style="836" bestFit="1" customWidth="1"/>
    <col min="795" max="1038" width="9.140625" style="836"/>
    <col min="1039" max="1039" width="5" style="836" customWidth="1"/>
    <col min="1040" max="1040" width="20.28515625" style="836" customWidth="1"/>
    <col min="1041" max="1041" width="6.7109375" style="836" customWidth="1"/>
    <col min="1042" max="1042" width="10.42578125" style="836" customWidth="1"/>
    <col min="1043" max="1043" width="3.7109375" style="836" customWidth="1"/>
    <col min="1044" max="1044" width="15.85546875" style="836" customWidth="1"/>
    <col min="1045" max="1045" width="3.5703125" style="836" customWidth="1"/>
    <col min="1046" max="1046" width="10.42578125" style="836" customWidth="1"/>
    <col min="1047" max="1047" width="9.7109375" style="836" customWidth="1"/>
    <col min="1048" max="1048" width="10.85546875" style="836" customWidth="1"/>
    <col min="1049" max="1049" width="10.5703125" style="836" customWidth="1"/>
    <col min="1050" max="1050" width="9.7109375" style="836" bestFit="1" customWidth="1"/>
    <col min="1051" max="1294" width="9.140625" style="836"/>
    <col min="1295" max="1295" width="5" style="836" customWidth="1"/>
    <col min="1296" max="1296" width="20.28515625" style="836" customWidth="1"/>
    <col min="1297" max="1297" width="6.7109375" style="836" customWidth="1"/>
    <col min="1298" max="1298" width="10.42578125" style="836" customWidth="1"/>
    <col min="1299" max="1299" width="3.7109375" style="836" customWidth="1"/>
    <col min="1300" max="1300" width="15.85546875" style="836" customWidth="1"/>
    <col min="1301" max="1301" width="3.5703125" style="836" customWidth="1"/>
    <col min="1302" max="1302" width="10.42578125" style="836" customWidth="1"/>
    <col min="1303" max="1303" width="9.7109375" style="836" customWidth="1"/>
    <col min="1304" max="1304" width="10.85546875" style="836" customWidth="1"/>
    <col min="1305" max="1305" width="10.5703125" style="836" customWidth="1"/>
    <col min="1306" max="1306" width="9.7109375" style="836" bestFit="1" customWidth="1"/>
    <col min="1307" max="1550" width="9.140625" style="836"/>
    <col min="1551" max="1551" width="5" style="836" customWidth="1"/>
    <col min="1552" max="1552" width="20.28515625" style="836" customWidth="1"/>
    <col min="1553" max="1553" width="6.7109375" style="836" customWidth="1"/>
    <col min="1554" max="1554" width="10.42578125" style="836" customWidth="1"/>
    <col min="1555" max="1555" width="3.7109375" style="836" customWidth="1"/>
    <col min="1556" max="1556" width="15.85546875" style="836" customWidth="1"/>
    <col min="1557" max="1557" width="3.5703125" style="836" customWidth="1"/>
    <col min="1558" max="1558" width="10.42578125" style="836" customWidth="1"/>
    <col min="1559" max="1559" width="9.7109375" style="836" customWidth="1"/>
    <col min="1560" max="1560" width="10.85546875" style="836" customWidth="1"/>
    <col min="1561" max="1561" width="10.5703125" style="836" customWidth="1"/>
    <col min="1562" max="1562" width="9.7109375" style="836" bestFit="1" customWidth="1"/>
    <col min="1563" max="1806" width="9.140625" style="836"/>
    <col min="1807" max="1807" width="5" style="836" customWidth="1"/>
    <col min="1808" max="1808" width="20.28515625" style="836" customWidth="1"/>
    <col min="1809" max="1809" width="6.7109375" style="836" customWidth="1"/>
    <col min="1810" max="1810" width="10.42578125" style="836" customWidth="1"/>
    <col min="1811" max="1811" width="3.7109375" style="836" customWidth="1"/>
    <col min="1812" max="1812" width="15.85546875" style="836" customWidth="1"/>
    <col min="1813" max="1813" width="3.5703125" style="836" customWidth="1"/>
    <col min="1814" max="1814" width="10.42578125" style="836" customWidth="1"/>
    <col min="1815" max="1815" width="9.7109375" style="836" customWidth="1"/>
    <col min="1816" max="1816" width="10.85546875" style="836" customWidth="1"/>
    <col min="1817" max="1817" width="10.5703125" style="836" customWidth="1"/>
    <col min="1818" max="1818" width="9.7109375" style="836" bestFit="1" customWidth="1"/>
    <col min="1819" max="2062" width="9.140625" style="836"/>
    <col min="2063" max="2063" width="5" style="836" customWidth="1"/>
    <col min="2064" max="2064" width="20.28515625" style="836" customWidth="1"/>
    <col min="2065" max="2065" width="6.7109375" style="836" customWidth="1"/>
    <col min="2066" max="2066" width="10.42578125" style="836" customWidth="1"/>
    <col min="2067" max="2067" width="3.7109375" style="836" customWidth="1"/>
    <col min="2068" max="2068" width="15.85546875" style="836" customWidth="1"/>
    <col min="2069" max="2069" width="3.5703125" style="836" customWidth="1"/>
    <col min="2070" max="2070" width="10.42578125" style="836" customWidth="1"/>
    <col min="2071" max="2071" width="9.7109375" style="836" customWidth="1"/>
    <col min="2072" max="2072" width="10.85546875" style="836" customWidth="1"/>
    <col min="2073" max="2073" width="10.5703125" style="836" customWidth="1"/>
    <col min="2074" max="2074" width="9.7109375" style="836" bestFit="1" customWidth="1"/>
    <col min="2075" max="2318" width="9.140625" style="836"/>
    <col min="2319" max="2319" width="5" style="836" customWidth="1"/>
    <col min="2320" max="2320" width="20.28515625" style="836" customWidth="1"/>
    <col min="2321" max="2321" width="6.7109375" style="836" customWidth="1"/>
    <col min="2322" max="2322" width="10.42578125" style="836" customWidth="1"/>
    <col min="2323" max="2323" width="3.7109375" style="836" customWidth="1"/>
    <col min="2324" max="2324" width="15.85546875" style="836" customWidth="1"/>
    <col min="2325" max="2325" width="3.5703125" style="836" customWidth="1"/>
    <col min="2326" max="2326" width="10.42578125" style="836" customWidth="1"/>
    <col min="2327" max="2327" width="9.7109375" style="836" customWidth="1"/>
    <col min="2328" max="2328" width="10.85546875" style="836" customWidth="1"/>
    <col min="2329" max="2329" width="10.5703125" style="836" customWidth="1"/>
    <col min="2330" max="2330" width="9.7109375" style="836" bestFit="1" customWidth="1"/>
    <col min="2331" max="2574" width="9.140625" style="836"/>
    <col min="2575" max="2575" width="5" style="836" customWidth="1"/>
    <col min="2576" max="2576" width="20.28515625" style="836" customWidth="1"/>
    <col min="2577" max="2577" width="6.7109375" style="836" customWidth="1"/>
    <col min="2578" max="2578" width="10.42578125" style="836" customWidth="1"/>
    <col min="2579" max="2579" width="3.7109375" style="836" customWidth="1"/>
    <col min="2580" max="2580" width="15.85546875" style="836" customWidth="1"/>
    <col min="2581" max="2581" width="3.5703125" style="836" customWidth="1"/>
    <col min="2582" max="2582" width="10.42578125" style="836" customWidth="1"/>
    <col min="2583" max="2583" width="9.7109375" style="836" customWidth="1"/>
    <col min="2584" max="2584" width="10.85546875" style="836" customWidth="1"/>
    <col min="2585" max="2585" width="10.5703125" style="836" customWidth="1"/>
    <col min="2586" max="2586" width="9.7109375" style="836" bestFit="1" customWidth="1"/>
    <col min="2587" max="2830" width="9.140625" style="836"/>
    <col min="2831" max="2831" width="5" style="836" customWidth="1"/>
    <col min="2832" max="2832" width="20.28515625" style="836" customWidth="1"/>
    <col min="2833" max="2833" width="6.7109375" style="836" customWidth="1"/>
    <col min="2834" max="2834" width="10.42578125" style="836" customWidth="1"/>
    <col min="2835" max="2835" width="3.7109375" style="836" customWidth="1"/>
    <col min="2836" max="2836" width="15.85546875" style="836" customWidth="1"/>
    <col min="2837" max="2837" width="3.5703125" style="836" customWidth="1"/>
    <col min="2838" max="2838" width="10.42578125" style="836" customWidth="1"/>
    <col min="2839" max="2839" width="9.7109375" style="836" customWidth="1"/>
    <col min="2840" max="2840" width="10.85546875" style="836" customWidth="1"/>
    <col min="2841" max="2841" width="10.5703125" style="836" customWidth="1"/>
    <col min="2842" max="2842" width="9.7109375" style="836" bestFit="1" customWidth="1"/>
    <col min="2843" max="3086" width="9.140625" style="836"/>
    <col min="3087" max="3087" width="5" style="836" customWidth="1"/>
    <col min="3088" max="3088" width="20.28515625" style="836" customWidth="1"/>
    <col min="3089" max="3089" width="6.7109375" style="836" customWidth="1"/>
    <col min="3090" max="3090" width="10.42578125" style="836" customWidth="1"/>
    <col min="3091" max="3091" width="3.7109375" style="836" customWidth="1"/>
    <col min="3092" max="3092" width="15.85546875" style="836" customWidth="1"/>
    <col min="3093" max="3093" width="3.5703125" style="836" customWidth="1"/>
    <col min="3094" max="3094" width="10.42578125" style="836" customWidth="1"/>
    <col min="3095" max="3095" width="9.7109375" style="836" customWidth="1"/>
    <col min="3096" max="3096" width="10.85546875" style="836" customWidth="1"/>
    <col min="3097" max="3097" width="10.5703125" style="836" customWidth="1"/>
    <col min="3098" max="3098" width="9.7109375" style="836" bestFit="1" customWidth="1"/>
    <col min="3099" max="3342" width="9.140625" style="836"/>
    <col min="3343" max="3343" width="5" style="836" customWidth="1"/>
    <col min="3344" max="3344" width="20.28515625" style="836" customWidth="1"/>
    <col min="3345" max="3345" width="6.7109375" style="836" customWidth="1"/>
    <col min="3346" max="3346" width="10.42578125" style="836" customWidth="1"/>
    <col min="3347" max="3347" width="3.7109375" style="836" customWidth="1"/>
    <col min="3348" max="3348" width="15.85546875" style="836" customWidth="1"/>
    <col min="3349" max="3349" width="3.5703125" style="836" customWidth="1"/>
    <col min="3350" max="3350" width="10.42578125" style="836" customWidth="1"/>
    <col min="3351" max="3351" width="9.7109375" style="836" customWidth="1"/>
    <col min="3352" max="3352" width="10.85546875" style="836" customWidth="1"/>
    <col min="3353" max="3353" width="10.5703125" style="836" customWidth="1"/>
    <col min="3354" max="3354" width="9.7109375" style="836" bestFit="1" customWidth="1"/>
    <col min="3355" max="3598" width="9.140625" style="836"/>
    <col min="3599" max="3599" width="5" style="836" customWidth="1"/>
    <col min="3600" max="3600" width="20.28515625" style="836" customWidth="1"/>
    <col min="3601" max="3601" width="6.7109375" style="836" customWidth="1"/>
    <col min="3602" max="3602" width="10.42578125" style="836" customWidth="1"/>
    <col min="3603" max="3603" width="3.7109375" style="836" customWidth="1"/>
    <col min="3604" max="3604" width="15.85546875" style="836" customWidth="1"/>
    <col min="3605" max="3605" width="3.5703125" style="836" customWidth="1"/>
    <col min="3606" max="3606" width="10.42578125" style="836" customWidth="1"/>
    <col min="3607" max="3607" width="9.7109375" style="836" customWidth="1"/>
    <col min="3608" max="3608" width="10.85546875" style="836" customWidth="1"/>
    <col min="3609" max="3609" width="10.5703125" style="836" customWidth="1"/>
    <col min="3610" max="3610" width="9.7109375" style="836" bestFit="1" customWidth="1"/>
    <col min="3611" max="3854" width="9.140625" style="836"/>
    <col min="3855" max="3855" width="5" style="836" customWidth="1"/>
    <col min="3856" max="3856" width="20.28515625" style="836" customWidth="1"/>
    <col min="3857" max="3857" width="6.7109375" style="836" customWidth="1"/>
    <col min="3858" max="3858" width="10.42578125" style="836" customWidth="1"/>
    <col min="3859" max="3859" width="3.7109375" style="836" customWidth="1"/>
    <col min="3860" max="3860" width="15.85546875" style="836" customWidth="1"/>
    <col min="3861" max="3861" width="3.5703125" style="836" customWidth="1"/>
    <col min="3862" max="3862" width="10.42578125" style="836" customWidth="1"/>
    <col min="3863" max="3863" width="9.7109375" style="836" customWidth="1"/>
    <col min="3864" max="3864" width="10.85546875" style="836" customWidth="1"/>
    <col min="3865" max="3865" width="10.5703125" style="836" customWidth="1"/>
    <col min="3866" max="3866" width="9.7109375" style="836" bestFit="1" customWidth="1"/>
    <col min="3867" max="4110" width="9.140625" style="836"/>
    <col min="4111" max="4111" width="5" style="836" customWidth="1"/>
    <col min="4112" max="4112" width="20.28515625" style="836" customWidth="1"/>
    <col min="4113" max="4113" width="6.7109375" style="836" customWidth="1"/>
    <col min="4114" max="4114" width="10.42578125" style="836" customWidth="1"/>
    <col min="4115" max="4115" width="3.7109375" style="836" customWidth="1"/>
    <col min="4116" max="4116" width="15.85546875" style="836" customWidth="1"/>
    <col min="4117" max="4117" width="3.5703125" style="836" customWidth="1"/>
    <col min="4118" max="4118" width="10.42578125" style="836" customWidth="1"/>
    <col min="4119" max="4119" width="9.7109375" style="836" customWidth="1"/>
    <col min="4120" max="4120" width="10.85546875" style="836" customWidth="1"/>
    <col min="4121" max="4121" width="10.5703125" style="836" customWidth="1"/>
    <col min="4122" max="4122" width="9.7109375" style="836" bestFit="1" customWidth="1"/>
    <col min="4123" max="4366" width="9.140625" style="836"/>
    <col min="4367" max="4367" width="5" style="836" customWidth="1"/>
    <col min="4368" max="4368" width="20.28515625" style="836" customWidth="1"/>
    <col min="4369" max="4369" width="6.7109375" style="836" customWidth="1"/>
    <col min="4370" max="4370" width="10.42578125" style="836" customWidth="1"/>
    <col min="4371" max="4371" width="3.7109375" style="836" customWidth="1"/>
    <col min="4372" max="4372" width="15.85546875" style="836" customWidth="1"/>
    <col min="4373" max="4373" width="3.5703125" style="836" customWidth="1"/>
    <col min="4374" max="4374" width="10.42578125" style="836" customWidth="1"/>
    <col min="4375" max="4375" width="9.7109375" style="836" customWidth="1"/>
    <col min="4376" max="4376" width="10.85546875" style="836" customWidth="1"/>
    <col min="4377" max="4377" width="10.5703125" style="836" customWidth="1"/>
    <col min="4378" max="4378" width="9.7109375" style="836" bestFit="1" customWidth="1"/>
    <col min="4379" max="4622" width="9.140625" style="836"/>
    <col min="4623" max="4623" width="5" style="836" customWidth="1"/>
    <col min="4624" max="4624" width="20.28515625" style="836" customWidth="1"/>
    <col min="4625" max="4625" width="6.7109375" style="836" customWidth="1"/>
    <col min="4626" max="4626" width="10.42578125" style="836" customWidth="1"/>
    <col min="4627" max="4627" width="3.7109375" style="836" customWidth="1"/>
    <col min="4628" max="4628" width="15.85546875" style="836" customWidth="1"/>
    <col min="4629" max="4629" width="3.5703125" style="836" customWidth="1"/>
    <col min="4630" max="4630" width="10.42578125" style="836" customWidth="1"/>
    <col min="4631" max="4631" width="9.7109375" style="836" customWidth="1"/>
    <col min="4632" max="4632" width="10.85546875" style="836" customWidth="1"/>
    <col min="4633" max="4633" width="10.5703125" style="836" customWidth="1"/>
    <col min="4634" max="4634" width="9.7109375" style="836" bestFit="1" customWidth="1"/>
    <col min="4635" max="4878" width="9.140625" style="836"/>
    <col min="4879" max="4879" width="5" style="836" customWidth="1"/>
    <col min="4880" max="4880" width="20.28515625" style="836" customWidth="1"/>
    <col min="4881" max="4881" width="6.7109375" style="836" customWidth="1"/>
    <col min="4882" max="4882" width="10.42578125" style="836" customWidth="1"/>
    <col min="4883" max="4883" width="3.7109375" style="836" customWidth="1"/>
    <col min="4884" max="4884" width="15.85546875" style="836" customWidth="1"/>
    <col min="4885" max="4885" width="3.5703125" style="836" customWidth="1"/>
    <col min="4886" max="4886" width="10.42578125" style="836" customWidth="1"/>
    <col min="4887" max="4887" width="9.7109375" style="836" customWidth="1"/>
    <col min="4888" max="4888" width="10.85546875" style="836" customWidth="1"/>
    <col min="4889" max="4889" width="10.5703125" style="836" customWidth="1"/>
    <col min="4890" max="4890" width="9.7109375" style="836" bestFit="1" customWidth="1"/>
    <col min="4891" max="5134" width="9.140625" style="836"/>
    <col min="5135" max="5135" width="5" style="836" customWidth="1"/>
    <col min="5136" max="5136" width="20.28515625" style="836" customWidth="1"/>
    <col min="5137" max="5137" width="6.7109375" style="836" customWidth="1"/>
    <col min="5138" max="5138" width="10.42578125" style="836" customWidth="1"/>
    <col min="5139" max="5139" width="3.7109375" style="836" customWidth="1"/>
    <col min="5140" max="5140" width="15.85546875" style="836" customWidth="1"/>
    <col min="5141" max="5141" width="3.5703125" style="836" customWidth="1"/>
    <col min="5142" max="5142" width="10.42578125" style="836" customWidth="1"/>
    <col min="5143" max="5143" width="9.7109375" style="836" customWidth="1"/>
    <col min="5144" max="5144" width="10.85546875" style="836" customWidth="1"/>
    <col min="5145" max="5145" width="10.5703125" style="836" customWidth="1"/>
    <col min="5146" max="5146" width="9.7109375" style="836" bestFit="1" customWidth="1"/>
    <col min="5147" max="5390" width="9.140625" style="836"/>
    <col min="5391" max="5391" width="5" style="836" customWidth="1"/>
    <col min="5392" max="5392" width="20.28515625" style="836" customWidth="1"/>
    <col min="5393" max="5393" width="6.7109375" style="836" customWidth="1"/>
    <col min="5394" max="5394" width="10.42578125" style="836" customWidth="1"/>
    <col min="5395" max="5395" width="3.7109375" style="836" customWidth="1"/>
    <col min="5396" max="5396" width="15.85546875" style="836" customWidth="1"/>
    <col min="5397" max="5397" width="3.5703125" style="836" customWidth="1"/>
    <col min="5398" max="5398" width="10.42578125" style="836" customWidth="1"/>
    <col min="5399" max="5399" width="9.7109375" style="836" customWidth="1"/>
    <col min="5400" max="5400" width="10.85546875" style="836" customWidth="1"/>
    <col min="5401" max="5401" width="10.5703125" style="836" customWidth="1"/>
    <col min="5402" max="5402" width="9.7109375" style="836" bestFit="1" customWidth="1"/>
    <col min="5403" max="5646" width="9.140625" style="836"/>
    <col min="5647" max="5647" width="5" style="836" customWidth="1"/>
    <col min="5648" max="5648" width="20.28515625" style="836" customWidth="1"/>
    <col min="5649" max="5649" width="6.7109375" style="836" customWidth="1"/>
    <col min="5650" max="5650" width="10.42578125" style="836" customWidth="1"/>
    <col min="5651" max="5651" width="3.7109375" style="836" customWidth="1"/>
    <col min="5652" max="5652" width="15.85546875" style="836" customWidth="1"/>
    <col min="5653" max="5653" width="3.5703125" style="836" customWidth="1"/>
    <col min="5654" max="5654" width="10.42578125" style="836" customWidth="1"/>
    <col min="5655" max="5655" width="9.7109375" style="836" customWidth="1"/>
    <col min="5656" max="5656" width="10.85546875" style="836" customWidth="1"/>
    <col min="5657" max="5657" width="10.5703125" style="836" customWidth="1"/>
    <col min="5658" max="5658" width="9.7109375" style="836" bestFit="1" customWidth="1"/>
    <col min="5659" max="5902" width="9.140625" style="836"/>
    <col min="5903" max="5903" width="5" style="836" customWidth="1"/>
    <col min="5904" max="5904" width="20.28515625" style="836" customWidth="1"/>
    <col min="5905" max="5905" width="6.7109375" style="836" customWidth="1"/>
    <col min="5906" max="5906" width="10.42578125" style="836" customWidth="1"/>
    <col min="5907" max="5907" width="3.7109375" style="836" customWidth="1"/>
    <col min="5908" max="5908" width="15.85546875" style="836" customWidth="1"/>
    <col min="5909" max="5909" width="3.5703125" style="836" customWidth="1"/>
    <col min="5910" max="5910" width="10.42578125" style="836" customWidth="1"/>
    <col min="5911" max="5911" width="9.7109375" style="836" customWidth="1"/>
    <col min="5912" max="5912" width="10.85546875" style="836" customWidth="1"/>
    <col min="5913" max="5913" width="10.5703125" style="836" customWidth="1"/>
    <col min="5914" max="5914" width="9.7109375" style="836" bestFit="1" customWidth="1"/>
    <col min="5915" max="6158" width="9.140625" style="836"/>
    <col min="6159" max="6159" width="5" style="836" customWidth="1"/>
    <col min="6160" max="6160" width="20.28515625" style="836" customWidth="1"/>
    <col min="6161" max="6161" width="6.7109375" style="836" customWidth="1"/>
    <col min="6162" max="6162" width="10.42578125" style="836" customWidth="1"/>
    <col min="6163" max="6163" width="3.7109375" style="836" customWidth="1"/>
    <col min="6164" max="6164" width="15.85546875" style="836" customWidth="1"/>
    <col min="6165" max="6165" width="3.5703125" style="836" customWidth="1"/>
    <col min="6166" max="6166" width="10.42578125" style="836" customWidth="1"/>
    <col min="6167" max="6167" width="9.7109375" style="836" customWidth="1"/>
    <col min="6168" max="6168" width="10.85546875" style="836" customWidth="1"/>
    <col min="6169" max="6169" width="10.5703125" style="836" customWidth="1"/>
    <col min="6170" max="6170" width="9.7109375" style="836" bestFit="1" customWidth="1"/>
    <col min="6171" max="6414" width="9.140625" style="836"/>
    <col min="6415" max="6415" width="5" style="836" customWidth="1"/>
    <col min="6416" max="6416" width="20.28515625" style="836" customWidth="1"/>
    <col min="6417" max="6417" width="6.7109375" style="836" customWidth="1"/>
    <col min="6418" max="6418" width="10.42578125" style="836" customWidth="1"/>
    <col min="6419" max="6419" width="3.7109375" style="836" customWidth="1"/>
    <col min="6420" max="6420" width="15.85546875" style="836" customWidth="1"/>
    <col min="6421" max="6421" width="3.5703125" style="836" customWidth="1"/>
    <col min="6422" max="6422" width="10.42578125" style="836" customWidth="1"/>
    <col min="6423" max="6423" width="9.7109375" style="836" customWidth="1"/>
    <col min="6424" max="6424" width="10.85546875" style="836" customWidth="1"/>
    <col min="6425" max="6425" width="10.5703125" style="836" customWidth="1"/>
    <col min="6426" max="6426" width="9.7109375" style="836" bestFit="1" customWidth="1"/>
    <col min="6427" max="6670" width="9.140625" style="836"/>
    <col min="6671" max="6671" width="5" style="836" customWidth="1"/>
    <col min="6672" max="6672" width="20.28515625" style="836" customWidth="1"/>
    <col min="6673" max="6673" width="6.7109375" style="836" customWidth="1"/>
    <col min="6674" max="6674" width="10.42578125" style="836" customWidth="1"/>
    <col min="6675" max="6675" width="3.7109375" style="836" customWidth="1"/>
    <col min="6676" max="6676" width="15.85546875" style="836" customWidth="1"/>
    <col min="6677" max="6677" width="3.5703125" style="836" customWidth="1"/>
    <col min="6678" max="6678" width="10.42578125" style="836" customWidth="1"/>
    <col min="6679" max="6679" width="9.7109375" style="836" customWidth="1"/>
    <col min="6680" max="6680" width="10.85546875" style="836" customWidth="1"/>
    <col min="6681" max="6681" width="10.5703125" style="836" customWidth="1"/>
    <col min="6682" max="6682" width="9.7109375" style="836" bestFit="1" customWidth="1"/>
    <col min="6683" max="6926" width="9.140625" style="836"/>
    <col min="6927" max="6927" width="5" style="836" customWidth="1"/>
    <col min="6928" max="6928" width="20.28515625" style="836" customWidth="1"/>
    <col min="6929" max="6929" width="6.7109375" style="836" customWidth="1"/>
    <col min="6930" max="6930" width="10.42578125" style="836" customWidth="1"/>
    <col min="6931" max="6931" width="3.7109375" style="836" customWidth="1"/>
    <col min="6932" max="6932" width="15.85546875" style="836" customWidth="1"/>
    <col min="6933" max="6933" width="3.5703125" style="836" customWidth="1"/>
    <col min="6934" max="6934" width="10.42578125" style="836" customWidth="1"/>
    <col min="6935" max="6935" width="9.7109375" style="836" customWidth="1"/>
    <col min="6936" max="6936" width="10.85546875" style="836" customWidth="1"/>
    <col min="6937" max="6937" width="10.5703125" style="836" customWidth="1"/>
    <col min="6938" max="6938" width="9.7109375" style="836" bestFit="1" customWidth="1"/>
    <col min="6939" max="7182" width="9.140625" style="836"/>
    <col min="7183" max="7183" width="5" style="836" customWidth="1"/>
    <col min="7184" max="7184" width="20.28515625" style="836" customWidth="1"/>
    <col min="7185" max="7185" width="6.7109375" style="836" customWidth="1"/>
    <col min="7186" max="7186" width="10.42578125" style="836" customWidth="1"/>
    <col min="7187" max="7187" width="3.7109375" style="836" customWidth="1"/>
    <col min="7188" max="7188" width="15.85546875" style="836" customWidth="1"/>
    <col min="7189" max="7189" width="3.5703125" style="836" customWidth="1"/>
    <col min="7190" max="7190" width="10.42578125" style="836" customWidth="1"/>
    <col min="7191" max="7191" width="9.7109375" style="836" customWidth="1"/>
    <col min="7192" max="7192" width="10.85546875" style="836" customWidth="1"/>
    <col min="7193" max="7193" width="10.5703125" style="836" customWidth="1"/>
    <col min="7194" max="7194" width="9.7109375" style="836" bestFit="1" customWidth="1"/>
    <col min="7195" max="7438" width="9.140625" style="836"/>
    <col min="7439" max="7439" width="5" style="836" customWidth="1"/>
    <col min="7440" max="7440" width="20.28515625" style="836" customWidth="1"/>
    <col min="7441" max="7441" width="6.7109375" style="836" customWidth="1"/>
    <col min="7442" max="7442" width="10.42578125" style="836" customWidth="1"/>
    <col min="7443" max="7443" width="3.7109375" style="836" customWidth="1"/>
    <col min="7444" max="7444" width="15.85546875" style="836" customWidth="1"/>
    <col min="7445" max="7445" width="3.5703125" style="836" customWidth="1"/>
    <col min="7446" max="7446" width="10.42578125" style="836" customWidth="1"/>
    <col min="7447" max="7447" width="9.7109375" style="836" customWidth="1"/>
    <col min="7448" max="7448" width="10.85546875" style="836" customWidth="1"/>
    <col min="7449" max="7449" width="10.5703125" style="836" customWidth="1"/>
    <col min="7450" max="7450" width="9.7109375" style="836" bestFit="1" customWidth="1"/>
    <col min="7451" max="7694" width="9.140625" style="836"/>
    <col min="7695" max="7695" width="5" style="836" customWidth="1"/>
    <col min="7696" max="7696" width="20.28515625" style="836" customWidth="1"/>
    <col min="7697" max="7697" width="6.7109375" style="836" customWidth="1"/>
    <col min="7698" max="7698" width="10.42578125" style="836" customWidth="1"/>
    <col min="7699" max="7699" width="3.7109375" style="836" customWidth="1"/>
    <col min="7700" max="7700" width="15.85546875" style="836" customWidth="1"/>
    <col min="7701" max="7701" width="3.5703125" style="836" customWidth="1"/>
    <col min="7702" max="7702" width="10.42578125" style="836" customWidth="1"/>
    <col min="7703" max="7703" width="9.7109375" style="836" customWidth="1"/>
    <col min="7704" max="7704" width="10.85546875" style="836" customWidth="1"/>
    <col min="7705" max="7705" width="10.5703125" style="836" customWidth="1"/>
    <col min="7706" max="7706" width="9.7109375" style="836" bestFit="1" customWidth="1"/>
    <col min="7707" max="7950" width="9.140625" style="836"/>
    <col min="7951" max="7951" width="5" style="836" customWidth="1"/>
    <col min="7952" max="7952" width="20.28515625" style="836" customWidth="1"/>
    <col min="7953" max="7953" width="6.7109375" style="836" customWidth="1"/>
    <col min="7954" max="7954" width="10.42578125" style="836" customWidth="1"/>
    <col min="7955" max="7955" width="3.7109375" style="836" customWidth="1"/>
    <col min="7956" max="7956" width="15.85546875" style="836" customWidth="1"/>
    <col min="7957" max="7957" width="3.5703125" style="836" customWidth="1"/>
    <col min="7958" max="7958" width="10.42578125" style="836" customWidth="1"/>
    <col min="7959" max="7959" width="9.7109375" style="836" customWidth="1"/>
    <col min="7960" max="7960" width="10.85546875" style="836" customWidth="1"/>
    <col min="7961" max="7961" width="10.5703125" style="836" customWidth="1"/>
    <col min="7962" max="7962" width="9.7109375" style="836" bestFit="1" customWidth="1"/>
    <col min="7963" max="8206" width="9.140625" style="836"/>
    <col min="8207" max="8207" width="5" style="836" customWidth="1"/>
    <col min="8208" max="8208" width="20.28515625" style="836" customWidth="1"/>
    <col min="8209" max="8209" width="6.7109375" style="836" customWidth="1"/>
    <col min="8210" max="8210" width="10.42578125" style="836" customWidth="1"/>
    <col min="8211" max="8211" width="3.7109375" style="836" customWidth="1"/>
    <col min="8212" max="8212" width="15.85546875" style="836" customWidth="1"/>
    <col min="8213" max="8213" width="3.5703125" style="836" customWidth="1"/>
    <col min="8214" max="8214" width="10.42578125" style="836" customWidth="1"/>
    <col min="8215" max="8215" width="9.7109375" style="836" customWidth="1"/>
    <col min="8216" max="8216" width="10.85546875" style="836" customWidth="1"/>
    <col min="8217" max="8217" width="10.5703125" style="836" customWidth="1"/>
    <col min="8218" max="8218" width="9.7109375" style="836" bestFit="1" customWidth="1"/>
    <col min="8219" max="8462" width="9.140625" style="836"/>
    <col min="8463" max="8463" width="5" style="836" customWidth="1"/>
    <col min="8464" max="8464" width="20.28515625" style="836" customWidth="1"/>
    <col min="8465" max="8465" width="6.7109375" style="836" customWidth="1"/>
    <col min="8466" max="8466" width="10.42578125" style="836" customWidth="1"/>
    <col min="8467" max="8467" width="3.7109375" style="836" customWidth="1"/>
    <col min="8468" max="8468" width="15.85546875" style="836" customWidth="1"/>
    <col min="8469" max="8469" width="3.5703125" style="836" customWidth="1"/>
    <col min="8470" max="8470" width="10.42578125" style="836" customWidth="1"/>
    <col min="8471" max="8471" width="9.7109375" style="836" customWidth="1"/>
    <col min="8472" max="8472" width="10.85546875" style="836" customWidth="1"/>
    <col min="8473" max="8473" width="10.5703125" style="836" customWidth="1"/>
    <col min="8474" max="8474" width="9.7109375" style="836" bestFit="1" customWidth="1"/>
    <col min="8475" max="8718" width="9.140625" style="836"/>
    <col min="8719" max="8719" width="5" style="836" customWidth="1"/>
    <col min="8720" max="8720" width="20.28515625" style="836" customWidth="1"/>
    <col min="8721" max="8721" width="6.7109375" style="836" customWidth="1"/>
    <col min="8722" max="8722" width="10.42578125" style="836" customWidth="1"/>
    <col min="8723" max="8723" width="3.7109375" style="836" customWidth="1"/>
    <col min="8724" max="8724" width="15.85546875" style="836" customWidth="1"/>
    <col min="8725" max="8725" width="3.5703125" style="836" customWidth="1"/>
    <col min="8726" max="8726" width="10.42578125" style="836" customWidth="1"/>
    <col min="8727" max="8727" width="9.7109375" style="836" customWidth="1"/>
    <col min="8728" max="8728" width="10.85546875" style="836" customWidth="1"/>
    <col min="8729" max="8729" width="10.5703125" style="836" customWidth="1"/>
    <col min="8730" max="8730" width="9.7109375" style="836" bestFit="1" customWidth="1"/>
    <col min="8731" max="8974" width="9.140625" style="836"/>
    <col min="8975" max="8975" width="5" style="836" customWidth="1"/>
    <col min="8976" max="8976" width="20.28515625" style="836" customWidth="1"/>
    <col min="8977" max="8977" width="6.7109375" style="836" customWidth="1"/>
    <col min="8978" max="8978" width="10.42578125" style="836" customWidth="1"/>
    <col min="8979" max="8979" width="3.7109375" style="836" customWidth="1"/>
    <col min="8980" max="8980" width="15.85546875" style="836" customWidth="1"/>
    <col min="8981" max="8981" width="3.5703125" style="836" customWidth="1"/>
    <col min="8982" max="8982" width="10.42578125" style="836" customWidth="1"/>
    <col min="8983" max="8983" width="9.7109375" style="836" customWidth="1"/>
    <col min="8984" max="8984" width="10.85546875" style="836" customWidth="1"/>
    <col min="8985" max="8985" width="10.5703125" style="836" customWidth="1"/>
    <col min="8986" max="8986" width="9.7109375" style="836" bestFit="1" customWidth="1"/>
    <col min="8987" max="9230" width="9.140625" style="836"/>
    <col min="9231" max="9231" width="5" style="836" customWidth="1"/>
    <col min="9232" max="9232" width="20.28515625" style="836" customWidth="1"/>
    <col min="9233" max="9233" width="6.7109375" style="836" customWidth="1"/>
    <col min="9234" max="9234" width="10.42578125" style="836" customWidth="1"/>
    <col min="9235" max="9235" width="3.7109375" style="836" customWidth="1"/>
    <col min="9236" max="9236" width="15.85546875" style="836" customWidth="1"/>
    <col min="9237" max="9237" width="3.5703125" style="836" customWidth="1"/>
    <col min="9238" max="9238" width="10.42578125" style="836" customWidth="1"/>
    <col min="9239" max="9239" width="9.7109375" style="836" customWidth="1"/>
    <col min="9240" max="9240" width="10.85546875" style="836" customWidth="1"/>
    <col min="9241" max="9241" width="10.5703125" style="836" customWidth="1"/>
    <col min="9242" max="9242" width="9.7109375" style="836" bestFit="1" customWidth="1"/>
    <col min="9243" max="9486" width="9.140625" style="836"/>
    <col min="9487" max="9487" width="5" style="836" customWidth="1"/>
    <col min="9488" max="9488" width="20.28515625" style="836" customWidth="1"/>
    <col min="9489" max="9489" width="6.7109375" style="836" customWidth="1"/>
    <col min="9490" max="9490" width="10.42578125" style="836" customWidth="1"/>
    <col min="9491" max="9491" width="3.7109375" style="836" customWidth="1"/>
    <col min="9492" max="9492" width="15.85546875" style="836" customWidth="1"/>
    <col min="9493" max="9493" width="3.5703125" style="836" customWidth="1"/>
    <col min="9494" max="9494" width="10.42578125" style="836" customWidth="1"/>
    <col min="9495" max="9495" width="9.7109375" style="836" customWidth="1"/>
    <col min="9496" max="9496" width="10.85546875" style="836" customWidth="1"/>
    <col min="9497" max="9497" width="10.5703125" style="836" customWidth="1"/>
    <col min="9498" max="9498" width="9.7109375" style="836" bestFit="1" customWidth="1"/>
    <col min="9499" max="9742" width="9.140625" style="836"/>
    <col min="9743" max="9743" width="5" style="836" customWidth="1"/>
    <col min="9744" max="9744" width="20.28515625" style="836" customWidth="1"/>
    <col min="9745" max="9745" width="6.7109375" style="836" customWidth="1"/>
    <col min="9746" max="9746" width="10.42578125" style="836" customWidth="1"/>
    <col min="9747" max="9747" width="3.7109375" style="836" customWidth="1"/>
    <col min="9748" max="9748" width="15.85546875" style="836" customWidth="1"/>
    <col min="9749" max="9749" width="3.5703125" style="836" customWidth="1"/>
    <col min="9750" max="9750" width="10.42578125" style="836" customWidth="1"/>
    <col min="9751" max="9751" width="9.7109375" style="836" customWidth="1"/>
    <col min="9752" max="9752" width="10.85546875" style="836" customWidth="1"/>
    <col min="9753" max="9753" width="10.5703125" style="836" customWidth="1"/>
    <col min="9754" max="9754" width="9.7109375" style="836" bestFit="1" customWidth="1"/>
    <col min="9755" max="9998" width="9.140625" style="836"/>
    <col min="9999" max="9999" width="5" style="836" customWidth="1"/>
    <col min="10000" max="10000" width="20.28515625" style="836" customWidth="1"/>
    <col min="10001" max="10001" width="6.7109375" style="836" customWidth="1"/>
    <col min="10002" max="10002" width="10.42578125" style="836" customWidth="1"/>
    <col min="10003" max="10003" width="3.7109375" style="836" customWidth="1"/>
    <col min="10004" max="10004" width="15.85546875" style="836" customWidth="1"/>
    <col min="10005" max="10005" width="3.5703125" style="836" customWidth="1"/>
    <col min="10006" max="10006" width="10.42578125" style="836" customWidth="1"/>
    <col min="10007" max="10007" width="9.7109375" style="836" customWidth="1"/>
    <col min="10008" max="10008" width="10.85546875" style="836" customWidth="1"/>
    <col min="10009" max="10009" width="10.5703125" style="836" customWidth="1"/>
    <col min="10010" max="10010" width="9.7109375" style="836" bestFit="1" customWidth="1"/>
    <col min="10011" max="10254" width="9.140625" style="836"/>
    <col min="10255" max="10255" width="5" style="836" customWidth="1"/>
    <col min="10256" max="10256" width="20.28515625" style="836" customWidth="1"/>
    <col min="10257" max="10257" width="6.7109375" style="836" customWidth="1"/>
    <col min="10258" max="10258" width="10.42578125" style="836" customWidth="1"/>
    <col min="10259" max="10259" width="3.7109375" style="836" customWidth="1"/>
    <col min="10260" max="10260" width="15.85546875" style="836" customWidth="1"/>
    <col min="10261" max="10261" width="3.5703125" style="836" customWidth="1"/>
    <col min="10262" max="10262" width="10.42578125" style="836" customWidth="1"/>
    <col min="10263" max="10263" width="9.7109375" style="836" customWidth="1"/>
    <col min="10264" max="10264" width="10.85546875" style="836" customWidth="1"/>
    <col min="10265" max="10265" width="10.5703125" style="836" customWidth="1"/>
    <col min="10266" max="10266" width="9.7109375" style="836" bestFit="1" customWidth="1"/>
    <col min="10267" max="10510" width="9.140625" style="836"/>
    <col min="10511" max="10511" width="5" style="836" customWidth="1"/>
    <col min="10512" max="10512" width="20.28515625" style="836" customWidth="1"/>
    <col min="10513" max="10513" width="6.7109375" style="836" customWidth="1"/>
    <col min="10514" max="10514" width="10.42578125" style="836" customWidth="1"/>
    <col min="10515" max="10515" width="3.7109375" style="836" customWidth="1"/>
    <col min="10516" max="10516" width="15.85546875" style="836" customWidth="1"/>
    <col min="10517" max="10517" width="3.5703125" style="836" customWidth="1"/>
    <col min="10518" max="10518" width="10.42578125" style="836" customWidth="1"/>
    <col min="10519" max="10519" width="9.7109375" style="836" customWidth="1"/>
    <col min="10520" max="10520" width="10.85546875" style="836" customWidth="1"/>
    <col min="10521" max="10521" width="10.5703125" style="836" customWidth="1"/>
    <col min="10522" max="10522" width="9.7109375" style="836" bestFit="1" customWidth="1"/>
    <col min="10523" max="10766" width="9.140625" style="836"/>
    <col min="10767" max="10767" width="5" style="836" customWidth="1"/>
    <col min="10768" max="10768" width="20.28515625" style="836" customWidth="1"/>
    <col min="10769" max="10769" width="6.7109375" style="836" customWidth="1"/>
    <col min="10770" max="10770" width="10.42578125" style="836" customWidth="1"/>
    <col min="10771" max="10771" width="3.7109375" style="836" customWidth="1"/>
    <col min="10772" max="10772" width="15.85546875" style="836" customWidth="1"/>
    <col min="10773" max="10773" width="3.5703125" style="836" customWidth="1"/>
    <col min="10774" max="10774" width="10.42578125" style="836" customWidth="1"/>
    <col min="10775" max="10775" width="9.7109375" style="836" customWidth="1"/>
    <col min="10776" max="10776" width="10.85546875" style="836" customWidth="1"/>
    <col min="10777" max="10777" width="10.5703125" style="836" customWidth="1"/>
    <col min="10778" max="10778" width="9.7109375" style="836" bestFit="1" customWidth="1"/>
    <col min="10779" max="11022" width="9.140625" style="836"/>
    <col min="11023" max="11023" width="5" style="836" customWidth="1"/>
    <col min="11024" max="11024" width="20.28515625" style="836" customWidth="1"/>
    <col min="11025" max="11025" width="6.7109375" style="836" customWidth="1"/>
    <col min="11026" max="11026" width="10.42578125" style="836" customWidth="1"/>
    <col min="11027" max="11027" width="3.7109375" style="836" customWidth="1"/>
    <col min="11028" max="11028" width="15.85546875" style="836" customWidth="1"/>
    <col min="11029" max="11029" width="3.5703125" style="836" customWidth="1"/>
    <col min="11030" max="11030" width="10.42578125" style="836" customWidth="1"/>
    <col min="11031" max="11031" width="9.7109375" style="836" customWidth="1"/>
    <col min="11032" max="11032" width="10.85546875" style="836" customWidth="1"/>
    <col min="11033" max="11033" width="10.5703125" style="836" customWidth="1"/>
    <col min="11034" max="11034" width="9.7109375" style="836" bestFit="1" customWidth="1"/>
    <col min="11035" max="11278" width="9.140625" style="836"/>
    <col min="11279" max="11279" width="5" style="836" customWidth="1"/>
    <col min="11280" max="11280" width="20.28515625" style="836" customWidth="1"/>
    <col min="11281" max="11281" width="6.7109375" style="836" customWidth="1"/>
    <col min="11282" max="11282" width="10.42578125" style="836" customWidth="1"/>
    <col min="11283" max="11283" width="3.7109375" style="836" customWidth="1"/>
    <col min="11284" max="11284" width="15.85546875" style="836" customWidth="1"/>
    <col min="11285" max="11285" width="3.5703125" style="836" customWidth="1"/>
    <col min="11286" max="11286" width="10.42578125" style="836" customWidth="1"/>
    <col min="11287" max="11287" width="9.7109375" style="836" customWidth="1"/>
    <col min="11288" max="11288" width="10.85546875" style="836" customWidth="1"/>
    <col min="11289" max="11289" width="10.5703125" style="836" customWidth="1"/>
    <col min="11290" max="11290" width="9.7109375" style="836" bestFit="1" customWidth="1"/>
    <col min="11291" max="11534" width="9.140625" style="836"/>
    <col min="11535" max="11535" width="5" style="836" customWidth="1"/>
    <col min="11536" max="11536" width="20.28515625" style="836" customWidth="1"/>
    <col min="11537" max="11537" width="6.7109375" style="836" customWidth="1"/>
    <col min="11538" max="11538" width="10.42578125" style="836" customWidth="1"/>
    <col min="11539" max="11539" width="3.7109375" style="836" customWidth="1"/>
    <col min="11540" max="11540" width="15.85546875" style="836" customWidth="1"/>
    <col min="11541" max="11541" width="3.5703125" style="836" customWidth="1"/>
    <col min="11542" max="11542" width="10.42578125" style="836" customWidth="1"/>
    <col min="11543" max="11543" width="9.7109375" style="836" customWidth="1"/>
    <col min="11544" max="11544" width="10.85546875" style="836" customWidth="1"/>
    <col min="11545" max="11545" width="10.5703125" style="836" customWidth="1"/>
    <col min="11546" max="11546" width="9.7109375" style="836" bestFit="1" customWidth="1"/>
    <col min="11547" max="11790" width="9.140625" style="836"/>
    <col min="11791" max="11791" width="5" style="836" customWidth="1"/>
    <col min="11792" max="11792" width="20.28515625" style="836" customWidth="1"/>
    <col min="11793" max="11793" width="6.7109375" style="836" customWidth="1"/>
    <col min="11794" max="11794" width="10.42578125" style="836" customWidth="1"/>
    <col min="11795" max="11795" width="3.7109375" style="836" customWidth="1"/>
    <col min="11796" max="11796" width="15.85546875" style="836" customWidth="1"/>
    <col min="11797" max="11797" width="3.5703125" style="836" customWidth="1"/>
    <col min="11798" max="11798" width="10.42578125" style="836" customWidth="1"/>
    <col min="11799" max="11799" width="9.7109375" style="836" customWidth="1"/>
    <col min="11800" max="11800" width="10.85546875" style="836" customWidth="1"/>
    <col min="11801" max="11801" width="10.5703125" style="836" customWidth="1"/>
    <col min="11802" max="11802" width="9.7109375" style="836" bestFit="1" customWidth="1"/>
    <col min="11803" max="12046" width="9.140625" style="836"/>
    <col min="12047" max="12047" width="5" style="836" customWidth="1"/>
    <col min="12048" max="12048" width="20.28515625" style="836" customWidth="1"/>
    <col min="12049" max="12049" width="6.7109375" style="836" customWidth="1"/>
    <col min="12050" max="12050" width="10.42578125" style="836" customWidth="1"/>
    <col min="12051" max="12051" width="3.7109375" style="836" customWidth="1"/>
    <col min="12052" max="12052" width="15.85546875" style="836" customWidth="1"/>
    <col min="12053" max="12053" width="3.5703125" style="836" customWidth="1"/>
    <col min="12054" max="12054" width="10.42578125" style="836" customWidth="1"/>
    <col min="12055" max="12055" width="9.7109375" style="836" customWidth="1"/>
    <col min="12056" max="12056" width="10.85546875" style="836" customWidth="1"/>
    <col min="12057" max="12057" width="10.5703125" style="836" customWidth="1"/>
    <col min="12058" max="12058" width="9.7109375" style="836" bestFit="1" customWidth="1"/>
    <col min="12059" max="12302" width="9.140625" style="836"/>
    <col min="12303" max="12303" width="5" style="836" customWidth="1"/>
    <col min="12304" max="12304" width="20.28515625" style="836" customWidth="1"/>
    <col min="12305" max="12305" width="6.7109375" style="836" customWidth="1"/>
    <col min="12306" max="12306" width="10.42578125" style="836" customWidth="1"/>
    <col min="12307" max="12307" width="3.7109375" style="836" customWidth="1"/>
    <col min="12308" max="12308" width="15.85546875" style="836" customWidth="1"/>
    <col min="12309" max="12309" width="3.5703125" style="836" customWidth="1"/>
    <col min="12310" max="12310" width="10.42578125" style="836" customWidth="1"/>
    <col min="12311" max="12311" width="9.7109375" style="836" customWidth="1"/>
    <col min="12312" max="12312" width="10.85546875" style="836" customWidth="1"/>
    <col min="12313" max="12313" width="10.5703125" style="836" customWidth="1"/>
    <col min="12314" max="12314" width="9.7109375" style="836" bestFit="1" customWidth="1"/>
    <col min="12315" max="12558" width="9.140625" style="836"/>
    <col min="12559" max="12559" width="5" style="836" customWidth="1"/>
    <col min="12560" max="12560" width="20.28515625" style="836" customWidth="1"/>
    <col min="12561" max="12561" width="6.7109375" style="836" customWidth="1"/>
    <col min="12562" max="12562" width="10.42578125" style="836" customWidth="1"/>
    <col min="12563" max="12563" width="3.7109375" style="836" customWidth="1"/>
    <col min="12564" max="12564" width="15.85546875" style="836" customWidth="1"/>
    <col min="12565" max="12565" width="3.5703125" style="836" customWidth="1"/>
    <col min="12566" max="12566" width="10.42578125" style="836" customWidth="1"/>
    <col min="12567" max="12567" width="9.7109375" style="836" customWidth="1"/>
    <col min="12568" max="12568" width="10.85546875" style="836" customWidth="1"/>
    <col min="12569" max="12569" width="10.5703125" style="836" customWidth="1"/>
    <col min="12570" max="12570" width="9.7109375" style="836" bestFit="1" customWidth="1"/>
    <col min="12571" max="12814" width="9.140625" style="836"/>
    <col min="12815" max="12815" width="5" style="836" customWidth="1"/>
    <col min="12816" max="12816" width="20.28515625" style="836" customWidth="1"/>
    <col min="12817" max="12817" width="6.7109375" style="836" customWidth="1"/>
    <col min="12818" max="12818" width="10.42578125" style="836" customWidth="1"/>
    <col min="12819" max="12819" width="3.7109375" style="836" customWidth="1"/>
    <col min="12820" max="12820" width="15.85546875" style="836" customWidth="1"/>
    <col min="12821" max="12821" width="3.5703125" style="836" customWidth="1"/>
    <col min="12822" max="12822" width="10.42578125" style="836" customWidth="1"/>
    <col min="12823" max="12823" width="9.7109375" style="836" customWidth="1"/>
    <col min="12824" max="12824" width="10.85546875" style="836" customWidth="1"/>
    <col min="12825" max="12825" width="10.5703125" style="836" customWidth="1"/>
    <col min="12826" max="12826" width="9.7109375" style="836" bestFit="1" customWidth="1"/>
    <col min="12827" max="13070" width="9.140625" style="836"/>
    <col min="13071" max="13071" width="5" style="836" customWidth="1"/>
    <col min="13072" max="13072" width="20.28515625" style="836" customWidth="1"/>
    <col min="13073" max="13073" width="6.7109375" style="836" customWidth="1"/>
    <col min="13074" max="13074" width="10.42578125" style="836" customWidth="1"/>
    <col min="13075" max="13075" width="3.7109375" style="836" customWidth="1"/>
    <col min="13076" max="13076" width="15.85546875" style="836" customWidth="1"/>
    <col min="13077" max="13077" width="3.5703125" style="836" customWidth="1"/>
    <col min="13078" max="13078" width="10.42578125" style="836" customWidth="1"/>
    <col min="13079" max="13079" width="9.7109375" style="836" customWidth="1"/>
    <col min="13080" max="13080" width="10.85546875" style="836" customWidth="1"/>
    <col min="13081" max="13081" width="10.5703125" style="836" customWidth="1"/>
    <col min="13082" max="13082" width="9.7109375" style="836" bestFit="1" customWidth="1"/>
    <col min="13083" max="13326" width="9.140625" style="836"/>
    <col min="13327" max="13327" width="5" style="836" customWidth="1"/>
    <col min="13328" max="13328" width="20.28515625" style="836" customWidth="1"/>
    <col min="13329" max="13329" width="6.7109375" style="836" customWidth="1"/>
    <col min="13330" max="13330" width="10.42578125" style="836" customWidth="1"/>
    <col min="13331" max="13331" width="3.7109375" style="836" customWidth="1"/>
    <col min="13332" max="13332" width="15.85546875" style="836" customWidth="1"/>
    <col min="13333" max="13333" width="3.5703125" style="836" customWidth="1"/>
    <col min="13334" max="13334" width="10.42578125" style="836" customWidth="1"/>
    <col min="13335" max="13335" width="9.7109375" style="836" customWidth="1"/>
    <col min="13336" max="13336" width="10.85546875" style="836" customWidth="1"/>
    <col min="13337" max="13337" width="10.5703125" style="836" customWidth="1"/>
    <col min="13338" max="13338" width="9.7109375" style="836" bestFit="1" customWidth="1"/>
    <col min="13339" max="13582" width="9.140625" style="836"/>
    <col min="13583" max="13583" width="5" style="836" customWidth="1"/>
    <col min="13584" max="13584" width="20.28515625" style="836" customWidth="1"/>
    <col min="13585" max="13585" width="6.7109375" style="836" customWidth="1"/>
    <col min="13586" max="13586" width="10.42578125" style="836" customWidth="1"/>
    <col min="13587" max="13587" width="3.7109375" style="836" customWidth="1"/>
    <col min="13588" max="13588" width="15.85546875" style="836" customWidth="1"/>
    <col min="13589" max="13589" width="3.5703125" style="836" customWidth="1"/>
    <col min="13590" max="13590" width="10.42578125" style="836" customWidth="1"/>
    <col min="13591" max="13591" width="9.7109375" style="836" customWidth="1"/>
    <col min="13592" max="13592" width="10.85546875" style="836" customWidth="1"/>
    <col min="13593" max="13593" width="10.5703125" style="836" customWidth="1"/>
    <col min="13594" max="13594" width="9.7109375" style="836" bestFit="1" customWidth="1"/>
    <col min="13595" max="13838" width="9.140625" style="836"/>
    <col min="13839" max="13839" width="5" style="836" customWidth="1"/>
    <col min="13840" max="13840" width="20.28515625" style="836" customWidth="1"/>
    <col min="13841" max="13841" width="6.7109375" style="836" customWidth="1"/>
    <col min="13842" max="13842" width="10.42578125" style="836" customWidth="1"/>
    <col min="13843" max="13843" width="3.7109375" style="836" customWidth="1"/>
    <col min="13844" max="13844" width="15.85546875" style="836" customWidth="1"/>
    <col min="13845" max="13845" width="3.5703125" style="836" customWidth="1"/>
    <col min="13846" max="13846" width="10.42578125" style="836" customWidth="1"/>
    <col min="13847" max="13847" width="9.7109375" style="836" customWidth="1"/>
    <col min="13848" max="13848" width="10.85546875" style="836" customWidth="1"/>
    <col min="13849" max="13849" width="10.5703125" style="836" customWidth="1"/>
    <col min="13850" max="13850" width="9.7109375" style="836" bestFit="1" customWidth="1"/>
    <col min="13851" max="14094" width="9.140625" style="836"/>
    <col min="14095" max="14095" width="5" style="836" customWidth="1"/>
    <col min="14096" max="14096" width="20.28515625" style="836" customWidth="1"/>
    <col min="14097" max="14097" width="6.7109375" style="836" customWidth="1"/>
    <col min="14098" max="14098" width="10.42578125" style="836" customWidth="1"/>
    <col min="14099" max="14099" width="3.7109375" style="836" customWidth="1"/>
    <col min="14100" max="14100" width="15.85546875" style="836" customWidth="1"/>
    <col min="14101" max="14101" width="3.5703125" style="836" customWidth="1"/>
    <col min="14102" max="14102" width="10.42578125" style="836" customWidth="1"/>
    <col min="14103" max="14103" width="9.7109375" style="836" customWidth="1"/>
    <col min="14104" max="14104" width="10.85546875" style="836" customWidth="1"/>
    <col min="14105" max="14105" width="10.5703125" style="836" customWidth="1"/>
    <col min="14106" max="14106" width="9.7109375" style="836" bestFit="1" customWidth="1"/>
    <col min="14107" max="14350" width="9.140625" style="836"/>
    <col min="14351" max="14351" width="5" style="836" customWidth="1"/>
    <col min="14352" max="14352" width="20.28515625" style="836" customWidth="1"/>
    <col min="14353" max="14353" width="6.7109375" style="836" customWidth="1"/>
    <col min="14354" max="14354" width="10.42578125" style="836" customWidth="1"/>
    <col min="14355" max="14355" width="3.7109375" style="836" customWidth="1"/>
    <col min="14356" max="14356" width="15.85546875" style="836" customWidth="1"/>
    <col min="14357" max="14357" width="3.5703125" style="836" customWidth="1"/>
    <col min="14358" max="14358" width="10.42578125" style="836" customWidth="1"/>
    <col min="14359" max="14359" width="9.7109375" style="836" customWidth="1"/>
    <col min="14360" max="14360" width="10.85546875" style="836" customWidth="1"/>
    <col min="14361" max="14361" width="10.5703125" style="836" customWidth="1"/>
    <col min="14362" max="14362" width="9.7109375" style="836" bestFit="1" customWidth="1"/>
    <col min="14363" max="14606" width="9.140625" style="836"/>
    <col min="14607" max="14607" width="5" style="836" customWidth="1"/>
    <col min="14608" max="14608" width="20.28515625" style="836" customWidth="1"/>
    <col min="14609" max="14609" width="6.7109375" style="836" customWidth="1"/>
    <col min="14610" max="14610" width="10.42578125" style="836" customWidth="1"/>
    <col min="14611" max="14611" width="3.7109375" style="836" customWidth="1"/>
    <col min="14612" max="14612" width="15.85546875" style="836" customWidth="1"/>
    <col min="14613" max="14613" width="3.5703125" style="836" customWidth="1"/>
    <col min="14614" max="14614" width="10.42578125" style="836" customWidth="1"/>
    <col min="14615" max="14615" width="9.7109375" style="836" customWidth="1"/>
    <col min="14616" max="14616" width="10.85546875" style="836" customWidth="1"/>
    <col min="14617" max="14617" width="10.5703125" style="836" customWidth="1"/>
    <col min="14618" max="14618" width="9.7109375" style="836" bestFit="1" customWidth="1"/>
    <col min="14619" max="14862" width="9.140625" style="836"/>
    <col min="14863" max="14863" width="5" style="836" customWidth="1"/>
    <col min="14864" max="14864" width="20.28515625" style="836" customWidth="1"/>
    <col min="14865" max="14865" width="6.7109375" style="836" customWidth="1"/>
    <col min="14866" max="14866" width="10.42578125" style="836" customWidth="1"/>
    <col min="14867" max="14867" width="3.7109375" style="836" customWidth="1"/>
    <col min="14868" max="14868" width="15.85546875" style="836" customWidth="1"/>
    <col min="14869" max="14869" width="3.5703125" style="836" customWidth="1"/>
    <col min="14870" max="14870" width="10.42578125" style="836" customWidth="1"/>
    <col min="14871" max="14871" width="9.7109375" style="836" customWidth="1"/>
    <col min="14872" max="14872" width="10.85546875" style="836" customWidth="1"/>
    <col min="14873" max="14873" width="10.5703125" style="836" customWidth="1"/>
    <col min="14874" max="14874" width="9.7109375" style="836" bestFit="1" customWidth="1"/>
    <col min="14875" max="15118" width="9.140625" style="836"/>
    <col min="15119" max="15119" width="5" style="836" customWidth="1"/>
    <col min="15120" max="15120" width="20.28515625" style="836" customWidth="1"/>
    <col min="15121" max="15121" width="6.7109375" style="836" customWidth="1"/>
    <col min="15122" max="15122" width="10.42578125" style="836" customWidth="1"/>
    <col min="15123" max="15123" width="3.7109375" style="836" customWidth="1"/>
    <col min="15124" max="15124" width="15.85546875" style="836" customWidth="1"/>
    <col min="15125" max="15125" width="3.5703125" style="836" customWidth="1"/>
    <col min="15126" max="15126" width="10.42578125" style="836" customWidth="1"/>
    <col min="15127" max="15127" width="9.7109375" style="836" customWidth="1"/>
    <col min="15128" max="15128" width="10.85546875" style="836" customWidth="1"/>
    <col min="15129" max="15129" width="10.5703125" style="836" customWidth="1"/>
    <col min="15130" max="15130" width="9.7109375" style="836" bestFit="1" customWidth="1"/>
    <col min="15131" max="15374" width="9.140625" style="836"/>
    <col min="15375" max="15375" width="5" style="836" customWidth="1"/>
    <col min="15376" max="15376" width="20.28515625" style="836" customWidth="1"/>
    <col min="15377" max="15377" width="6.7109375" style="836" customWidth="1"/>
    <col min="15378" max="15378" width="10.42578125" style="836" customWidth="1"/>
    <col min="15379" max="15379" width="3.7109375" style="836" customWidth="1"/>
    <col min="15380" max="15380" width="15.85546875" style="836" customWidth="1"/>
    <col min="15381" max="15381" width="3.5703125" style="836" customWidth="1"/>
    <col min="15382" max="15382" width="10.42578125" style="836" customWidth="1"/>
    <col min="15383" max="15383" width="9.7109375" style="836" customWidth="1"/>
    <col min="15384" max="15384" width="10.85546875" style="836" customWidth="1"/>
    <col min="15385" max="15385" width="10.5703125" style="836" customWidth="1"/>
    <col min="15386" max="15386" width="9.7109375" style="836" bestFit="1" customWidth="1"/>
    <col min="15387" max="15630" width="9.140625" style="836"/>
    <col min="15631" max="15631" width="5" style="836" customWidth="1"/>
    <col min="15632" max="15632" width="20.28515625" style="836" customWidth="1"/>
    <col min="15633" max="15633" width="6.7109375" style="836" customWidth="1"/>
    <col min="15634" max="15634" width="10.42578125" style="836" customWidth="1"/>
    <col min="15635" max="15635" width="3.7109375" style="836" customWidth="1"/>
    <col min="15636" max="15636" width="15.85546875" style="836" customWidth="1"/>
    <col min="15637" max="15637" width="3.5703125" style="836" customWidth="1"/>
    <col min="15638" max="15638" width="10.42578125" style="836" customWidth="1"/>
    <col min="15639" max="15639" width="9.7109375" style="836" customWidth="1"/>
    <col min="15640" max="15640" width="10.85546875" style="836" customWidth="1"/>
    <col min="15641" max="15641" width="10.5703125" style="836" customWidth="1"/>
    <col min="15642" max="15642" width="9.7109375" style="836" bestFit="1" customWidth="1"/>
    <col min="15643" max="15886" width="9.140625" style="836"/>
    <col min="15887" max="15887" width="5" style="836" customWidth="1"/>
    <col min="15888" max="15888" width="20.28515625" style="836" customWidth="1"/>
    <col min="15889" max="15889" width="6.7109375" style="836" customWidth="1"/>
    <col min="15890" max="15890" width="10.42578125" style="836" customWidth="1"/>
    <col min="15891" max="15891" width="3.7109375" style="836" customWidth="1"/>
    <col min="15892" max="15892" width="15.85546875" style="836" customWidth="1"/>
    <col min="15893" max="15893" width="3.5703125" style="836" customWidth="1"/>
    <col min="15894" max="15894" width="10.42578125" style="836" customWidth="1"/>
    <col min="15895" max="15895" width="9.7109375" style="836" customWidth="1"/>
    <col min="15896" max="15896" width="10.85546875" style="836" customWidth="1"/>
    <col min="15897" max="15897" width="10.5703125" style="836" customWidth="1"/>
    <col min="15898" max="15898" width="9.7109375" style="836" bestFit="1" customWidth="1"/>
    <col min="15899" max="16142" width="9.140625" style="836"/>
    <col min="16143" max="16143" width="5" style="836" customWidth="1"/>
    <col min="16144" max="16144" width="20.28515625" style="836" customWidth="1"/>
    <col min="16145" max="16145" width="6.7109375" style="836" customWidth="1"/>
    <col min="16146" max="16146" width="10.42578125" style="836" customWidth="1"/>
    <col min="16147" max="16147" width="3.7109375" style="836" customWidth="1"/>
    <col min="16148" max="16148" width="15.85546875" style="836" customWidth="1"/>
    <col min="16149" max="16149" width="3.5703125" style="836" customWidth="1"/>
    <col min="16150" max="16150" width="10.42578125" style="836" customWidth="1"/>
    <col min="16151" max="16151" width="9.7109375" style="836" customWidth="1"/>
    <col min="16152" max="16152" width="10.85546875" style="836" customWidth="1"/>
    <col min="16153" max="16153" width="10.5703125" style="836" customWidth="1"/>
    <col min="16154" max="16154" width="9.7109375" style="836" bestFit="1" customWidth="1"/>
    <col min="16155" max="16384" width="9.140625" style="836"/>
  </cols>
  <sheetData>
    <row r="1" spans="1:25" ht="21.75" customHeight="1">
      <c r="A1" s="1347" t="s">
        <v>1859</v>
      </c>
      <c r="B1" s="1347"/>
      <c r="C1" s="1347"/>
      <c r="D1" s="1347"/>
      <c r="E1" s="1347"/>
      <c r="F1" s="1347"/>
      <c r="G1" s="1347"/>
      <c r="H1" s="1347"/>
      <c r="I1" s="1347"/>
      <c r="J1" s="1347"/>
      <c r="K1" s="1347"/>
      <c r="L1" s="1347"/>
      <c r="M1" s="1347"/>
      <c r="N1" s="1347"/>
      <c r="O1" s="1347"/>
      <c r="P1" s="1347"/>
      <c r="Q1" s="1347"/>
      <c r="R1" s="1347"/>
      <c r="S1" s="1347"/>
      <c r="T1" s="1347"/>
      <c r="U1" s="1347"/>
      <c r="V1" s="1347"/>
      <c r="W1" s="835"/>
      <c r="X1" s="835"/>
      <c r="Y1" s="835"/>
    </row>
    <row r="2" spans="1:25" ht="26.25" customHeight="1">
      <c r="A2" s="1348" t="str">
        <f>'lead 1'!B2&amp;'lead 1'!C2</f>
        <v>Name of the Work: Constrution of Bharat Nirman Seva Kendra (BNSK) Grama Panchayat building in Gayamvaripalli  GP of H.M.Padu Mandal</v>
      </c>
      <c r="B2" s="1348"/>
      <c r="C2" s="1348"/>
      <c r="D2" s="1348"/>
      <c r="E2" s="1348"/>
      <c r="F2" s="1348"/>
      <c r="G2" s="1348"/>
      <c r="H2" s="1348"/>
      <c r="I2" s="1348"/>
      <c r="J2" s="1348"/>
      <c r="K2" s="1348"/>
      <c r="L2" s="1348"/>
      <c r="M2" s="1348"/>
      <c r="N2" s="1348"/>
      <c r="O2" s="1348"/>
      <c r="P2" s="1348"/>
      <c r="Q2" s="1348"/>
      <c r="R2" s="1348"/>
      <c r="S2" s="1348"/>
      <c r="T2" s="1348"/>
      <c r="U2" s="1348"/>
      <c r="V2" s="1348"/>
      <c r="W2" s="837"/>
      <c r="X2" s="837"/>
      <c r="Y2" s="837"/>
    </row>
    <row r="3" spans="1:25" s="839" customFormat="1" ht="27.75" customHeight="1">
      <c r="A3" s="1349" t="s">
        <v>1004</v>
      </c>
      <c r="B3" s="1349" t="s">
        <v>1860</v>
      </c>
      <c r="C3" s="1350" t="s">
        <v>261</v>
      </c>
      <c r="D3" s="1350" t="s">
        <v>1604</v>
      </c>
      <c r="E3" s="1350" t="s">
        <v>1861</v>
      </c>
      <c r="F3" s="1351" t="s">
        <v>1862</v>
      </c>
      <c r="G3" s="1353" t="s">
        <v>136</v>
      </c>
      <c r="H3" s="1354" t="s">
        <v>155</v>
      </c>
      <c r="I3" s="1355" t="s">
        <v>606</v>
      </c>
      <c r="J3" s="1355"/>
      <c r="K3" s="1355" t="s">
        <v>868</v>
      </c>
      <c r="L3" s="1355"/>
      <c r="M3" s="1355" t="s">
        <v>646</v>
      </c>
      <c r="N3" s="1355"/>
      <c r="O3" s="1355" t="s">
        <v>1863</v>
      </c>
      <c r="P3" s="1355"/>
      <c r="Q3" s="1355" t="s">
        <v>1912</v>
      </c>
      <c r="R3" s="1355"/>
      <c r="S3" s="1355" t="s">
        <v>1864</v>
      </c>
      <c r="T3" s="1355"/>
      <c r="U3" s="1355" t="s">
        <v>104</v>
      </c>
      <c r="V3" s="1355"/>
      <c r="W3" s="838" t="s">
        <v>1633</v>
      </c>
    </row>
    <row r="4" spans="1:25" s="840" customFormat="1" ht="21.75" customHeight="1">
      <c r="A4" s="1349"/>
      <c r="B4" s="1349"/>
      <c r="C4" s="1350"/>
      <c r="D4" s="1350"/>
      <c r="E4" s="1350"/>
      <c r="F4" s="1352"/>
      <c r="G4" s="1353"/>
      <c r="H4" s="1354"/>
      <c r="I4" s="838" t="s">
        <v>1865</v>
      </c>
      <c r="J4" s="838" t="s">
        <v>100</v>
      </c>
      <c r="K4" s="838" t="s">
        <v>1865</v>
      </c>
      <c r="L4" s="838" t="s">
        <v>100</v>
      </c>
      <c r="M4" s="838" t="s">
        <v>1865</v>
      </c>
      <c r="N4" s="838" t="s">
        <v>100</v>
      </c>
      <c r="O4" s="838" t="s">
        <v>1865</v>
      </c>
      <c r="P4" s="838" t="s">
        <v>100</v>
      </c>
      <c r="Q4" s="838" t="s">
        <v>1865</v>
      </c>
      <c r="R4" s="838" t="s">
        <v>100</v>
      </c>
      <c r="S4" s="838" t="s">
        <v>1865</v>
      </c>
      <c r="T4" s="838" t="s">
        <v>100</v>
      </c>
      <c r="U4" s="838" t="s">
        <v>1865</v>
      </c>
      <c r="V4" s="838" t="s">
        <v>100</v>
      </c>
      <c r="W4" s="838" t="s">
        <v>100</v>
      </c>
      <c r="X4" s="839"/>
      <c r="Y4" s="839"/>
    </row>
    <row r="5" spans="1:25" s="840" customFormat="1" ht="19.5" customHeight="1">
      <c r="A5" s="841">
        <v>1</v>
      </c>
      <c r="B5" s="841">
        <v>2</v>
      </c>
      <c r="C5" s="841">
        <v>3</v>
      </c>
      <c r="D5" s="841">
        <v>4</v>
      </c>
      <c r="E5" s="841">
        <v>5</v>
      </c>
      <c r="F5" s="841">
        <v>6</v>
      </c>
      <c r="G5" s="911">
        <v>4</v>
      </c>
      <c r="H5" s="916">
        <v>5</v>
      </c>
      <c r="I5" s="841">
        <v>6</v>
      </c>
      <c r="J5" s="841">
        <v>7</v>
      </c>
      <c r="K5" s="841">
        <v>8</v>
      </c>
      <c r="L5" s="841">
        <v>9</v>
      </c>
      <c r="M5" s="841">
        <v>10</v>
      </c>
      <c r="N5" s="841">
        <v>11</v>
      </c>
      <c r="O5" s="841">
        <v>12</v>
      </c>
      <c r="P5" s="841">
        <v>13</v>
      </c>
      <c r="Q5" s="841">
        <v>14</v>
      </c>
      <c r="R5" s="841">
        <v>15</v>
      </c>
      <c r="S5" s="841">
        <v>16</v>
      </c>
      <c r="T5" s="841">
        <v>17</v>
      </c>
      <c r="U5" s="841">
        <v>18</v>
      </c>
      <c r="V5" s="841">
        <v>19</v>
      </c>
      <c r="W5" s="841">
        <v>20</v>
      </c>
      <c r="X5" s="842"/>
      <c r="Y5" s="842"/>
    </row>
    <row r="6" spans="1:25" s="840" customFormat="1" ht="15">
      <c r="A6" s="838">
        <v>1</v>
      </c>
      <c r="B6" s="843" t="s">
        <v>1319</v>
      </c>
      <c r="C6" s="844">
        <f>'ground floor'!I43</f>
        <v>49.1</v>
      </c>
      <c r="D6" s="844"/>
      <c r="E6" s="844"/>
      <c r="F6" s="844"/>
      <c r="G6" s="912">
        <f>C6+D6+E6+F6</f>
        <v>49.1</v>
      </c>
      <c r="H6" s="917" t="s">
        <v>161</v>
      </c>
      <c r="I6" s="843">
        <v>1</v>
      </c>
      <c r="J6" s="845">
        <f>ROUND(G6*I6,2)</f>
        <v>49.1</v>
      </c>
      <c r="K6" s="843"/>
      <c r="L6" s="845"/>
      <c r="M6" s="843"/>
      <c r="N6" s="845"/>
      <c r="O6" s="845"/>
      <c r="P6" s="845"/>
      <c r="Q6" s="845"/>
      <c r="R6" s="845"/>
      <c r="S6" s="844"/>
      <c r="T6" s="844"/>
      <c r="U6" s="844"/>
      <c r="V6" s="844"/>
      <c r="W6" s="844"/>
      <c r="X6" s="846"/>
      <c r="Y6" s="846"/>
    </row>
    <row r="7" spans="1:25" s="840" customFormat="1" ht="15">
      <c r="A7" s="838">
        <v>2</v>
      </c>
      <c r="B7" s="843" t="s">
        <v>387</v>
      </c>
      <c r="C7" s="844">
        <f>'ground floor'!I86</f>
        <v>20.760000000000005</v>
      </c>
      <c r="D7" s="844"/>
      <c r="E7" s="844"/>
      <c r="F7" s="844"/>
      <c r="G7" s="912">
        <f t="shared" ref="G7:G30" si="0">C7+D7+E7+F7</f>
        <v>20.760000000000005</v>
      </c>
      <c r="H7" s="917" t="s">
        <v>161</v>
      </c>
      <c r="I7" s="843"/>
      <c r="J7" s="845"/>
      <c r="K7" s="843"/>
      <c r="L7" s="845"/>
      <c r="M7" s="843">
        <v>0.45</v>
      </c>
      <c r="N7" s="845">
        <f t="shared" ref="N7:N16" si="1">ROUND(G7*M7,2)</f>
        <v>9.34</v>
      </c>
      <c r="O7" s="845">
        <v>0.9</v>
      </c>
      <c r="P7" s="845">
        <f>ROUND(G7*O7,2)</f>
        <v>18.68</v>
      </c>
      <c r="Q7" s="845"/>
      <c r="R7" s="845"/>
      <c r="S7" s="844"/>
      <c r="T7" s="844"/>
      <c r="U7" s="844">
        <v>162</v>
      </c>
      <c r="V7" s="844">
        <f t="shared" ref="V7:V30" si="2">ROUND(G7*U7,2)</f>
        <v>3363.12</v>
      </c>
      <c r="W7" s="844"/>
      <c r="X7" s="846"/>
      <c r="Y7" s="846"/>
    </row>
    <row r="8" spans="1:25" s="840" customFormat="1" ht="15">
      <c r="A8" s="838">
        <v>3</v>
      </c>
      <c r="B8" s="843" t="s">
        <v>2081</v>
      </c>
      <c r="C8" s="844">
        <f>'ground floor'!I94</f>
        <v>13.3</v>
      </c>
      <c r="D8" s="844"/>
      <c r="E8" s="844"/>
      <c r="F8" s="844"/>
      <c r="G8" s="912">
        <f t="shared" si="0"/>
        <v>13.3</v>
      </c>
      <c r="H8" s="917" t="s">
        <v>161</v>
      </c>
      <c r="I8" s="843"/>
      <c r="J8" s="845"/>
      <c r="K8" s="843"/>
      <c r="L8" s="845"/>
      <c r="M8" s="844">
        <v>0.4</v>
      </c>
      <c r="N8" s="845">
        <f t="shared" si="1"/>
        <v>5.32</v>
      </c>
      <c r="O8" s="845"/>
      <c r="P8" s="845"/>
      <c r="Q8" s="845">
        <v>0.8</v>
      </c>
      <c r="R8" s="845">
        <f t="shared" ref="R8:R16" si="3">ROUND(G8*Q8,2)</f>
        <v>10.64</v>
      </c>
      <c r="S8" s="844"/>
      <c r="T8" s="844"/>
      <c r="U8" s="844">
        <v>330</v>
      </c>
      <c r="V8" s="844">
        <f t="shared" si="2"/>
        <v>4389</v>
      </c>
      <c r="W8" s="844"/>
      <c r="X8" s="846"/>
      <c r="Y8" s="846"/>
    </row>
    <row r="9" spans="1:25" s="840" customFormat="1" ht="15">
      <c r="A9" s="838">
        <v>4</v>
      </c>
      <c r="B9" s="843" t="s">
        <v>2082</v>
      </c>
      <c r="C9" s="844">
        <f>'ground floor'!I99</f>
        <v>2.59</v>
      </c>
      <c r="D9" s="844"/>
      <c r="E9" s="844"/>
      <c r="F9" s="844"/>
      <c r="G9" s="912">
        <f t="shared" si="0"/>
        <v>2.59</v>
      </c>
      <c r="H9" s="917" t="s">
        <v>161</v>
      </c>
      <c r="I9" s="843"/>
      <c r="J9" s="845"/>
      <c r="K9" s="843"/>
      <c r="L9" s="845"/>
      <c r="M9" s="844">
        <v>0.4</v>
      </c>
      <c r="N9" s="845">
        <f t="shared" si="1"/>
        <v>1.04</v>
      </c>
      <c r="O9" s="845"/>
      <c r="P9" s="845"/>
      <c r="Q9" s="845">
        <v>0.8</v>
      </c>
      <c r="R9" s="845">
        <f t="shared" si="3"/>
        <v>2.0699999999999998</v>
      </c>
      <c r="S9" s="844"/>
      <c r="T9" s="844"/>
      <c r="U9" s="844">
        <f>U8</f>
        <v>330</v>
      </c>
      <c r="V9" s="844">
        <f t="shared" si="2"/>
        <v>854.7</v>
      </c>
      <c r="W9" s="844"/>
      <c r="X9" s="846"/>
      <c r="Y9" s="846"/>
    </row>
    <row r="10" spans="1:25" s="840" customFormat="1" ht="15">
      <c r="A10" s="838">
        <v>5</v>
      </c>
      <c r="B10" s="843" t="s">
        <v>2083</v>
      </c>
      <c r="C10" s="844">
        <f>'ground floor'!I114</f>
        <v>4.8899999999999997</v>
      </c>
      <c r="D10" s="844"/>
      <c r="E10" s="844"/>
      <c r="F10" s="844"/>
      <c r="G10" s="912">
        <f t="shared" si="0"/>
        <v>4.8899999999999997</v>
      </c>
      <c r="H10" s="917" t="s">
        <v>161</v>
      </c>
      <c r="I10" s="843"/>
      <c r="J10" s="845"/>
      <c r="K10" s="843"/>
      <c r="L10" s="845"/>
      <c r="M10" s="844">
        <v>0.4</v>
      </c>
      <c r="N10" s="845">
        <f t="shared" si="1"/>
        <v>1.96</v>
      </c>
      <c r="O10" s="845"/>
      <c r="P10" s="845"/>
      <c r="Q10" s="845">
        <v>0.8</v>
      </c>
      <c r="R10" s="845">
        <f t="shared" si="3"/>
        <v>3.91</v>
      </c>
      <c r="S10" s="844"/>
      <c r="T10" s="844"/>
      <c r="U10" s="844">
        <f>U9</f>
        <v>330</v>
      </c>
      <c r="V10" s="844">
        <f t="shared" si="2"/>
        <v>1613.7</v>
      </c>
      <c r="W10" s="844"/>
      <c r="X10" s="846"/>
      <c r="Y10" s="846"/>
    </row>
    <row r="11" spans="1:25" s="840" customFormat="1" ht="15">
      <c r="A11" s="838">
        <v>6</v>
      </c>
      <c r="B11" s="843" t="s">
        <v>2084</v>
      </c>
      <c r="C11" s="844">
        <f>'ground floor'!I122</f>
        <v>5.87</v>
      </c>
      <c r="D11" s="844">
        <f>'first floor'!I16</f>
        <v>0</v>
      </c>
      <c r="E11" s="844"/>
      <c r="F11" s="844"/>
      <c r="G11" s="912">
        <f t="shared" si="0"/>
        <v>5.87</v>
      </c>
      <c r="H11" s="917" t="s">
        <v>161</v>
      </c>
      <c r="I11" s="843"/>
      <c r="J11" s="845"/>
      <c r="K11" s="843"/>
      <c r="L11" s="845"/>
      <c r="M11" s="844">
        <v>0.4</v>
      </c>
      <c r="N11" s="845">
        <f t="shared" si="1"/>
        <v>2.35</v>
      </c>
      <c r="O11" s="845"/>
      <c r="P11" s="845"/>
      <c r="Q11" s="845">
        <v>0.8</v>
      </c>
      <c r="R11" s="845">
        <f t="shared" si="3"/>
        <v>4.7</v>
      </c>
      <c r="S11" s="844"/>
      <c r="T11" s="844"/>
      <c r="U11" s="844">
        <f>U10</f>
        <v>330</v>
      </c>
      <c r="V11" s="844">
        <f t="shared" si="2"/>
        <v>1937.1</v>
      </c>
      <c r="W11" s="844"/>
      <c r="X11" s="846"/>
      <c r="Y11" s="846"/>
    </row>
    <row r="12" spans="1:25" s="840" customFormat="1" ht="15">
      <c r="A12" s="838">
        <v>7</v>
      </c>
      <c r="B12" s="843" t="s">
        <v>2085</v>
      </c>
      <c r="C12" s="844">
        <f>'ground floor'!I138</f>
        <v>2.2600000000000002</v>
      </c>
      <c r="D12" s="844">
        <f>'first floor'!I26</f>
        <v>0</v>
      </c>
      <c r="E12" s="844"/>
      <c r="F12" s="844"/>
      <c r="G12" s="912">
        <f t="shared" si="0"/>
        <v>2.2600000000000002</v>
      </c>
      <c r="H12" s="917" t="s">
        <v>161</v>
      </c>
      <c r="I12" s="843"/>
      <c r="J12" s="845"/>
      <c r="K12" s="843"/>
      <c r="L12" s="845"/>
      <c r="M12" s="844">
        <v>0.4</v>
      </c>
      <c r="N12" s="845">
        <f t="shared" si="1"/>
        <v>0.9</v>
      </c>
      <c r="O12" s="845"/>
      <c r="P12" s="845"/>
      <c r="Q12" s="845">
        <v>0.8</v>
      </c>
      <c r="R12" s="845">
        <f t="shared" si="3"/>
        <v>1.81</v>
      </c>
      <c r="S12" s="844"/>
      <c r="T12" s="844"/>
      <c r="U12" s="844">
        <f>U11</f>
        <v>330</v>
      </c>
      <c r="V12" s="844">
        <f t="shared" si="2"/>
        <v>745.8</v>
      </c>
      <c r="W12" s="844"/>
      <c r="X12" s="846"/>
      <c r="Y12" s="846"/>
    </row>
    <row r="13" spans="1:25" s="840" customFormat="1" ht="15" hidden="1">
      <c r="A13" s="838">
        <v>8</v>
      </c>
      <c r="B13" s="843" t="s">
        <v>2086</v>
      </c>
      <c r="C13" s="844">
        <f>'ground floor'!I147</f>
        <v>0</v>
      </c>
      <c r="D13" s="844">
        <f>'first floor'!I40</f>
        <v>0</v>
      </c>
      <c r="E13" s="844"/>
      <c r="F13" s="844"/>
      <c r="G13" s="912">
        <f t="shared" si="0"/>
        <v>0</v>
      </c>
      <c r="H13" s="917" t="s">
        <v>536</v>
      </c>
      <c r="I13" s="843"/>
      <c r="J13" s="845"/>
      <c r="K13" s="843"/>
      <c r="L13" s="845"/>
      <c r="M13" s="847">
        <f>ROUND(0.4*0.15,3)</f>
        <v>0.06</v>
      </c>
      <c r="N13" s="845">
        <f t="shared" si="1"/>
        <v>0</v>
      </c>
      <c r="O13" s="845"/>
      <c r="P13" s="845"/>
      <c r="Q13" s="847">
        <f>ROUND(0.8*0.15,3)</f>
        <v>0.12</v>
      </c>
      <c r="R13" s="845">
        <f t="shared" si="3"/>
        <v>0</v>
      </c>
      <c r="S13" s="844"/>
      <c r="T13" s="844"/>
      <c r="U13" s="844">
        <f>ROUND(330*0.15,2)</f>
        <v>49.5</v>
      </c>
      <c r="V13" s="844">
        <f t="shared" si="2"/>
        <v>0</v>
      </c>
      <c r="W13" s="844"/>
      <c r="X13" s="846"/>
      <c r="Y13" s="846"/>
    </row>
    <row r="14" spans="1:25" s="840" customFormat="1" ht="15">
      <c r="A14" s="838">
        <v>8</v>
      </c>
      <c r="B14" s="843" t="s">
        <v>2087</v>
      </c>
      <c r="C14" s="844">
        <f>'ground floor'!I152</f>
        <v>131.91</v>
      </c>
      <c r="D14" s="844">
        <f>'first floor'!I37</f>
        <v>0</v>
      </c>
      <c r="E14" s="844"/>
      <c r="F14" s="844"/>
      <c r="G14" s="912">
        <f t="shared" si="0"/>
        <v>131.91</v>
      </c>
      <c r="H14" s="917" t="s">
        <v>536</v>
      </c>
      <c r="I14" s="843"/>
      <c r="J14" s="845"/>
      <c r="K14" s="843"/>
      <c r="L14" s="845"/>
      <c r="M14" s="847">
        <f>ROUND(0.4*0.125,3)</f>
        <v>0.05</v>
      </c>
      <c r="N14" s="845">
        <f t="shared" si="1"/>
        <v>6.6</v>
      </c>
      <c r="O14" s="845"/>
      <c r="P14" s="845"/>
      <c r="Q14" s="847">
        <f>ROUND(0.8*0.125,3)</f>
        <v>0.1</v>
      </c>
      <c r="R14" s="845">
        <f t="shared" si="3"/>
        <v>13.19</v>
      </c>
      <c r="S14" s="844"/>
      <c r="T14" s="844"/>
      <c r="U14" s="844">
        <f>ROUND(330*0.125,2)</f>
        <v>41.25</v>
      </c>
      <c r="V14" s="844">
        <f t="shared" si="2"/>
        <v>5441.29</v>
      </c>
      <c r="W14" s="844"/>
      <c r="X14" s="846"/>
      <c r="Y14" s="846"/>
    </row>
    <row r="15" spans="1:25" s="840" customFormat="1" ht="15">
      <c r="A15" s="838">
        <v>9</v>
      </c>
      <c r="B15" s="843" t="s">
        <v>2088</v>
      </c>
      <c r="C15" s="844">
        <f>'ground floor'!I160</f>
        <v>5.3900000000000006</v>
      </c>
      <c r="D15" s="844">
        <f>'first floor'!I50</f>
        <v>0</v>
      </c>
      <c r="E15" s="844"/>
      <c r="F15" s="844"/>
      <c r="G15" s="912">
        <f t="shared" si="0"/>
        <v>5.3900000000000006</v>
      </c>
      <c r="H15" s="917" t="s">
        <v>161</v>
      </c>
      <c r="I15" s="843"/>
      <c r="J15" s="845"/>
      <c r="K15" s="843"/>
      <c r="L15" s="845"/>
      <c r="M15" s="843">
        <v>0.4</v>
      </c>
      <c r="N15" s="845">
        <f t="shared" si="1"/>
        <v>2.16</v>
      </c>
      <c r="O15" s="845"/>
      <c r="P15" s="845"/>
      <c r="Q15" s="845">
        <v>0.8</v>
      </c>
      <c r="R15" s="845">
        <f t="shared" si="3"/>
        <v>4.3099999999999996</v>
      </c>
      <c r="S15" s="844"/>
      <c r="T15" s="844"/>
      <c r="U15" s="844">
        <f>U12</f>
        <v>330</v>
      </c>
      <c r="V15" s="844">
        <f t="shared" si="2"/>
        <v>1778.7</v>
      </c>
      <c r="W15" s="844"/>
      <c r="X15" s="846"/>
      <c r="Y15" s="846"/>
    </row>
    <row r="16" spans="1:25" s="840" customFormat="1" ht="15">
      <c r="A16" s="838">
        <v>10</v>
      </c>
      <c r="B16" s="843" t="s">
        <v>2089</v>
      </c>
      <c r="C16" s="844">
        <f>'ground floor'!I172</f>
        <v>20.239999999999998</v>
      </c>
      <c r="D16" s="844">
        <f>'first floor'!I32</f>
        <v>0</v>
      </c>
      <c r="E16" s="844"/>
      <c r="F16" s="844"/>
      <c r="G16" s="912">
        <f t="shared" si="0"/>
        <v>20.239999999999998</v>
      </c>
      <c r="H16" s="917" t="s">
        <v>369</v>
      </c>
      <c r="I16" s="843"/>
      <c r="J16" s="845"/>
      <c r="K16" s="843"/>
      <c r="L16" s="845"/>
      <c r="M16" s="847">
        <f>ROUND(0.4*0.0375,3)</f>
        <v>1.4999999999999999E-2</v>
      </c>
      <c r="N16" s="845">
        <f t="shared" si="1"/>
        <v>0.3</v>
      </c>
      <c r="O16" s="845"/>
      <c r="P16" s="845"/>
      <c r="Q16" s="847">
        <f>ROUND(0.8*0.0375,3)</f>
        <v>0.03</v>
      </c>
      <c r="R16" s="845">
        <f t="shared" si="3"/>
        <v>0.61</v>
      </c>
      <c r="S16" s="844"/>
      <c r="T16" s="844"/>
      <c r="U16" s="844">
        <f>ROUND(330*0.0375,2)</f>
        <v>12.38</v>
      </c>
      <c r="V16" s="844">
        <f t="shared" si="2"/>
        <v>250.57</v>
      </c>
      <c r="W16" s="844"/>
      <c r="X16" s="846"/>
      <c r="Y16" s="846"/>
    </row>
    <row r="17" spans="1:25" s="840" customFormat="1" ht="15">
      <c r="A17" s="838">
        <v>11</v>
      </c>
      <c r="B17" s="843" t="s">
        <v>1872</v>
      </c>
      <c r="C17" s="844">
        <f>'ground floor'!I212</f>
        <v>32.119999999999997</v>
      </c>
      <c r="D17" s="844"/>
      <c r="E17" s="844"/>
      <c r="F17" s="844"/>
      <c r="G17" s="912">
        <f t="shared" si="0"/>
        <v>32.119999999999997</v>
      </c>
      <c r="H17" s="917" t="s">
        <v>161</v>
      </c>
      <c r="I17" s="844"/>
      <c r="J17" s="845"/>
      <c r="K17" s="844">
        <v>0.2</v>
      </c>
      <c r="L17" s="845">
        <f t="shared" ref="L17:L25" si="4">ROUND(G17*K17,2)</f>
        <v>6.42</v>
      </c>
      <c r="M17" s="844"/>
      <c r="N17" s="845"/>
      <c r="O17" s="845"/>
      <c r="P17" s="845"/>
      <c r="Q17" s="845"/>
      <c r="R17" s="845"/>
      <c r="S17" s="847">
        <v>0.51200000000000001</v>
      </c>
      <c r="T17" s="844">
        <f>ROUND(G17*S17,2)</f>
        <v>16.45</v>
      </c>
      <c r="U17" s="844">
        <v>36</v>
      </c>
      <c r="V17" s="844">
        <f t="shared" si="2"/>
        <v>1156.32</v>
      </c>
      <c r="W17" s="844"/>
      <c r="X17" s="846"/>
      <c r="Y17" s="846"/>
    </row>
    <row r="18" spans="1:25" s="840" customFormat="1" ht="15">
      <c r="A18" s="838">
        <v>12</v>
      </c>
      <c r="B18" s="843" t="s">
        <v>1871</v>
      </c>
      <c r="C18" s="844">
        <f>'ground floor'!I227</f>
        <v>9.77</v>
      </c>
      <c r="D18" s="844">
        <f>'first floor'!I60</f>
        <v>0</v>
      </c>
      <c r="E18" s="844"/>
      <c r="F18" s="844"/>
      <c r="G18" s="912">
        <f t="shared" si="0"/>
        <v>9.77</v>
      </c>
      <c r="H18" s="917" t="s">
        <v>161</v>
      </c>
      <c r="I18" s="844"/>
      <c r="J18" s="845"/>
      <c r="K18" s="844">
        <v>0.2</v>
      </c>
      <c r="L18" s="845">
        <f t="shared" si="4"/>
        <v>1.95</v>
      </c>
      <c r="M18" s="844"/>
      <c r="N18" s="845"/>
      <c r="O18" s="845"/>
      <c r="P18" s="845"/>
      <c r="Q18" s="845"/>
      <c r="R18" s="845"/>
      <c r="S18" s="847">
        <v>0.51200000000000001</v>
      </c>
      <c r="T18" s="844">
        <f>ROUND(G18*S18,2)</f>
        <v>5</v>
      </c>
      <c r="U18" s="844">
        <v>48</v>
      </c>
      <c r="V18" s="844">
        <f t="shared" si="2"/>
        <v>468.96</v>
      </c>
      <c r="W18" s="844"/>
      <c r="X18" s="846"/>
      <c r="Y18" s="846"/>
    </row>
    <row r="19" spans="1:25" s="840" customFormat="1" ht="15">
      <c r="A19" s="838">
        <v>13</v>
      </c>
      <c r="B19" s="843" t="s">
        <v>1873</v>
      </c>
      <c r="C19" s="844">
        <f>'ground floor'!I238</f>
        <v>0</v>
      </c>
      <c r="D19" s="844">
        <f>'first floor'!I76</f>
        <v>0</v>
      </c>
      <c r="E19" s="844"/>
      <c r="F19" s="844"/>
      <c r="G19" s="912">
        <f t="shared" si="0"/>
        <v>0</v>
      </c>
      <c r="H19" s="917" t="s">
        <v>536</v>
      </c>
      <c r="I19" s="844"/>
      <c r="J19" s="845"/>
      <c r="K19" s="847">
        <f>ROUND(0.2*0.1,3)</f>
        <v>0.02</v>
      </c>
      <c r="L19" s="845">
        <f t="shared" si="4"/>
        <v>0</v>
      </c>
      <c r="M19" s="844"/>
      <c r="N19" s="845"/>
      <c r="O19" s="845"/>
      <c r="P19" s="845"/>
      <c r="Q19" s="845"/>
      <c r="R19" s="845"/>
      <c r="S19" s="847">
        <f>ROUND(0.565*0.1,3)</f>
        <v>5.7000000000000002E-2</v>
      </c>
      <c r="T19" s="844">
        <f>ROUND(G19*S19,2)</f>
        <v>0</v>
      </c>
      <c r="U19" s="844">
        <f>ROUND(72*0.1,2)</f>
        <v>7.2</v>
      </c>
      <c r="V19" s="844">
        <f t="shared" si="2"/>
        <v>0</v>
      </c>
      <c r="W19" s="844"/>
      <c r="X19" s="846"/>
      <c r="Y19" s="846"/>
    </row>
    <row r="20" spans="1:25" s="840" customFormat="1" ht="30">
      <c r="A20" s="1086">
        <v>14</v>
      </c>
      <c r="B20" s="843" t="s">
        <v>1870</v>
      </c>
      <c r="C20" s="844">
        <f>'ground floor'!I165</f>
        <v>131.91</v>
      </c>
      <c r="D20" s="844"/>
      <c r="E20" s="844"/>
      <c r="F20" s="844"/>
      <c r="G20" s="912">
        <f>C20+D20+E20+F20</f>
        <v>131.91</v>
      </c>
      <c r="H20" s="917" t="s">
        <v>536</v>
      </c>
      <c r="I20" s="843"/>
      <c r="J20" s="845"/>
      <c r="K20" s="843">
        <v>2.1000000000000001E-2</v>
      </c>
      <c r="L20" s="845">
        <f>ROUND(G20*K20,2)</f>
        <v>2.77</v>
      </c>
      <c r="M20" s="843"/>
      <c r="N20" s="845"/>
      <c r="O20" s="845"/>
      <c r="P20" s="845"/>
      <c r="Q20" s="845"/>
      <c r="R20" s="845"/>
      <c r="S20" s="844"/>
      <c r="T20" s="844"/>
      <c r="U20" s="844">
        <v>10.08</v>
      </c>
      <c r="V20" s="844">
        <f t="shared" ref="V20" si="5">ROUND(G20*U20,2)</f>
        <v>1329.65</v>
      </c>
      <c r="W20" s="844"/>
      <c r="X20" s="846"/>
      <c r="Y20" s="846"/>
    </row>
    <row r="21" spans="1:25" s="840" customFormat="1" ht="15">
      <c r="A21" s="838">
        <v>15</v>
      </c>
      <c r="B21" s="843" t="s">
        <v>1909</v>
      </c>
      <c r="C21" s="844">
        <f>'ground floor'!I253</f>
        <v>324.55</v>
      </c>
      <c r="D21" s="844">
        <f>'first floor'!I154</f>
        <v>0</v>
      </c>
      <c r="E21" s="844"/>
      <c r="F21" s="844"/>
      <c r="G21" s="912">
        <f t="shared" si="0"/>
        <v>324.55</v>
      </c>
      <c r="H21" s="917" t="s">
        <v>536</v>
      </c>
      <c r="I21" s="843"/>
      <c r="J21" s="845"/>
      <c r="K21" s="843">
        <f>ROUND(0.015*1,3)</f>
        <v>1.4999999999999999E-2</v>
      </c>
      <c r="L21" s="845">
        <f t="shared" si="4"/>
        <v>4.87</v>
      </c>
      <c r="M21" s="843"/>
      <c r="N21" s="845"/>
      <c r="O21" s="845"/>
      <c r="P21" s="844"/>
      <c r="Q21" s="845"/>
      <c r="R21" s="844"/>
      <c r="S21" s="844"/>
      <c r="T21" s="844"/>
      <c r="U21" s="844">
        <v>5.09</v>
      </c>
      <c r="V21" s="844">
        <f t="shared" si="2"/>
        <v>1651.96</v>
      </c>
      <c r="W21" s="844"/>
      <c r="X21" s="846"/>
      <c r="Y21" s="846"/>
    </row>
    <row r="22" spans="1:25" s="840" customFormat="1" ht="15">
      <c r="A22" s="838">
        <v>16</v>
      </c>
      <c r="B22" s="843" t="s">
        <v>1910</v>
      </c>
      <c r="C22" s="844">
        <f>'ground floor'!I262</f>
        <v>184.73</v>
      </c>
      <c r="D22" s="844">
        <f>'first floor'!I162</f>
        <v>0</v>
      </c>
      <c r="E22" s="844"/>
      <c r="F22" s="844"/>
      <c r="G22" s="912">
        <f t="shared" si="0"/>
        <v>184.73</v>
      </c>
      <c r="H22" s="917" t="s">
        <v>536</v>
      </c>
      <c r="I22" s="843"/>
      <c r="J22" s="845"/>
      <c r="K22" s="843">
        <f>ROUND(0.021*1.05,3)</f>
        <v>2.1999999999999999E-2</v>
      </c>
      <c r="L22" s="845">
        <f t="shared" si="4"/>
        <v>4.0599999999999996</v>
      </c>
      <c r="M22" s="843"/>
      <c r="N22" s="845"/>
      <c r="O22" s="845"/>
      <c r="P22" s="844"/>
      <c r="Q22" s="845"/>
      <c r="R22" s="844"/>
      <c r="S22" s="844"/>
      <c r="T22" s="844"/>
      <c r="U22" s="844">
        <v>5.75</v>
      </c>
      <c r="V22" s="844">
        <f t="shared" si="2"/>
        <v>1062.2</v>
      </c>
      <c r="W22" s="844"/>
      <c r="X22" s="846"/>
      <c r="Y22" s="846"/>
    </row>
    <row r="23" spans="1:25" s="840" customFormat="1" ht="30">
      <c r="A23" s="838">
        <v>17</v>
      </c>
      <c r="B23" s="843" t="s">
        <v>1874</v>
      </c>
      <c r="C23" s="844">
        <f>'ground floor'!I287</f>
        <v>176.97000000000003</v>
      </c>
      <c r="D23" s="844">
        <f>'first floor'!I126</f>
        <v>0</v>
      </c>
      <c r="E23" s="844"/>
      <c r="F23" s="844"/>
      <c r="G23" s="912">
        <f t="shared" si="0"/>
        <v>176.97000000000003</v>
      </c>
      <c r="H23" s="917" t="s">
        <v>536</v>
      </c>
      <c r="I23" s="843"/>
      <c r="J23" s="845"/>
      <c r="K23" s="843">
        <f>ROUND(0.015*1.05,3)</f>
        <v>1.6E-2</v>
      </c>
      <c r="L23" s="845">
        <f t="shared" si="4"/>
        <v>2.83</v>
      </c>
      <c r="M23" s="843"/>
      <c r="N23" s="845"/>
      <c r="O23" s="845"/>
      <c r="P23" s="845"/>
      <c r="Q23" s="845"/>
      <c r="R23" s="845"/>
      <c r="S23" s="844"/>
      <c r="T23" s="844"/>
      <c r="U23" s="844">
        <v>7.2</v>
      </c>
      <c r="V23" s="844">
        <f t="shared" si="2"/>
        <v>1274.18</v>
      </c>
      <c r="W23" s="844"/>
      <c r="X23" s="846"/>
      <c r="Y23" s="846"/>
    </row>
    <row r="24" spans="1:25" s="840" customFormat="1" ht="23.25" customHeight="1">
      <c r="A24" s="838">
        <v>18</v>
      </c>
      <c r="B24" s="843" t="s">
        <v>1875</v>
      </c>
      <c r="C24" s="844">
        <f>'ground floor'!I299</f>
        <v>98.2</v>
      </c>
      <c r="D24" s="844">
        <f>'first floor'!I100</f>
        <v>0</v>
      </c>
      <c r="E24" s="844"/>
      <c r="F24" s="844"/>
      <c r="G24" s="912">
        <f t="shared" si="0"/>
        <v>98.2</v>
      </c>
      <c r="H24" s="917" t="s">
        <v>536</v>
      </c>
      <c r="I24" s="843"/>
      <c r="J24" s="845"/>
      <c r="K24" s="843">
        <v>1.4E-2</v>
      </c>
      <c r="L24" s="845">
        <f t="shared" si="4"/>
        <v>1.37</v>
      </c>
      <c r="M24" s="843"/>
      <c r="N24" s="845"/>
      <c r="O24" s="845"/>
      <c r="P24" s="844"/>
      <c r="Q24" s="845"/>
      <c r="R24" s="844"/>
      <c r="S24" s="844"/>
      <c r="T24" s="844"/>
      <c r="U24" s="844">
        <v>6.06</v>
      </c>
      <c r="V24" s="844">
        <f t="shared" si="2"/>
        <v>595.09</v>
      </c>
      <c r="W24" s="844"/>
      <c r="X24" s="846"/>
      <c r="Y24" s="846"/>
    </row>
    <row r="25" spans="1:25" s="840" customFormat="1" ht="23.25" customHeight="1">
      <c r="A25" s="838">
        <v>19</v>
      </c>
      <c r="B25" s="843" t="s">
        <v>1876</v>
      </c>
      <c r="C25" s="844">
        <f>'ground floor'!I312</f>
        <v>11.94</v>
      </c>
      <c r="D25" s="844">
        <f>'first floor'!I114</f>
        <v>0</v>
      </c>
      <c r="E25" s="844"/>
      <c r="F25" s="844"/>
      <c r="G25" s="912">
        <f t="shared" si="0"/>
        <v>11.94</v>
      </c>
      <c r="H25" s="917" t="s">
        <v>536</v>
      </c>
      <c r="I25" s="843"/>
      <c r="J25" s="845"/>
      <c r="K25" s="843">
        <v>1.2E-2</v>
      </c>
      <c r="L25" s="845">
        <f t="shared" si="4"/>
        <v>0.14000000000000001</v>
      </c>
      <c r="M25" s="843"/>
      <c r="N25" s="845"/>
      <c r="O25" s="845"/>
      <c r="P25" s="844"/>
      <c r="Q25" s="845"/>
      <c r="R25" s="844"/>
      <c r="S25" s="844"/>
      <c r="T25" s="844"/>
      <c r="U25" s="844">
        <v>9.06</v>
      </c>
      <c r="V25" s="844">
        <f t="shared" si="2"/>
        <v>108.18</v>
      </c>
      <c r="W25" s="844"/>
      <c r="X25" s="846"/>
      <c r="Y25" s="846"/>
    </row>
    <row r="26" spans="1:25" s="840" customFormat="1" ht="23.25" hidden="1" customHeight="1">
      <c r="A26" s="838">
        <v>20</v>
      </c>
      <c r="B26" s="843" t="s">
        <v>1911</v>
      </c>
      <c r="C26" s="844">
        <f>'ground floor'!I318</f>
        <v>0</v>
      </c>
      <c r="D26" s="844">
        <f>'first floor'!I52</f>
        <v>0</v>
      </c>
      <c r="E26" s="844"/>
      <c r="F26" s="844"/>
      <c r="G26" s="912">
        <f t="shared" si="0"/>
        <v>0</v>
      </c>
      <c r="H26" s="917" t="s">
        <v>536</v>
      </c>
      <c r="I26" s="843"/>
      <c r="J26" s="845"/>
      <c r="K26" s="843"/>
      <c r="L26" s="845"/>
      <c r="M26" s="1020">
        <f>ROUND(0.085*0.1,4)</f>
        <v>8.5000000000000006E-3</v>
      </c>
      <c r="N26" s="845">
        <f>ROUND(G26*M26,2)</f>
        <v>0</v>
      </c>
      <c r="O26" s="845"/>
      <c r="P26" s="845"/>
      <c r="Q26" s="847">
        <f>ROUND(0.17*0.1,3)</f>
        <v>1.7000000000000001E-2</v>
      </c>
      <c r="R26" s="845">
        <f>ROUND(G26*Q26,2)</f>
        <v>0</v>
      </c>
      <c r="S26" s="844"/>
      <c r="T26" s="844"/>
      <c r="U26" s="844">
        <f>ROUND(120*0.1,2)</f>
        <v>12</v>
      </c>
      <c r="V26" s="844">
        <f t="shared" si="2"/>
        <v>0</v>
      </c>
      <c r="W26" s="844"/>
      <c r="X26" s="846"/>
      <c r="Y26" s="846"/>
    </row>
    <row r="27" spans="1:25" s="840" customFormat="1" ht="23.25" hidden="1" customHeight="1">
      <c r="A27" s="838">
        <v>21</v>
      </c>
      <c r="B27" s="843" t="s">
        <v>1877</v>
      </c>
      <c r="C27" s="844">
        <f>'ground floor'!I323</f>
        <v>0</v>
      </c>
      <c r="D27" s="844">
        <f>'first floor'!I170</f>
        <v>0</v>
      </c>
      <c r="E27" s="844"/>
      <c r="F27" s="844"/>
      <c r="G27" s="912">
        <f t="shared" si="0"/>
        <v>0</v>
      </c>
      <c r="H27" s="917" t="s">
        <v>536</v>
      </c>
      <c r="I27" s="843"/>
      <c r="J27" s="845"/>
      <c r="K27" s="843">
        <v>1.2E-2</v>
      </c>
      <c r="L27" s="845">
        <f>ROUND(G27*K27,2)</f>
        <v>0</v>
      </c>
      <c r="M27" s="843"/>
      <c r="N27" s="845"/>
      <c r="O27" s="845"/>
      <c r="P27" s="844"/>
      <c r="Q27" s="845"/>
      <c r="R27" s="844"/>
      <c r="S27" s="844"/>
      <c r="T27" s="844"/>
      <c r="U27" s="844">
        <v>5.46</v>
      </c>
      <c r="V27" s="844">
        <f t="shared" si="2"/>
        <v>0</v>
      </c>
      <c r="W27" s="844"/>
      <c r="X27" s="846"/>
      <c r="Y27" s="846"/>
    </row>
    <row r="28" spans="1:25" s="840" customFormat="1" ht="23.25" hidden="1" customHeight="1">
      <c r="A28" s="838">
        <v>22</v>
      </c>
      <c r="B28" s="843" t="s">
        <v>1878</v>
      </c>
      <c r="C28" s="844">
        <f>'ground floor'!I328</f>
        <v>0</v>
      </c>
      <c r="D28" s="844">
        <f>'first floor'!I178</f>
        <v>0</v>
      </c>
      <c r="E28" s="844"/>
      <c r="F28" s="844"/>
      <c r="G28" s="912">
        <f t="shared" si="0"/>
        <v>0</v>
      </c>
      <c r="H28" s="917" t="s">
        <v>536</v>
      </c>
      <c r="I28" s="843"/>
      <c r="J28" s="845"/>
      <c r="K28" s="843">
        <v>1.2E-2</v>
      </c>
      <c r="L28" s="845">
        <f>ROUND(G28*K28,2)</f>
        <v>0</v>
      </c>
      <c r="M28" s="843"/>
      <c r="N28" s="845"/>
      <c r="O28" s="845"/>
      <c r="P28" s="844"/>
      <c r="Q28" s="845"/>
      <c r="R28" s="844"/>
      <c r="S28" s="844"/>
      <c r="T28" s="844"/>
      <c r="U28" s="844">
        <v>9.06</v>
      </c>
      <c r="V28" s="844">
        <f t="shared" si="2"/>
        <v>0</v>
      </c>
      <c r="W28" s="844"/>
      <c r="X28" s="846"/>
      <c r="Y28" s="846"/>
    </row>
    <row r="29" spans="1:25" s="840" customFormat="1" ht="30" hidden="1">
      <c r="A29" s="838">
        <v>23</v>
      </c>
      <c r="B29" s="843" t="s">
        <v>1870</v>
      </c>
      <c r="C29" s="844"/>
      <c r="D29" s="844">
        <f>'first floor'!I118</f>
        <v>0</v>
      </c>
      <c r="E29" s="844"/>
      <c r="F29" s="844"/>
      <c r="G29" s="912">
        <f t="shared" si="0"/>
        <v>0</v>
      </c>
      <c r="H29" s="917" t="s">
        <v>536</v>
      </c>
      <c r="I29" s="843"/>
      <c r="J29" s="845"/>
      <c r="K29" s="843">
        <v>2.1000000000000001E-2</v>
      </c>
      <c r="L29" s="845">
        <f>ROUND(G29*K29,2)</f>
        <v>0</v>
      </c>
      <c r="M29" s="843"/>
      <c r="N29" s="845"/>
      <c r="O29" s="845"/>
      <c r="P29" s="845"/>
      <c r="Q29" s="845"/>
      <c r="R29" s="845"/>
      <c r="S29" s="844"/>
      <c r="T29" s="844"/>
      <c r="U29" s="844">
        <v>10.08</v>
      </c>
      <c r="V29" s="844">
        <f t="shared" si="2"/>
        <v>0</v>
      </c>
      <c r="W29" s="844"/>
      <c r="X29" s="846"/>
      <c r="Y29" s="846"/>
    </row>
    <row r="30" spans="1:25" s="840" customFormat="1" ht="15" hidden="1">
      <c r="A30" s="838">
        <v>1</v>
      </c>
      <c r="B30" s="843" t="s">
        <v>1866</v>
      </c>
      <c r="C30" s="844"/>
      <c r="D30" s="844"/>
      <c r="E30" s="844"/>
      <c r="F30" s="844"/>
      <c r="G30" s="912">
        <f t="shared" si="0"/>
        <v>0</v>
      </c>
      <c r="H30" s="917" t="s">
        <v>161</v>
      </c>
      <c r="I30" s="843"/>
      <c r="J30" s="845"/>
      <c r="K30" s="843"/>
      <c r="L30" s="845"/>
      <c r="M30" s="843">
        <v>0.45</v>
      </c>
      <c r="N30" s="845">
        <f>ROUND(G30*M30,2)</f>
        <v>0</v>
      </c>
      <c r="O30" s="845">
        <v>0.9</v>
      </c>
      <c r="P30" s="845">
        <f>ROUND(G30*O30,2)</f>
        <v>0</v>
      </c>
      <c r="Q30" s="845"/>
      <c r="R30" s="845"/>
      <c r="S30" s="844"/>
      <c r="T30" s="844"/>
      <c r="U30" s="844">
        <v>129.6</v>
      </c>
      <c r="V30" s="844">
        <f t="shared" si="2"/>
        <v>0</v>
      </c>
      <c r="W30" s="844"/>
      <c r="X30" s="846"/>
      <c r="Y30" s="846"/>
    </row>
    <row r="31" spans="1:25" s="840" customFormat="1" ht="15" hidden="1">
      <c r="A31" s="838">
        <v>11</v>
      </c>
      <c r="B31" s="843" t="s">
        <v>1867</v>
      </c>
      <c r="C31" s="844"/>
      <c r="D31" s="844"/>
      <c r="E31" s="844"/>
      <c r="F31" s="844"/>
      <c r="G31" s="912">
        <f>C31+D31+E31+F31</f>
        <v>0</v>
      </c>
      <c r="H31" s="917" t="s">
        <v>536</v>
      </c>
      <c r="I31" s="843"/>
      <c r="J31" s="845"/>
      <c r="K31" s="843"/>
      <c r="L31" s="845"/>
      <c r="M31" s="847">
        <f>ROUND(0.45*0.115,3)</f>
        <v>5.1999999999999998E-2</v>
      </c>
      <c r="N31" s="845">
        <f>ROUND(G31*M31,2)</f>
        <v>0</v>
      </c>
      <c r="O31" s="845"/>
      <c r="P31" s="845"/>
      <c r="Q31" s="847">
        <f>ROUND(0.9*0.115,3)</f>
        <v>0.104</v>
      </c>
      <c r="R31" s="845">
        <f>ROUND(G31*Q31,2)</f>
        <v>0</v>
      </c>
      <c r="S31" s="844"/>
      <c r="T31" s="844"/>
      <c r="U31" s="844">
        <f>ROUND(330*0.115,2)</f>
        <v>37.950000000000003</v>
      </c>
      <c r="V31" s="844">
        <f>ROUND(G31*U31,2)</f>
        <v>0</v>
      </c>
      <c r="W31" s="844"/>
      <c r="X31" s="846"/>
      <c r="Y31" s="846"/>
    </row>
    <row r="32" spans="1:25" s="840" customFormat="1" ht="15" hidden="1">
      <c r="A32" s="838">
        <v>12</v>
      </c>
      <c r="B32" s="843" t="s">
        <v>1868</v>
      </c>
      <c r="C32" s="844"/>
      <c r="D32" s="844"/>
      <c r="E32" s="844"/>
      <c r="F32" s="844"/>
      <c r="G32" s="912">
        <f>C32+D32+E32+F32</f>
        <v>0</v>
      </c>
      <c r="H32" s="917" t="s">
        <v>536</v>
      </c>
      <c r="I32" s="843"/>
      <c r="J32" s="845"/>
      <c r="K32" s="843"/>
      <c r="L32" s="845"/>
      <c r="M32" s="847">
        <f>ROUND(0.45*0.1,3)</f>
        <v>4.4999999999999998E-2</v>
      </c>
      <c r="N32" s="845">
        <f>ROUND(G32*M32,2)</f>
        <v>0</v>
      </c>
      <c r="O32" s="845"/>
      <c r="P32" s="845"/>
      <c r="Q32" s="847">
        <f>ROUND(0.9*0.1,3)</f>
        <v>0.09</v>
      </c>
      <c r="R32" s="845">
        <f>ROUND(G32*Q32,2)</f>
        <v>0</v>
      </c>
      <c r="S32" s="844"/>
      <c r="T32" s="844"/>
      <c r="U32" s="844">
        <f>ROUND(330*0.1,2)</f>
        <v>33</v>
      </c>
      <c r="V32" s="844">
        <f>ROUND(G32*U32,2)</f>
        <v>0</v>
      </c>
      <c r="W32" s="844"/>
      <c r="X32" s="846"/>
      <c r="Y32" s="846"/>
    </row>
    <row r="33" spans="1:25" s="840" customFormat="1" ht="15" hidden="1">
      <c r="A33" s="838">
        <v>14</v>
      </c>
      <c r="B33" s="843" t="s">
        <v>1869</v>
      </c>
      <c r="C33" s="844"/>
      <c r="D33" s="844"/>
      <c r="E33" s="844"/>
      <c r="F33" s="844"/>
      <c r="G33" s="912">
        <f>C33+D33+E33+F33</f>
        <v>0</v>
      </c>
      <c r="H33" s="917" t="s">
        <v>161</v>
      </c>
      <c r="I33" s="843"/>
      <c r="J33" s="845"/>
      <c r="K33" s="843"/>
      <c r="L33" s="845"/>
      <c r="M33" s="843">
        <v>0.45</v>
      </c>
      <c r="N33" s="845">
        <f>ROUND(G33*M33,2)</f>
        <v>0</v>
      </c>
      <c r="O33" s="845"/>
      <c r="P33" s="845"/>
      <c r="Q33" s="845">
        <v>0.9</v>
      </c>
      <c r="R33" s="845">
        <f>ROUND(G33*Q33,2)</f>
        <v>0</v>
      </c>
      <c r="S33" s="844"/>
      <c r="T33" s="844"/>
      <c r="U33" s="844">
        <v>330</v>
      </c>
      <c r="V33" s="844">
        <f>ROUND(G33*U33,2)</f>
        <v>0</v>
      </c>
      <c r="W33" s="844"/>
      <c r="X33" s="846"/>
      <c r="Y33" s="846"/>
    </row>
    <row r="34" spans="1:25" s="840" customFormat="1" ht="23.25" customHeight="1">
      <c r="A34" s="838">
        <v>20</v>
      </c>
      <c r="B34" s="843" t="s">
        <v>1633</v>
      </c>
      <c r="C34" s="844">
        <f>'ground floor'!I407/1000</f>
        <v>4</v>
      </c>
      <c r="D34" s="844">
        <f>'first floor'!I257/1000</f>
        <v>0</v>
      </c>
      <c r="E34" s="844"/>
      <c r="F34" s="844"/>
      <c r="G34" s="912">
        <f>C34+D34+E34+F34</f>
        <v>4</v>
      </c>
      <c r="H34" s="917" t="s">
        <v>604</v>
      </c>
      <c r="I34" s="843"/>
      <c r="J34" s="848"/>
      <c r="K34" s="849"/>
      <c r="L34" s="848"/>
      <c r="M34" s="849"/>
      <c r="N34" s="848"/>
      <c r="O34" s="848"/>
      <c r="P34" s="850"/>
      <c r="Q34" s="848"/>
      <c r="R34" s="850"/>
      <c r="S34" s="850"/>
      <c r="T34" s="850"/>
      <c r="U34" s="850"/>
      <c r="V34" s="850"/>
      <c r="W34" s="850">
        <f>G34</f>
        <v>4</v>
      </c>
      <c r="X34" s="846"/>
      <c r="Y34" s="846"/>
    </row>
    <row r="35" spans="1:25" s="840" customFormat="1" ht="22.5" customHeight="1" thickBot="1">
      <c r="A35" s="838"/>
      <c r="B35" s="843"/>
      <c r="C35" s="843"/>
      <c r="D35" s="843"/>
      <c r="E35" s="843"/>
      <c r="F35" s="843"/>
      <c r="G35" s="913"/>
      <c r="H35" s="917"/>
      <c r="I35" s="843"/>
      <c r="J35" s="851">
        <f>SUM(J6:J34)</f>
        <v>49.1</v>
      </c>
      <c r="K35" s="852"/>
      <c r="L35" s="851">
        <f>SUM(L6:L34)</f>
        <v>24.41</v>
      </c>
      <c r="M35" s="852"/>
      <c r="N35" s="851">
        <f>SUM(N6:N34)</f>
        <v>29.97</v>
      </c>
      <c r="O35" s="851"/>
      <c r="P35" s="851">
        <f>SUM(P6:P34)</f>
        <v>18.68</v>
      </c>
      <c r="Q35" s="851"/>
      <c r="R35" s="851">
        <f>SUM(R6:R34)</f>
        <v>41.24</v>
      </c>
      <c r="S35" s="851"/>
      <c r="T35" s="851">
        <f>SUM(T6:T34)</f>
        <v>21.45</v>
      </c>
      <c r="U35" s="851"/>
      <c r="V35" s="851">
        <f>SUM(V6:V34)</f>
        <v>28020.52</v>
      </c>
      <c r="W35" s="851">
        <f>SUM(W6:W34)</f>
        <v>4</v>
      </c>
      <c r="X35" s="853"/>
      <c r="Y35" s="853"/>
    </row>
    <row r="36" spans="1:25" s="840" customFormat="1" ht="22.5" customHeight="1" thickTop="1">
      <c r="A36" s="838"/>
      <c r="B36" s="843"/>
      <c r="C36" s="843"/>
      <c r="D36" s="843"/>
      <c r="E36" s="843"/>
      <c r="F36" s="843"/>
      <c r="G36" s="913"/>
      <c r="H36" s="917"/>
      <c r="I36" s="843"/>
      <c r="J36" s="854">
        <v>100</v>
      </c>
      <c r="K36" s="855"/>
      <c r="L36" s="854">
        <v>100</v>
      </c>
      <c r="M36" s="855"/>
      <c r="N36" s="854">
        <v>100</v>
      </c>
      <c r="O36" s="854"/>
      <c r="P36" s="856">
        <v>90</v>
      </c>
      <c r="Q36" s="854"/>
      <c r="R36" s="856">
        <v>90</v>
      </c>
      <c r="S36" s="856"/>
      <c r="T36" s="856">
        <v>80</v>
      </c>
      <c r="U36" s="856"/>
      <c r="V36" s="857">
        <v>50</v>
      </c>
      <c r="W36" s="857">
        <v>1</v>
      </c>
      <c r="X36" s="846"/>
      <c r="Y36" s="846"/>
    </row>
    <row r="37" spans="1:25" s="864" customFormat="1" ht="22.5" customHeight="1">
      <c r="A37" s="858"/>
      <c r="B37" s="859"/>
      <c r="C37" s="859"/>
      <c r="D37" s="859"/>
      <c r="E37" s="859"/>
      <c r="F37" s="859"/>
      <c r="G37" s="914"/>
      <c r="H37" s="918"/>
      <c r="I37" s="859"/>
      <c r="J37" s="860">
        <f>ROUND(J35*J36,2)</f>
        <v>4910</v>
      </c>
      <c r="K37" s="861"/>
      <c r="L37" s="860">
        <f>ROUND(L35*L36,2)</f>
        <v>2441</v>
      </c>
      <c r="M37" s="861"/>
      <c r="N37" s="860">
        <f>ROUND(N35*N36,2)</f>
        <v>2997</v>
      </c>
      <c r="O37" s="860"/>
      <c r="P37" s="860">
        <f>ROUND(P35*P36,2)</f>
        <v>1681.2</v>
      </c>
      <c r="Q37" s="860"/>
      <c r="R37" s="860">
        <f>ROUND(R35*R36,2)</f>
        <v>3711.6</v>
      </c>
      <c r="S37" s="860"/>
      <c r="T37" s="860">
        <f>ROUND(T35*T36,2)</f>
        <v>1716</v>
      </c>
      <c r="U37" s="862"/>
      <c r="V37" s="860">
        <f>ROUND(V35/V36,2)</f>
        <v>560.41</v>
      </c>
      <c r="W37" s="860">
        <f>ROUND(W35/W36,2)</f>
        <v>4</v>
      </c>
      <c r="X37" s="863"/>
      <c r="Y37" s="863"/>
    </row>
    <row r="38" spans="1:25" s="864" customFormat="1" ht="22.5" customHeight="1">
      <c r="A38" s="865"/>
      <c r="B38" s="866"/>
      <c r="C38" s="866"/>
      <c r="D38" s="866"/>
      <c r="E38" s="866"/>
      <c r="F38" s="866"/>
      <c r="G38" s="915"/>
      <c r="H38" s="919"/>
      <c r="I38" s="866"/>
      <c r="J38" s="867">
        <f>J37+L37+N37+T37+P37+R37</f>
        <v>17456.8</v>
      </c>
      <c r="K38" s="866" t="s">
        <v>1879</v>
      </c>
      <c r="L38" s="867">
        <f>ROUND(J38,0)</f>
        <v>17457</v>
      </c>
      <c r="M38" s="866"/>
      <c r="N38" s="867"/>
      <c r="O38" s="867"/>
      <c r="P38" s="866"/>
      <c r="Q38" s="867"/>
      <c r="R38" s="866"/>
      <c r="S38" s="866"/>
      <c r="T38" s="868"/>
      <c r="U38" s="868"/>
      <c r="V38" s="867" t="s">
        <v>1880</v>
      </c>
      <c r="W38" s="867" t="s">
        <v>604</v>
      </c>
      <c r="X38" s="863"/>
      <c r="Y38" s="863"/>
    </row>
    <row r="39" spans="1:25" s="869" customFormat="1" ht="22.5" customHeight="1">
      <c r="J39" s="870"/>
      <c r="L39" s="870"/>
      <c r="N39" s="870"/>
      <c r="O39" s="870"/>
      <c r="Q39" s="870"/>
      <c r="X39" s="871"/>
      <c r="Y39" s="871"/>
    </row>
    <row r="40" spans="1:25" s="840" customFormat="1" ht="15">
      <c r="J40" s="872"/>
      <c r="L40" s="872"/>
      <c r="N40" s="872"/>
      <c r="O40" s="872"/>
      <c r="Q40" s="872"/>
      <c r="X40" s="872"/>
      <c r="Y40" s="872"/>
    </row>
    <row r="41" spans="1:25" s="840" customFormat="1" ht="15">
      <c r="J41" s="872"/>
      <c r="L41" s="872"/>
      <c r="N41" s="872"/>
      <c r="O41" s="872"/>
      <c r="Q41" s="872"/>
      <c r="X41" s="872"/>
      <c r="Y41" s="872"/>
    </row>
    <row r="42" spans="1:25" s="840" customFormat="1" ht="15">
      <c r="J42" s="873"/>
      <c r="L42" s="873"/>
      <c r="N42" s="873" t="str">
        <f>'lead 1'!I37</f>
        <v>Deputy Executive Engineer</v>
      </c>
      <c r="O42" s="872"/>
      <c r="Q42" s="872"/>
      <c r="T42" s="873" t="str">
        <f>'lead 1'!L37</f>
        <v>Assistant Engineer</v>
      </c>
      <c r="U42" s="874"/>
      <c r="V42" s="874"/>
      <c r="W42" s="874"/>
      <c r="X42" s="872"/>
      <c r="Y42" s="872"/>
    </row>
    <row r="43" spans="1:25" s="840" customFormat="1" ht="15">
      <c r="J43" s="873"/>
      <c r="L43" s="873"/>
      <c r="N43" s="873" t="str">
        <f>'lead 1'!I38</f>
        <v>PRI Sub Division</v>
      </c>
      <c r="O43" s="872"/>
      <c r="Q43" s="872"/>
      <c r="T43" s="873" t="str">
        <f>'lead 1'!L38</f>
        <v>Mandal Praja parishad</v>
      </c>
      <c r="U43" s="874"/>
      <c r="V43" s="874"/>
      <c r="W43" s="874"/>
      <c r="X43" s="872"/>
      <c r="Y43" s="872"/>
    </row>
    <row r="44" spans="1:25" s="840" customFormat="1" ht="15">
      <c r="J44" s="873"/>
      <c r="L44" s="873"/>
      <c r="N44" s="873" t="str">
        <f>'lead 1'!I39</f>
        <v>Kanigiri</v>
      </c>
      <c r="O44" s="872"/>
      <c r="Q44" s="872"/>
      <c r="T44" s="873" t="str">
        <f>'lead 1'!L39</f>
        <v>H.M.Padu</v>
      </c>
      <c r="U44" s="874"/>
      <c r="V44" s="874"/>
      <c r="W44" s="874"/>
      <c r="X44" s="872"/>
      <c r="Y44" s="872"/>
    </row>
    <row r="45" spans="1:25" s="840" customFormat="1" ht="15">
      <c r="J45" s="872"/>
      <c r="L45" s="872"/>
      <c r="N45" s="872"/>
      <c r="O45" s="872"/>
      <c r="Q45" s="872"/>
      <c r="X45" s="872"/>
      <c r="Y45" s="872"/>
    </row>
    <row r="46" spans="1:25" s="840" customFormat="1" ht="15">
      <c r="J46" s="872"/>
      <c r="L46" s="872"/>
      <c r="N46" s="872"/>
      <c r="O46" s="872"/>
      <c r="Q46" s="872"/>
      <c r="X46" s="872"/>
      <c r="Y46" s="872"/>
    </row>
    <row r="47" spans="1:25" s="840" customFormat="1" ht="15">
      <c r="J47" s="872"/>
      <c r="L47" s="872"/>
      <c r="N47" s="872"/>
      <c r="O47" s="872"/>
      <c r="Q47" s="872"/>
      <c r="X47" s="872"/>
      <c r="Y47" s="872"/>
    </row>
    <row r="48" spans="1:25" s="840" customFormat="1" ht="15">
      <c r="J48" s="872"/>
      <c r="L48" s="872"/>
      <c r="N48" s="872"/>
      <c r="O48" s="872"/>
      <c r="Q48" s="872"/>
      <c r="X48" s="872"/>
      <c r="Y48" s="872"/>
    </row>
    <row r="49" spans="10:25" s="840" customFormat="1" ht="15">
      <c r="J49" s="872"/>
      <c r="L49" s="872"/>
      <c r="N49" s="872"/>
      <c r="O49" s="872"/>
      <c r="Q49" s="872"/>
      <c r="X49" s="872"/>
      <c r="Y49" s="872"/>
    </row>
    <row r="50" spans="10:25" s="840" customFormat="1" ht="15">
      <c r="J50" s="872"/>
      <c r="L50" s="872"/>
      <c r="N50" s="872"/>
      <c r="O50" s="872"/>
      <c r="Q50" s="872"/>
      <c r="X50" s="872"/>
      <c r="Y50" s="872"/>
    </row>
    <row r="51" spans="10:25" s="840" customFormat="1" ht="15">
      <c r="J51" s="872"/>
      <c r="L51" s="872"/>
      <c r="N51" s="872"/>
      <c r="O51" s="872"/>
      <c r="Q51" s="872"/>
      <c r="X51" s="872"/>
      <c r="Y51" s="872"/>
    </row>
    <row r="52" spans="10:25" s="840" customFormat="1" ht="15">
      <c r="J52" s="872"/>
      <c r="L52" s="872"/>
      <c r="N52" s="872"/>
      <c r="O52" s="872"/>
      <c r="Q52" s="872"/>
      <c r="X52" s="872"/>
      <c r="Y52" s="872"/>
    </row>
    <row r="53" spans="10:25" s="840" customFormat="1" ht="15">
      <c r="J53" s="872"/>
      <c r="L53" s="872"/>
      <c r="N53" s="872"/>
      <c r="O53" s="872"/>
      <c r="Q53" s="872"/>
      <c r="X53" s="872"/>
      <c r="Y53" s="872"/>
    </row>
    <row r="54" spans="10:25" s="840" customFormat="1" ht="15">
      <c r="J54" s="872"/>
      <c r="L54" s="872"/>
      <c r="N54" s="872"/>
      <c r="O54" s="872"/>
      <c r="Q54" s="872"/>
      <c r="X54" s="872"/>
      <c r="Y54" s="872"/>
    </row>
    <row r="55" spans="10:25" s="840" customFormat="1" ht="15">
      <c r="J55" s="872"/>
      <c r="L55" s="872"/>
      <c r="N55" s="872"/>
      <c r="O55" s="872"/>
      <c r="Q55" s="872"/>
      <c r="X55" s="872"/>
      <c r="Y55" s="872"/>
    </row>
    <row r="56" spans="10:25" s="840" customFormat="1" ht="15">
      <c r="J56" s="872"/>
      <c r="L56" s="872"/>
      <c r="N56" s="872"/>
      <c r="O56" s="872"/>
      <c r="Q56" s="872"/>
      <c r="X56" s="872"/>
      <c r="Y56" s="872"/>
    </row>
    <row r="57" spans="10:25" s="840" customFormat="1" ht="15">
      <c r="J57" s="872"/>
      <c r="L57" s="872"/>
      <c r="N57" s="872"/>
      <c r="O57" s="872"/>
      <c r="Q57" s="872"/>
      <c r="X57" s="872"/>
      <c r="Y57" s="872"/>
    </row>
    <row r="58" spans="10:25" s="840" customFormat="1" ht="15">
      <c r="J58" s="872"/>
      <c r="L58" s="872"/>
      <c r="N58" s="872"/>
      <c r="O58" s="872"/>
      <c r="Q58" s="872"/>
      <c r="X58" s="872"/>
      <c r="Y58" s="872"/>
    </row>
    <row r="59" spans="10:25" s="840" customFormat="1" ht="15">
      <c r="J59" s="872"/>
      <c r="L59" s="872"/>
      <c r="N59" s="872"/>
      <c r="O59" s="872"/>
      <c r="Q59" s="872"/>
      <c r="X59" s="872"/>
      <c r="Y59" s="872"/>
    </row>
    <row r="60" spans="10:25" s="840" customFormat="1" ht="15">
      <c r="J60" s="872"/>
      <c r="L60" s="872"/>
      <c r="N60" s="872"/>
      <c r="O60" s="872"/>
      <c r="Q60" s="872"/>
      <c r="X60" s="872"/>
      <c r="Y60" s="872"/>
    </row>
    <row r="61" spans="10:25" s="840" customFormat="1" ht="15">
      <c r="J61" s="872"/>
      <c r="L61" s="872"/>
      <c r="N61" s="872"/>
      <c r="O61" s="872"/>
      <c r="Q61" s="872"/>
      <c r="X61" s="872"/>
      <c r="Y61" s="872"/>
    </row>
    <row r="62" spans="10:25" s="840" customFormat="1" ht="15">
      <c r="J62" s="872"/>
      <c r="L62" s="872"/>
      <c r="N62" s="872"/>
      <c r="O62" s="872"/>
      <c r="Q62" s="872"/>
      <c r="X62" s="872"/>
      <c r="Y62" s="872"/>
    </row>
    <row r="63" spans="10:25" s="840" customFormat="1" ht="15">
      <c r="J63" s="872"/>
      <c r="L63" s="872"/>
      <c r="N63" s="872"/>
      <c r="O63" s="872"/>
      <c r="Q63" s="872"/>
      <c r="X63" s="872"/>
      <c r="Y63" s="872"/>
    </row>
    <row r="64" spans="10:25" s="840" customFormat="1" ht="15">
      <c r="J64" s="872"/>
      <c r="L64" s="872"/>
      <c r="N64" s="872"/>
      <c r="O64" s="872"/>
      <c r="Q64" s="872"/>
      <c r="X64" s="872"/>
      <c r="Y64" s="872"/>
    </row>
    <row r="65" spans="10:25" s="840" customFormat="1" ht="15">
      <c r="J65" s="872"/>
      <c r="L65" s="872"/>
      <c r="N65" s="872"/>
      <c r="O65" s="872"/>
      <c r="Q65" s="872"/>
      <c r="X65" s="872"/>
      <c r="Y65" s="872"/>
    </row>
    <row r="66" spans="10:25" s="840" customFormat="1" ht="15">
      <c r="J66" s="872"/>
      <c r="L66" s="872"/>
      <c r="N66" s="872"/>
      <c r="O66" s="872"/>
      <c r="Q66" s="872"/>
      <c r="X66" s="872"/>
      <c r="Y66" s="872"/>
    </row>
    <row r="67" spans="10:25" s="840" customFormat="1" ht="15">
      <c r="J67" s="872"/>
      <c r="L67" s="872"/>
      <c r="N67" s="872"/>
      <c r="O67" s="872"/>
      <c r="Q67" s="872"/>
      <c r="X67" s="872"/>
      <c r="Y67" s="872"/>
    </row>
    <row r="68" spans="10:25" s="840" customFormat="1" ht="15">
      <c r="J68" s="872"/>
      <c r="L68" s="872"/>
      <c r="N68" s="872"/>
      <c r="O68" s="872"/>
      <c r="Q68" s="872"/>
      <c r="X68" s="872"/>
      <c r="Y68" s="872"/>
    </row>
    <row r="69" spans="10:25" s="840" customFormat="1" ht="15">
      <c r="J69" s="872"/>
      <c r="L69" s="872"/>
      <c r="N69" s="872"/>
      <c r="O69" s="872"/>
      <c r="Q69" s="872"/>
      <c r="X69" s="872"/>
      <c r="Y69" s="872"/>
    </row>
    <row r="70" spans="10:25" s="840" customFormat="1" ht="15">
      <c r="J70" s="872"/>
      <c r="L70" s="872"/>
      <c r="N70" s="872"/>
      <c r="O70" s="872"/>
      <c r="Q70" s="872"/>
      <c r="X70" s="872"/>
      <c r="Y70" s="872"/>
    </row>
    <row r="71" spans="10:25" s="840" customFormat="1" ht="15">
      <c r="J71" s="872"/>
      <c r="L71" s="872"/>
      <c r="N71" s="872"/>
      <c r="O71" s="872"/>
      <c r="Q71" s="872"/>
      <c r="X71" s="872"/>
      <c r="Y71" s="872"/>
    </row>
    <row r="72" spans="10:25" s="840" customFormat="1" ht="15">
      <c r="J72" s="872"/>
      <c r="L72" s="872"/>
      <c r="N72" s="872"/>
      <c r="O72" s="872"/>
      <c r="Q72" s="872"/>
      <c r="X72" s="872"/>
      <c r="Y72" s="872"/>
    </row>
    <row r="73" spans="10:25" s="840" customFormat="1" ht="15">
      <c r="J73" s="872"/>
      <c r="L73" s="872"/>
      <c r="N73" s="872"/>
      <c r="O73" s="872"/>
      <c r="Q73" s="872"/>
      <c r="X73" s="872"/>
      <c r="Y73" s="872"/>
    </row>
    <row r="74" spans="10:25" s="840" customFormat="1" ht="15">
      <c r="J74" s="872"/>
      <c r="L74" s="872"/>
      <c r="N74" s="872"/>
      <c r="O74" s="872"/>
      <c r="Q74" s="872"/>
      <c r="X74" s="872"/>
      <c r="Y74" s="872"/>
    </row>
    <row r="75" spans="10:25" s="840" customFormat="1" ht="15">
      <c r="J75" s="872"/>
      <c r="L75" s="872"/>
      <c r="N75" s="872"/>
      <c r="O75" s="872"/>
      <c r="Q75" s="872"/>
      <c r="X75" s="872"/>
      <c r="Y75" s="872"/>
    </row>
    <row r="76" spans="10:25" s="840" customFormat="1" ht="15">
      <c r="J76" s="872"/>
      <c r="L76" s="872"/>
      <c r="N76" s="872"/>
      <c r="O76" s="872"/>
      <c r="Q76" s="872"/>
      <c r="X76" s="872"/>
      <c r="Y76" s="872"/>
    </row>
    <row r="77" spans="10:25" s="840" customFormat="1" ht="15">
      <c r="J77" s="872"/>
      <c r="L77" s="872"/>
      <c r="N77" s="872"/>
      <c r="O77" s="872"/>
      <c r="Q77" s="872"/>
      <c r="X77" s="872"/>
      <c r="Y77" s="872"/>
    </row>
    <row r="78" spans="10:25" s="840" customFormat="1" ht="15">
      <c r="J78" s="872"/>
      <c r="L78" s="872"/>
      <c r="N78" s="872"/>
      <c r="O78" s="872"/>
      <c r="Q78" s="872"/>
      <c r="X78" s="872"/>
      <c r="Y78" s="872"/>
    </row>
    <row r="79" spans="10:25" s="840" customFormat="1" ht="15">
      <c r="J79" s="872"/>
      <c r="L79" s="872"/>
      <c r="N79" s="872"/>
      <c r="O79" s="872"/>
      <c r="Q79" s="872"/>
      <c r="X79" s="872"/>
      <c r="Y79" s="872"/>
    </row>
    <row r="80" spans="10:25" s="840" customFormat="1" ht="15">
      <c r="J80" s="872"/>
      <c r="L80" s="872"/>
      <c r="N80" s="872"/>
      <c r="O80" s="872"/>
      <c r="Q80" s="872"/>
      <c r="X80" s="872"/>
      <c r="Y80" s="872"/>
    </row>
    <row r="81" spans="10:25" s="840" customFormat="1" ht="15">
      <c r="J81" s="872"/>
      <c r="L81" s="872"/>
      <c r="N81" s="872"/>
      <c r="O81" s="872"/>
      <c r="Q81" s="872"/>
      <c r="X81" s="872"/>
      <c r="Y81" s="872"/>
    </row>
    <row r="82" spans="10:25" s="840" customFormat="1" ht="15">
      <c r="J82" s="872"/>
      <c r="L82" s="872"/>
      <c r="N82" s="872"/>
      <c r="O82" s="872"/>
      <c r="Q82" s="872"/>
      <c r="X82" s="872"/>
      <c r="Y82" s="872"/>
    </row>
    <row r="83" spans="10:25" s="840" customFormat="1" ht="15">
      <c r="J83" s="872"/>
      <c r="L83" s="872"/>
      <c r="N83" s="872"/>
      <c r="O83" s="872"/>
      <c r="Q83" s="872"/>
      <c r="X83" s="872"/>
      <c r="Y83" s="872"/>
    </row>
    <row r="84" spans="10:25" s="840" customFormat="1" ht="15">
      <c r="J84" s="872"/>
      <c r="L84" s="872"/>
      <c r="N84" s="872"/>
      <c r="O84" s="872"/>
      <c r="Q84" s="872"/>
      <c r="X84" s="872"/>
      <c r="Y84" s="872"/>
    </row>
    <row r="85" spans="10:25" s="840" customFormat="1" ht="15">
      <c r="J85" s="872"/>
      <c r="L85" s="872"/>
      <c r="N85" s="872"/>
      <c r="O85" s="872"/>
      <c r="Q85" s="872"/>
      <c r="X85" s="872"/>
      <c r="Y85" s="872"/>
    </row>
    <row r="86" spans="10:25" s="840" customFormat="1" ht="15">
      <c r="J86" s="872"/>
      <c r="L86" s="872"/>
      <c r="N86" s="872"/>
      <c r="O86" s="872"/>
      <c r="Q86" s="872"/>
      <c r="X86" s="872"/>
      <c r="Y86" s="872"/>
    </row>
    <row r="87" spans="10:25" s="840" customFormat="1" ht="15">
      <c r="J87" s="872"/>
      <c r="L87" s="872"/>
      <c r="N87" s="872"/>
      <c r="O87" s="872"/>
      <c r="Q87" s="872"/>
      <c r="X87" s="872"/>
      <c r="Y87" s="872"/>
    </row>
    <row r="88" spans="10:25" s="840" customFormat="1" ht="15">
      <c r="J88" s="872"/>
      <c r="L88" s="872"/>
      <c r="N88" s="872"/>
      <c r="O88" s="872"/>
      <c r="Q88" s="872"/>
      <c r="X88" s="872"/>
      <c r="Y88" s="872"/>
    </row>
    <row r="89" spans="10:25" s="840" customFormat="1" ht="15">
      <c r="J89" s="872"/>
      <c r="L89" s="872"/>
      <c r="N89" s="872"/>
      <c r="O89" s="872"/>
      <c r="Q89" s="872"/>
      <c r="X89" s="872"/>
      <c r="Y89" s="872"/>
    </row>
    <row r="90" spans="10:25" s="840" customFormat="1" ht="15">
      <c r="J90" s="872"/>
      <c r="L90" s="872"/>
      <c r="N90" s="872"/>
      <c r="O90" s="872"/>
      <c r="Q90" s="872"/>
      <c r="X90" s="872"/>
      <c r="Y90" s="872"/>
    </row>
    <row r="91" spans="10:25" s="840" customFormat="1" ht="15">
      <c r="J91" s="872"/>
      <c r="L91" s="872"/>
      <c r="N91" s="872"/>
      <c r="O91" s="872"/>
      <c r="Q91" s="872"/>
      <c r="X91" s="872"/>
      <c r="Y91" s="872"/>
    </row>
    <row r="92" spans="10:25" s="840" customFormat="1" ht="15">
      <c r="J92" s="872"/>
      <c r="L92" s="872"/>
      <c r="N92" s="872"/>
      <c r="O92" s="872"/>
      <c r="Q92" s="872"/>
      <c r="X92" s="872"/>
      <c r="Y92" s="872"/>
    </row>
    <row r="93" spans="10:25" s="840" customFormat="1" ht="15">
      <c r="J93" s="872"/>
      <c r="L93" s="872"/>
      <c r="N93" s="872"/>
      <c r="O93" s="872"/>
      <c r="Q93" s="872"/>
      <c r="X93" s="872"/>
      <c r="Y93" s="872"/>
    </row>
    <row r="94" spans="10:25" s="840" customFormat="1" ht="15">
      <c r="J94" s="872"/>
      <c r="L94" s="872"/>
      <c r="N94" s="872"/>
      <c r="O94" s="872"/>
      <c r="Q94" s="872"/>
      <c r="X94" s="872"/>
      <c r="Y94" s="872"/>
    </row>
    <row r="95" spans="10:25" s="840" customFormat="1" ht="15">
      <c r="J95" s="872"/>
      <c r="L95" s="872"/>
      <c r="N95" s="872"/>
      <c r="O95" s="872"/>
      <c r="Q95" s="872"/>
      <c r="X95" s="872"/>
      <c r="Y95" s="872"/>
    </row>
    <row r="96" spans="10:25" s="840" customFormat="1" ht="15">
      <c r="J96" s="872"/>
      <c r="L96" s="872"/>
      <c r="N96" s="872"/>
      <c r="O96" s="872"/>
      <c r="Q96" s="872"/>
      <c r="X96" s="872"/>
      <c r="Y96" s="872"/>
    </row>
    <row r="97" spans="10:25" s="840" customFormat="1" ht="15">
      <c r="J97" s="872"/>
      <c r="L97" s="872"/>
      <c r="N97" s="872"/>
      <c r="O97" s="872"/>
      <c r="Q97" s="872"/>
      <c r="X97" s="872"/>
      <c r="Y97" s="872"/>
    </row>
    <row r="98" spans="10:25" s="840" customFormat="1" ht="15">
      <c r="J98" s="872"/>
      <c r="L98" s="872"/>
      <c r="N98" s="872"/>
      <c r="O98" s="872"/>
      <c r="Q98" s="872"/>
      <c r="X98" s="872"/>
      <c r="Y98" s="872"/>
    </row>
    <row r="99" spans="10:25" s="840" customFormat="1" ht="15">
      <c r="J99" s="872"/>
      <c r="L99" s="872"/>
      <c r="N99" s="872"/>
      <c r="O99" s="872"/>
      <c r="Q99" s="872"/>
      <c r="X99" s="872"/>
      <c r="Y99" s="872"/>
    </row>
    <row r="100" spans="10:25" s="840" customFormat="1" ht="15">
      <c r="J100" s="872"/>
      <c r="L100" s="872"/>
      <c r="N100" s="872"/>
      <c r="O100" s="872"/>
      <c r="Q100" s="872"/>
      <c r="X100" s="872"/>
      <c r="Y100" s="872"/>
    </row>
    <row r="101" spans="10:25" s="840" customFormat="1" ht="15">
      <c r="J101" s="872"/>
      <c r="L101" s="872"/>
      <c r="N101" s="872"/>
      <c r="O101" s="872"/>
      <c r="Q101" s="872"/>
      <c r="X101" s="872"/>
      <c r="Y101" s="872"/>
    </row>
    <row r="102" spans="10:25" s="840" customFormat="1" ht="15">
      <c r="J102" s="872"/>
      <c r="L102" s="872"/>
      <c r="N102" s="872"/>
      <c r="O102" s="872"/>
      <c r="Q102" s="872"/>
      <c r="X102" s="872"/>
      <c r="Y102" s="872"/>
    </row>
    <row r="103" spans="10:25" s="840" customFormat="1" ht="15">
      <c r="J103" s="872"/>
      <c r="L103" s="872"/>
      <c r="N103" s="872"/>
      <c r="O103" s="872"/>
      <c r="Q103" s="872"/>
      <c r="X103" s="872"/>
      <c r="Y103" s="872"/>
    </row>
    <row r="104" spans="10:25" s="840" customFormat="1" ht="15">
      <c r="J104" s="872"/>
      <c r="L104" s="872"/>
      <c r="N104" s="872"/>
      <c r="O104" s="872"/>
      <c r="Q104" s="872"/>
      <c r="X104" s="872"/>
      <c r="Y104" s="872"/>
    </row>
    <row r="105" spans="10:25" s="840" customFormat="1" ht="15">
      <c r="J105" s="872"/>
      <c r="L105" s="872"/>
      <c r="N105" s="872"/>
      <c r="O105" s="872"/>
      <c r="Q105" s="872"/>
      <c r="X105" s="872"/>
      <c r="Y105" s="872"/>
    </row>
    <row r="106" spans="10:25" s="840" customFormat="1" ht="15">
      <c r="J106" s="872"/>
      <c r="L106" s="872"/>
      <c r="N106" s="872"/>
      <c r="O106" s="872"/>
      <c r="Q106" s="872"/>
      <c r="X106" s="872"/>
      <c r="Y106" s="872"/>
    </row>
    <row r="107" spans="10:25" s="840" customFormat="1" ht="15">
      <c r="J107" s="872"/>
      <c r="L107" s="872"/>
      <c r="N107" s="872"/>
      <c r="O107" s="872"/>
      <c r="Q107" s="872"/>
      <c r="X107" s="872"/>
      <c r="Y107" s="872"/>
    </row>
    <row r="108" spans="10:25" s="840" customFormat="1" ht="15">
      <c r="J108" s="872"/>
      <c r="L108" s="872"/>
      <c r="N108" s="872"/>
      <c r="O108" s="872"/>
      <c r="Q108" s="872"/>
      <c r="X108" s="872"/>
      <c r="Y108" s="872"/>
    </row>
    <row r="109" spans="10:25" s="840" customFormat="1" ht="15">
      <c r="J109" s="872"/>
      <c r="L109" s="872"/>
      <c r="N109" s="872"/>
      <c r="O109" s="872"/>
      <c r="Q109" s="872"/>
      <c r="X109" s="872"/>
      <c r="Y109" s="872"/>
    </row>
    <row r="110" spans="10:25" s="840" customFormat="1" ht="15">
      <c r="J110" s="872"/>
      <c r="L110" s="872"/>
      <c r="N110" s="872"/>
      <c r="O110" s="872"/>
      <c r="Q110" s="872"/>
      <c r="X110" s="872"/>
      <c r="Y110" s="872"/>
    </row>
    <row r="111" spans="10:25" s="840" customFormat="1" ht="15">
      <c r="J111" s="872"/>
      <c r="L111" s="872"/>
      <c r="N111" s="872"/>
      <c r="O111" s="872"/>
      <c r="Q111" s="872"/>
      <c r="X111" s="872"/>
      <c r="Y111" s="872"/>
    </row>
    <row r="112" spans="10:25" s="840" customFormat="1" ht="15">
      <c r="J112" s="872"/>
      <c r="L112" s="872"/>
      <c r="N112" s="872"/>
      <c r="O112" s="872"/>
      <c r="Q112" s="872"/>
      <c r="X112" s="872"/>
      <c r="Y112" s="872"/>
    </row>
    <row r="113" spans="10:25" s="840" customFormat="1" ht="15">
      <c r="J113" s="872"/>
      <c r="L113" s="872"/>
      <c r="N113" s="872"/>
      <c r="O113" s="872"/>
      <c r="Q113" s="872"/>
      <c r="X113" s="872"/>
      <c r="Y113" s="872"/>
    </row>
    <row r="114" spans="10:25" s="840" customFormat="1" ht="15">
      <c r="J114" s="872"/>
      <c r="L114" s="872"/>
      <c r="N114" s="872"/>
      <c r="O114" s="872"/>
      <c r="Q114" s="872"/>
      <c r="X114" s="872"/>
      <c r="Y114" s="872"/>
    </row>
    <row r="115" spans="10:25" s="840" customFormat="1" ht="15">
      <c r="J115" s="872"/>
      <c r="L115" s="872"/>
      <c r="N115" s="872"/>
      <c r="O115" s="872"/>
      <c r="Q115" s="872"/>
      <c r="X115" s="872"/>
      <c r="Y115" s="872"/>
    </row>
    <row r="116" spans="10:25" s="840" customFormat="1" ht="15">
      <c r="J116" s="872"/>
      <c r="L116" s="872"/>
      <c r="N116" s="872"/>
      <c r="O116" s="872"/>
      <c r="Q116" s="872"/>
      <c r="X116" s="872"/>
      <c r="Y116" s="872"/>
    </row>
    <row r="117" spans="10:25" s="840" customFormat="1" ht="15">
      <c r="J117" s="872"/>
      <c r="L117" s="872"/>
      <c r="N117" s="872"/>
      <c r="O117" s="872"/>
      <c r="Q117" s="872"/>
      <c r="X117" s="872"/>
      <c r="Y117" s="872"/>
    </row>
    <row r="118" spans="10:25" s="840" customFormat="1" ht="15">
      <c r="J118" s="872"/>
      <c r="L118" s="872"/>
      <c r="N118" s="872"/>
      <c r="O118" s="872"/>
      <c r="Q118" s="872"/>
      <c r="X118" s="872"/>
      <c r="Y118" s="872"/>
    </row>
    <row r="119" spans="10:25" s="840" customFormat="1" ht="15">
      <c r="J119" s="872"/>
      <c r="L119" s="872"/>
      <c r="N119" s="872"/>
      <c r="O119" s="872"/>
      <c r="Q119" s="872"/>
      <c r="X119" s="872"/>
      <c r="Y119" s="872"/>
    </row>
    <row r="120" spans="10:25" s="840" customFormat="1" ht="15">
      <c r="J120" s="872"/>
      <c r="L120" s="872"/>
      <c r="N120" s="872"/>
      <c r="O120" s="872"/>
      <c r="Q120" s="872"/>
      <c r="X120" s="872"/>
      <c r="Y120" s="872"/>
    </row>
    <row r="121" spans="10:25" s="840" customFormat="1" ht="15">
      <c r="J121" s="872"/>
      <c r="L121" s="872"/>
      <c r="N121" s="872"/>
      <c r="O121" s="872"/>
      <c r="Q121" s="872"/>
      <c r="X121" s="872"/>
      <c r="Y121" s="872"/>
    </row>
    <row r="122" spans="10:25" s="840" customFormat="1" ht="15">
      <c r="J122" s="872"/>
      <c r="L122" s="872"/>
      <c r="N122" s="872"/>
      <c r="O122" s="872"/>
      <c r="Q122" s="872"/>
      <c r="X122" s="872"/>
      <c r="Y122" s="872"/>
    </row>
    <row r="123" spans="10:25" s="840" customFormat="1" ht="15">
      <c r="J123" s="872"/>
      <c r="L123" s="872"/>
      <c r="N123" s="872"/>
      <c r="O123" s="872"/>
      <c r="Q123" s="872"/>
      <c r="X123" s="872"/>
      <c r="Y123" s="872"/>
    </row>
    <row r="124" spans="10:25" s="840" customFormat="1" ht="15">
      <c r="J124" s="872"/>
      <c r="L124" s="872"/>
      <c r="N124" s="872"/>
      <c r="O124" s="872"/>
      <c r="Q124" s="872"/>
      <c r="X124" s="872"/>
      <c r="Y124" s="872"/>
    </row>
    <row r="125" spans="10:25" s="840" customFormat="1" ht="15">
      <c r="J125" s="872"/>
      <c r="L125" s="872"/>
      <c r="N125" s="872"/>
      <c r="O125" s="872"/>
      <c r="Q125" s="872"/>
      <c r="X125" s="872"/>
      <c r="Y125" s="872"/>
    </row>
    <row r="126" spans="10:25" s="840" customFormat="1" ht="15">
      <c r="J126" s="872"/>
      <c r="L126" s="872"/>
      <c r="N126" s="872"/>
      <c r="O126" s="872"/>
      <c r="Q126" s="872"/>
      <c r="X126" s="872"/>
      <c r="Y126" s="872"/>
    </row>
    <row r="127" spans="10:25" s="840" customFormat="1" ht="15">
      <c r="J127" s="872"/>
      <c r="L127" s="872"/>
      <c r="N127" s="872"/>
      <c r="O127" s="872"/>
      <c r="Q127" s="872"/>
      <c r="X127" s="872"/>
      <c r="Y127" s="872"/>
    </row>
    <row r="128" spans="10:25" s="840" customFormat="1" ht="15">
      <c r="J128" s="872"/>
      <c r="L128" s="872"/>
      <c r="N128" s="872"/>
      <c r="O128" s="872"/>
      <c r="Q128" s="872"/>
      <c r="X128" s="872"/>
      <c r="Y128" s="872"/>
    </row>
    <row r="129" spans="10:25" s="840" customFormat="1" ht="15">
      <c r="J129" s="872"/>
      <c r="L129" s="872"/>
      <c r="N129" s="872"/>
      <c r="O129" s="872"/>
      <c r="Q129" s="872"/>
      <c r="X129" s="872"/>
      <c r="Y129" s="872"/>
    </row>
    <row r="130" spans="10:25" s="840" customFormat="1" ht="15">
      <c r="J130" s="872"/>
      <c r="L130" s="872"/>
      <c r="N130" s="872"/>
      <c r="O130" s="872"/>
      <c r="Q130" s="872"/>
      <c r="X130" s="872"/>
      <c r="Y130" s="872"/>
    </row>
    <row r="131" spans="10:25" s="840" customFormat="1" ht="15">
      <c r="J131" s="872"/>
      <c r="L131" s="872"/>
      <c r="N131" s="872"/>
      <c r="O131" s="872"/>
      <c r="Q131" s="872"/>
      <c r="X131" s="872"/>
      <c r="Y131" s="872"/>
    </row>
    <row r="132" spans="10:25" s="840" customFormat="1" ht="15">
      <c r="J132" s="872"/>
      <c r="L132" s="872"/>
      <c r="N132" s="872"/>
      <c r="O132" s="872"/>
      <c r="Q132" s="872"/>
      <c r="X132" s="872"/>
      <c r="Y132" s="872"/>
    </row>
    <row r="133" spans="10:25" s="840" customFormat="1" ht="15">
      <c r="J133" s="872"/>
      <c r="L133" s="872"/>
      <c r="N133" s="872"/>
      <c r="O133" s="872"/>
      <c r="Q133" s="872"/>
      <c r="X133" s="872"/>
      <c r="Y133" s="872"/>
    </row>
    <row r="134" spans="10:25" s="840" customFormat="1" ht="15">
      <c r="J134" s="872"/>
      <c r="L134" s="872"/>
      <c r="N134" s="872"/>
      <c r="O134" s="872"/>
      <c r="Q134" s="872"/>
      <c r="X134" s="872"/>
      <c r="Y134" s="872"/>
    </row>
  </sheetData>
  <mergeCells count="17">
    <mergeCell ref="S3:T3"/>
    <mergeCell ref="A1:V1"/>
    <mergeCell ref="A2:V2"/>
    <mergeCell ref="A3:A4"/>
    <mergeCell ref="B3:B4"/>
    <mergeCell ref="C3:C4"/>
    <mergeCell ref="D3:D4"/>
    <mergeCell ref="E3:E4"/>
    <mergeCell ref="F3:F4"/>
    <mergeCell ref="G3:G4"/>
    <mergeCell ref="H3:H4"/>
    <mergeCell ref="U3:V3"/>
    <mergeCell ref="I3:J3"/>
    <mergeCell ref="K3:L3"/>
    <mergeCell ref="M3:N3"/>
    <mergeCell ref="O3:P3"/>
    <mergeCell ref="Q3:R3"/>
  </mergeCells>
  <printOptions horizontalCentered="1"/>
  <pageMargins left="0.2" right="0.196850393700787" top="0.39370078740157499" bottom="0.39370078740157499" header="0.196850393700787" footer="0.196850393700787"/>
  <pageSetup paperSize="9" scale="68" orientation="landscape" r:id="rId1"/>
  <headerFooter alignWithMargins="0"/>
</worksheet>
</file>

<file path=xl/worksheets/sheet14.xml><?xml version="1.0" encoding="utf-8"?>
<worksheet xmlns="http://schemas.openxmlformats.org/spreadsheetml/2006/main" xmlns:r="http://schemas.openxmlformats.org/officeDocument/2006/relationships">
  <sheetPr>
    <tabColor rgb="FF00B0F0"/>
  </sheetPr>
  <dimension ref="A1:AS44"/>
  <sheetViews>
    <sheetView view="pageBreakPreview" zoomScale="115" zoomScaleNormal="115" zoomScaleSheetLayoutView="115" workbookViewId="0">
      <selection activeCell="B32" sqref="B32"/>
    </sheetView>
  </sheetViews>
  <sheetFormatPr defaultRowHeight="12.75"/>
  <cols>
    <col min="1" max="1" width="5.85546875" style="543" customWidth="1"/>
    <col min="2" max="2" width="40.140625" customWidth="1"/>
    <col min="3" max="3" width="7" customWidth="1"/>
    <col min="4" max="4" width="5.28515625" style="639" customWidth="1"/>
    <col min="5" max="5" width="9.140625" style="797"/>
    <col min="6" max="6" width="7.28515625" style="797" customWidth="1"/>
    <col min="7" max="7" width="8.28515625" bestFit="1" customWidth="1"/>
  </cols>
  <sheetData>
    <row r="1" spans="1:7" ht="17.25" customHeight="1">
      <c r="A1" s="1356" t="s">
        <v>1366</v>
      </c>
      <c r="B1" s="1356"/>
      <c r="C1" s="1356"/>
      <c r="D1" s="1356"/>
      <c r="E1" s="1356"/>
      <c r="F1" s="1356"/>
      <c r="G1" s="1356"/>
    </row>
    <row r="2" spans="1:7" s="282" customFormat="1" ht="41.25" customHeight="1">
      <c r="A2" s="1357" t="str">
        <f>'lead 1'!B2</f>
        <v xml:space="preserve">Name of the Work: </v>
      </c>
      <c r="B2" s="1357"/>
      <c r="C2" s="1358" t="str">
        <f>'lead 1'!C2</f>
        <v>Constrution of Bharat Nirman Seva Kendra (BNSK) Grama Panchayat building in Gayamvaripalli  GP of H.M.Padu Mandal</v>
      </c>
      <c r="D2" s="1358"/>
      <c r="E2" s="1358"/>
      <c r="F2" s="1358"/>
      <c r="G2" s="1358"/>
    </row>
    <row r="3" spans="1:7" s="920" customFormat="1" ht="40.5" customHeight="1">
      <c r="A3" s="921" t="s">
        <v>383</v>
      </c>
      <c r="B3" s="921" t="s">
        <v>1894</v>
      </c>
      <c r="C3" s="1359" t="s">
        <v>156</v>
      </c>
      <c r="D3" s="1360"/>
      <c r="E3" s="922" t="s">
        <v>101</v>
      </c>
      <c r="F3" s="922" t="s">
        <v>1914</v>
      </c>
      <c r="G3" s="922" t="s">
        <v>1354</v>
      </c>
    </row>
    <row r="4" spans="1:7" s="331" customFormat="1" ht="15.75" customHeight="1">
      <c r="A4" s="923">
        <v>1</v>
      </c>
      <c r="B4" s="940" t="s">
        <v>1915</v>
      </c>
      <c r="C4" s="944">
        <f>SEIG!R35</f>
        <v>41.24</v>
      </c>
      <c r="D4" s="936" t="s">
        <v>388</v>
      </c>
      <c r="E4" s="925">
        <f>data1!F13</f>
        <v>1460.5600000000002</v>
      </c>
      <c r="F4" s="925">
        <v>0.05</v>
      </c>
      <c r="G4" s="924">
        <f>ROUND(E4*C4*F4,2)</f>
        <v>3011.67</v>
      </c>
    </row>
    <row r="5" spans="1:7" s="331" customFormat="1" ht="15.75" customHeight="1">
      <c r="A5" s="923">
        <v>2</v>
      </c>
      <c r="B5" s="940" t="s">
        <v>973</v>
      </c>
      <c r="C5" s="944">
        <f>SEIG!P35</f>
        <v>18.68</v>
      </c>
      <c r="D5" s="936" t="s">
        <v>388</v>
      </c>
      <c r="E5" s="925">
        <f>'lead 1'!M16</f>
        <v>1479.2</v>
      </c>
      <c r="F5" s="925">
        <v>0.05</v>
      </c>
      <c r="G5" s="924">
        <f t="shared" ref="G5:G20" si="0">ROUND(E5*C5*F5,2)</f>
        <v>1381.57</v>
      </c>
    </row>
    <row r="6" spans="1:7" s="331" customFormat="1" ht="15.75" customHeight="1">
      <c r="A6" s="923">
        <v>3</v>
      </c>
      <c r="B6" s="940" t="s">
        <v>975</v>
      </c>
      <c r="C6" s="944">
        <f>SEIG!N35</f>
        <v>29.97</v>
      </c>
      <c r="D6" s="936" t="s">
        <v>388</v>
      </c>
      <c r="E6" s="925">
        <f>'lead 1'!M13</f>
        <v>1469.4</v>
      </c>
      <c r="F6" s="925">
        <v>0.05</v>
      </c>
      <c r="G6" s="924">
        <f t="shared" si="0"/>
        <v>2201.9</v>
      </c>
    </row>
    <row r="7" spans="1:7" s="331" customFormat="1" ht="15.75" customHeight="1">
      <c r="A7" s="923">
        <v>4</v>
      </c>
      <c r="B7" s="940" t="s">
        <v>976</v>
      </c>
      <c r="C7" s="944">
        <f>SEIG!J35</f>
        <v>49.1</v>
      </c>
      <c r="D7" s="936" t="s">
        <v>388</v>
      </c>
      <c r="E7" s="925">
        <f>'lead 1'!M14</f>
        <v>1334.4</v>
      </c>
      <c r="F7" s="925">
        <v>0.05</v>
      </c>
      <c r="G7" s="924">
        <f t="shared" si="0"/>
        <v>3275.95</v>
      </c>
    </row>
    <row r="8" spans="1:7" s="331" customFormat="1" ht="15.75" customHeight="1">
      <c r="A8" s="923">
        <v>5</v>
      </c>
      <c r="B8" s="940" t="s">
        <v>971</v>
      </c>
      <c r="C8" s="944">
        <f>SEIG!L35</f>
        <v>24.41</v>
      </c>
      <c r="D8" s="936" t="s">
        <v>388</v>
      </c>
      <c r="E8" s="925">
        <f>'lead 1'!M12</f>
        <v>1549.4</v>
      </c>
      <c r="F8" s="925">
        <v>0.05</v>
      </c>
      <c r="G8" s="924">
        <f t="shared" si="0"/>
        <v>1891.04</v>
      </c>
    </row>
    <row r="9" spans="1:7" s="331" customFormat="1" ht="15.75" customHeight="1">
      <c r="A9" s="923">
        <v>6</v>
      </c>
      <c r="B9" s="926" t="s">
        <v>389</v>
      </c>
      <c r="C9" s="944">
        <f>SEIG!T35</f>
        <v>21.45</v>
      </c>
      <c r="D9" s="936" t="s">
        <v>388</v>
      </c>
      <c r="E9" s="925">
        <f>'lead 1'!M15</f>
        <v>7114.6</v>
      </c>
      <c r="F9" s="925">
        <v>0.05</v>
      </c>
      <c r="G9" s="924">
        <f t="shared" si="0"/>
        <v>7630.41</v>
      </c>
    </row>
    <row r="10" spans="1:7" s="331" customFormat="1" ht="15.75" customHeight="1">
      <c r="A10" s="923">
        <v>7</v>
      </c>
      <c r="B10" s="926" t="s">
        <v>104</v>
      </c>
      <c r="C10" s="944">
        <f>SEIG!V35/1000</f>
        <v>28.020520000000001</v>
      </c>
      <c r="D10" s="936" t="s">
        <v>388</v>
      </c>
      <c r="E10" s="925">
        <v>3750</v>
      </c>
      <c r="F10" s="925">
        <v>0.28000000000000003</v>
      </c>
      <c r="G10" s="924">
        <f t="shared" si="0"/>
        <v>29421.55</v>
      </c>
    </row>
    <row r="11" spans="1:7" s="331" customFormat="1" ht="15.75" customHeight="1">
      <c r="A11" s="923">
        <v>8</v>
      </c>
      <c r="B11" s="926" t="s">
        <v>1355</v>
      </c>
      <c r="C11" s="944">
        <f>(SEIG!G24*10.5)/10</f>
        <v>103.11000000000001</v>
      </c>
      <c r="D11" s="936" t="s">
        <v>388</v>
      </c>
      <c r="E11" s="925">
        <f>data1!F476</f>
        <v>612</v>
      </c>
      <c r="F11" s="925">
        <v>0.28000000000000003</v>
      </c>
      <c r="G11" s="924">
        <f t="shared" si="0"/>
        <v>17668.93</v>
      </c>
    </row>
    <row r="12" spans="1:7" s="331" customFormat="1" ht="15.75" customHeight="1">
      <c r="A12" s="923">
        <v>9</v>
      </c>
      <c r="B12" s="926" t="s">
        <v>1358</v>
      </c>
      <c r="C12" s="944">
        <f>(SEIG!G25*10.5)/10</f>
        <v>12.536999999999999</v>
      </c>
      <c r="D12" s="936" t="s">
        <v>388</v>
      </c>
      <c r="E12" s="925">
        <f>E11</f>
        <v>612</v>
      </c>
      <c r="F12" s="925">
        <v>0.28000000000000003</v>
      </c>
      <c r="G12" s="924">
        <f t="shared" si="0"/>
        <v>2148.34</v>
      </c>
    </row>
    <row r="13" spans="1:7" s="331" customFormat="1" ht="16.5" hidden="1" customHeight="1">
      <c r="A13" s="923">
        <v>10</v>
      </c>
      <c r="B13" s="926" t="s">
        <v>1356</v>
      </c>
      <c r="C13" s="944">
        <f>(SEIG!G27*10.5)/10</f>
        <v>0</v>
      </c>
      <c r="D13" s="936" t="s">
        <v>388</v>
      </c>
      <c r="E13" s="925">
        <f>data1!F528</f>
        <v>323</v>
      </c>
      <c r="F13" s="925">
        <v>0.28000000000000003</v>
      </c>
      <c r="G13" s="924">
        <f t="shared" si="0"/>
        <v>0</v>
      </c>
    </row>
    <row r="14" spans="1:7" s="331" customFormat="1" ht="17.25" hidden="1" customHeight="1">
      <c r="A14" s="923">
        <v>11</v>
      </c>
      <c r="B14" s="926" t="s">
        <v>1357</v>
      </c>
      <c r="C14" s="944">
        <f>(SEIG!G28*10.5)/10</f>
        <v>0</v>
      </c>
      <c r="D14" s="936" t="s">
        <v>388</v>
      </c>
      <c r="E14" s="925">
        <f>data1!F552</f>
        <v>323</v>
      </c>
      <c r="F14" s="925">
        <v>0.28000000000000003</v>
      </c>
      <c r="G14" s="924">
        <f t="shared" si="0"/>
        <v>0</v>
      </c>
    </row>
    <row r="15" spans="1:7" s="331" customFormat="1" ht="16.5" customHeight="1">
      <c r="A15" s="923">
        <v>10</v>
      </c>
      <c r="B15" s="926" t="s">
        <v>2090</v>
      </c>
      <c r="C15" s="944">
        <f>'ground floor'!I356</f>
        <v>2</v>
      </c>
      <c r="D15" s="936" t="s">
        <v>388</v>
      </c>
      <c r="E15" s="925">
        <f>data1!G1042-data1!G1034-data1!G1022</f>
        <v>5187.3600000000006</v>
      </c>
      <c r="F15" s="925">
        <v>0.28000000000000003</v>
      </c>
      <c r="G15" s="924">
        <f t="shared" ref="G15" si="1">ROUND(E15*C15*F15,2)</f>
        <v>2904.92</v>
      </c>
    </row>
    <row r="16" spans="1:7" s="331" customFormat="1" ht="16.5" customHeight="1">
      <c r="A16" s="923">
        <v>11</v>
      </c>
      <c r="B16" s="926" t="s">
        <v>1916</v>
      </c>
      <c r="C16" s="944">
        <f>'ground floor'!I360</f>
        <v>5</v>
      </c>
      <c r="D16" s="936" t="s">
        <v>388</v>
      </c>
      <c r="E16" s="925">
        <f>data1!G1075-data1!G1067-data1!G1055</f>
        <v>7434.26</v>
      </c>
      <c r="F16" s="925">
        <v>0.28000000000000003</v>
      </c>
      <c r="G16" s="924">
        <f>ROUND(E16*C16*F16,2)</f>
        <v>10407.959999999999</v>
      </c>
    </row>
    <row r="17" spans="1:45" s="331" customFormat="1" ht="16.5" customHeight="1">
      <c r="A17" s="923">
        <v>12</v>
      </c>
      <c r="B17" s="926" t="s">
        <v>1918</v>
      </c>
      <c r="C17" s="944">
        <f>'ground floor'!I364</f>
        <v>3</v>
      </c>
      <c r="D17" s="936" t="s">
        <v>388</v>
      </c>
      <c r="E17" s="925">
        <f>data1!G1104-data1!G1096</f>
        <v>5141.1400000000003</v>
      </c>
      <c r="F17" s="925">
        <v>0.28000000000000003</v>
      </c>
      <c r="G17" s="924">
        <f>ROUND(E17*C17*F17,2)</f>
        <v>4318.5600000000004</v>
      </c>
    </row>
    <row r="18" spans="1:45" s="331" customFormat="1" ht="16.5" customHeight="1">
      <c r="A18" s="923">
        <v>13</v>
      </c>
      <c r="B18" s="926" t="s">
        <v>2091</v>
      </c>
      <c r="C18" s="944">
        <f>'ground floor'!I368</f>
        <v>9</v>
      </c>
      <c r="D18" s="936" t="s">
        <v>388</v>
      </c>
      <c r="E18" s="925">
        <f>data1!G1135-data1!G1128</f>
        <v>6065.97</v>
      </c>
      <c r="F18" s="925">
        <v>0.28000000000000003</v>
      </c>
      <c r="G18" s="924">
        <f>ROUND(E18*C18*F18,2)</f>
        <v>15286.24</v>
      </c>
    </row>
    <row r="19" spans="1:45" s="331" customFormat="1" ht="16.5" hidden="1" customHeight="1">
      <c r="A19" s="923"/>
      <c r="B19" s="926"/>
      <c r="C19" s="945"/>
      <c r="D19" s="936"/>
      <c r="E19" s="925"/>
      <c r="F19" s="925"/>
      <c r="G19" s="924"/>
    </row>
    <row r="20" spans="1:45" s="331" customFormat="1" ht="16.5" hidden="1" customHeight="1">
      <c r="A20" s="923">
        <v>12</v>
      </c>
      <c r="B20" s="926" t="s">
        <v>1916</v>
      </c>
      <c r="C20" s="945">
        <f>'ground floor'!I371+'first floor'!I237</f>
        <v>0</v>
      </c>
      <c r="D20" s="936" t="s">
        <v>388</v>
      </c>
      <c r="E20" s="925">
        <f>'ground floor'!J371-data1!G973</f>
        <v>8812.2000000000007</v>
      </c>
      <c r="F20" s="925">
        <v>0.28000000000000003</v>
      </c>
      <c r="G20" s="924">
        <f t="shared" si="0"/>
        <v>0</v>
      </c>
    </row>
    <row r="21" spans="1:45" s="331" customFormat="1" ht="16.5" hidden="1" customHeight="1">
      <c r="A21" s="923">
        <v>13</v>
      </c>
      <c r="B21" s="926" t="s">
        <v>1917</v>
      </c>
      <c r="C21" s="945">
        <f>'ground floor'!I374+'first floor'!I240</f>
        <v>0</v>
      </c>
      <c r="D21" s="936" t="s">
        <v>388</v>
      </c>
      <c r="E21" s="925">
        <f>data1!G939-data1!G926</f>
        <v>7893.4999999999991</v>
      </c>
      <c r="F21" s="925">
        <v>0.28000000000000003</v>
      </c>
      <c r="G21" s="924">
        <f>ROUND(E21*C21*F21,2)</f>
        <v>0</v>
      </c>
    </row>
    <row r="22" spans="1:45" s="331" customFormat="1" ht="16.5" hidden="1" customHeight="1">
      <c r="A22" s="923">
        <v>14</v>
      </c>
      <c r="B22" s="926" t="s">
        <v>1918</v>
      </c>
      <c r="C22" s="945">
        <f>'first floor'!I243</f>
        <v>0</v>
      </c>
      <c r="D22" s="936" t="s">
        <v>388</v>
      </c>
      <c r="E22" s="925">
        <f>data1!G898-data1!G885</f>
        <v>6076.5</v>
      </c>
      <c r="F22" s="925">
        <v>0.28000000000000003</v>
      </c>
      <c r="G22" s="924">
        <f>ROUND(E22*C22*F22,2)</f>
        <v>0</v>
      </c>
    </row>
    <row r="23" spans="1:45" s="331" customFormat="1" ht="16.5" hidden="1" customHeight="1">
      <c r="A23" s="923">
        <v>15</v>
      </c>
      <c r="B23" s="926" t="s">
        <v>1361</v>
      </c>
      <c r="C23" s="945">
        <f>'ground floor'!I380</f>
        <v>0</v>
      </c>
      <c r="D23" s="936" t="s">
        <v>388</v>
      </c>
      <c r="E23" s="925">
        <f>'ground floor'!J380</f>
        <v>7288</v>
      </c>
      <c r="F23" s="925">
        <v>0.28000000000000003</v>
      </c>
      <c r="G23" s="924">
        <f>ROUND(E23*C23*F23,2)</f>
        <v>0</v>
      </c>
    </row>
    <row r="24" spans="1:45" s="331" customFormat="1" ht="16.5" hidden="1" customHeight="1">
      <c r="A24" s="923">
        <v>16</v>
      </c>
      <c r="B24" s="926" t="s">
        <v>1361</v>
      </c>
      <c r="C24" s="945">
        <f>'first floor'!I246</f>
        <v>0</v>
      </c>
      <c r="D24" s="936" t="s">
        <v>388</v>
      </c>
      <c r="E24" s="925">
        <f>E23</f>
        <v>7288</v>
      </c>
      <c r="F24" s="925">
        <v>0.28000000000000003</v>
      </c>
      <c r="G24" s="924">
        <f>ROUND(E24*C24*F24,2)</f>
        <v>0</v>
      </c>
    </row>
    <row r="25" spans="1:45" s="331" customFormat="1" ht="16.5" hidden="1" customHeight="1">
      <c r="A25" s="923">
        <v>14</v>
      </c>
      <c r="B25" s="926" t="s">
        <v>1919</v>
      </c>
      <c r="C25" s="944">
        <f>'ground floor'!I343+'ground floor'!I351</f>
        <v>0</v>
      </c>
      <c r="D25" s="936" t="s">
        <v>388</v>
      </c>
      <c r="E25" s="925">
        <f>data1!F653</f>
        <v>141</v>
      </c>
      <c r="F25" s="925">
        <v>0.28000000000000003</v>
      </c>
      <c r="G25" s="924">
        <f t="shared" ref="G25:G33" si="2">ROUND(E25*C25*F25,2)</f>
        <v>0</v>
      </c>
    </row>
    <row r="26" spans="1:45" s="331" customFormat="1" ht="16.5" hidden="1" customHeight="1">
      <c r="A26" s="923">
        <v>15</v>
      </c>
      <c r="B26" s="926" t="s">
        <v>1920</v>
      </c>
      <c r="C26" s="945">
        <f>SUM('ground floor'!I343+'first floor'!I226)/10*0.8</f>
        <v>0</v>
      </c>
      <c r="D26" s="936" t="s">
        <v>388</v>
      </c>
      <c r="E26" s="925">
        <f>data1!F631</f>
        <v>168</v>
      </c>
      <c r="F26" s="925">
        <v>0.28000000000000003</v>
      </c>
      <c r="G26" s="924">
        <f t="shared" si="2"/>
        <v>0</v>
      </c>
    </row>
    <row r="27" spans="1:45" s="331" customFormat="1" ht="16.5" hidden="1" customHeight="1">
      <c r="A27" s="923">
        <v>16</v>
      </c>
      <c r="B27" s="926" t="s">
        <v>1921</v>
      </c>
      <c r="C27" s="945">
        <f>SUM('ground floor'!I351+'first floor'!I234)/10*0.8</f>
        <v>0</v>
      </c>
      <c r="D27" s="936" t="s">
        <v>388</v>
      </c>
      <c r="E27" s="925">
        <f>data1!F666</f>
        <v>194</v>
      </c>
      <c r="F27" s="925">
        <v>0.28000000000000003</v>
      </c>
      <c r="G27" s="924">
        <f t="shared" si="2"/>
        <v>0</v>
      </c>
    </row>
    <row r="28" spans="1:45" s="331" customFormat="1" ht="16.5" hidden="1" customHeight="1">
      <c r="A28" s="923">
        <v>20</v>
      </c>
      <c r="B28" s="926" t="s">
        <v>1409</v>
      </c>
      <c r="C28" s="945">
        <f>SUM('ground floor'!I398)/10*0.8</f>
        <v>0</v>
      </c>
      <c r="D28" s="936" t="s">
        <v>388</v>
      </c>
      <c r="E28" s="925">
        <f>'ground floor'!J398</f>
        <v>133.91999999999999</v>
      </c>
      <c r="F28" s="925">
        <v>0.28000000000000003</v>
      </c>
      <c r="G28" s="924">
        <f>ROUND(E28*C28*F28,2)</f>
        <v>0</v>
      </c>
    </row>
    <row r="29" spans="1:45" s="331" customFormat="1" ht="16.5" customHeight="1">
      <c r="A29" s="923">
        <v>14</v>
      </c>
      <c r="B29" s="926" t="s">
        <v>1922</v>
      </c>
      <c r="C29" s="946">
        <f>('ground floor'!I407+'ground floor'!I404+'first floor'!I257)*1.05/1000</f>
        <v>4.2</v>
      </c>
      <c r="D29" s="936" t="s">
        <v>388</v>
      </c>
      <c r="E29" s="925">
        <f>'lead 1'!M9</f>
        <v>38500</v>
      </c>
      <c r="F29" s="925">
        <v>0.18</v>
      </c>
      <c r="G29" s="924">
        <f t="shared" si="2"/>
        <v>29106</v>
      </c>
    </row>
    <row r="30" spans="1:45" s="331" customFormat="1" ht="16.5" hidden="1" customHeight="1">
      <c r="A30" s="923">
        <v>22</v>
      </c>
      <c r="B30" s="926" t="s">
        <v>1362</v>
      </c>
      <c r="C30" s="945">
        <f>'first floor'!I260</f>
        <v>0</v>
      </c>
      <c r="D30" s="936" t="s">
        <v>388</v>
      </c>
      <c r="E30" s="925">
        <f>'first floor'!J260</f>
        <v>810</v>
      </c>
      <c r="F30" s="925">
        <v>0.28000000000000003</v>
      </c>
      <c r="G30" s="924">
        <f t="shared" si="2"/>
        <v>0</v>
      </c>
      <c r="AS30" s="331" t="s">
        <v>1363</v>
      </c>
    </row>
    <row r="31" spans="1:45" s="331" customFormat="1" ht="16.5" hidden="1" customHeight="1">
      <c r="A31" s="923">
        <v>23</v>
      </c>
      <c r="B31" s="926" t="s">
        <v>1364</v>
      </c>
      <c r="C31" s="945">
        <f>'first floor'!I266</f>
        <v>0</v>
      </c>
      <c r="D31" s="936" t="s">
        <v>388</v>
      </c>
      <c r="E31" s="925">
        <f>'first floor'!J266</f>
        <v>1784</v>
      </c>
      <c r="F31" s="925">
        <v>0.28000000000000003</v>
      </c>
      <c r="G31" s="924">
        <f t="shared" si="2"/>
        <v>0</v>
      </c>
    </row>
    <row r="32" spans="1:45" s="331" customFormat="1" ht="16.5" hidden="1" customHeight="1">
      <c r="A32" s="923">
        <v>24</v>
      </c>
      <c r="B32" s="926" t="s">
        <v>1365</v>
      </c>
      <c r="C32" s="945">
        <f>'first floor'!I269</f>
        <v>0</v>
      </c>
      <c r="D32" s="936" t="s">
        <v>388</v>
      </c>
      <c r="E32" s="925">
        <f>'first floor'!J269</f>
        <v>2551</v>
      </c>
      <c r="F32" s="925">
        <v>0.28000000000000003</v>
      </c>
      <c r="G32" s="924">
        <f t="shared" si="2"/>
        <v>0</v>
      </c>
    </row>
    <row r="33" spans="1:7" s="331" customFormat="1" ht="35.25" hidden="1" customHeight="1">
      <c r="A33" s="923">
        <v>25</v>
      </c>
      <c r="B33" s="940" t="s">
        <v>1925</v>
      </c>
      <c r="C33" s="945">
        <f>'first floor'!I272</f>
        <v>0</v>
      </c>
      <c r="D33" s="936" t="s">
        <v>388</v>
      </c>
      <c r="E33" s="925">
        <f>'first floor'!J272</f>
        <v>766</v>
      </c>
      <c r="F33" s="925">
        <v>0.28000000000000003</v>
      </c>
      <c r="G33" s="924">
        <f t="shared" si="2"/>
        <v>0</v>
      </c>
    </row>
    <row r="34" spans="1:7" s="331" customFormat="1" ht="15.75" hidden="1" customHeight="1">
      <c r="A34" s="923"/>
      <c r="B34" s="940" t="s">
        <v>1926</v>
      </c>
      <c r="C34" s="945"/>
      <c r="D34" s="936"/>
      <c r="E34" s="925"/>
      <c r="F34" s="925"/>
      <c r="G34" s="924"/>
    </row>
    <row r="35" spans="1:7" s="331" customFormat="1" ht="11.25" hidden="1">
      <c r="A35" s="923">
        <v>26</v>
      </c>
      <c r="B35" s="940" t="s">
        <v>1927</v>
      </c>
      <c r="C35" s="947">
        <f>'Ele Estimate'!C5</f>
        <v>50</v>
      </c>
      <c r="D35" s="936" t="s">
        <v>388</v>
      </c>
      <c r="E35" s="925">
        <f>'Ele Data'!I17</f>
        <v>28.36</v>
      </c>
      <c r="F35" s="925"/>
      <c r="G35" s="924">
        <f>ROUND(E35*C35*F35,2)</f>
        <v>0</v>
      </c>
    </row>
    <row r="36" spans="1:7" s="331" customFormat="1" ht="11.25" hidden="1">
      <c r="A36" s="923">
        <v>27</v>
      </c>
      <c r="B36" s="940" t="s">
        <v>1927</v>
      </c>
      <c r="C36" s="947">
        <f>'Ele Estimate'!C9</f>
        <v>40</v>
      </c>
      <c r="D36" s="936" t="s">
        <v>388</v>
      </c>
      <c r="E36" s="925">
        <f>'Ele Data'!I41</f>
        <v>32.96</v>
      </c>
      <c r="F36" s="925"/>
      <c r="G36" s="924">
        <f>ROUND(E36*C36*F36,2)</f>
        <v>0</v>
      </c>
    </row>
    <row r="37" spans="1:7" s="601" customFormat="1" ht="20.25" customHeight="1">
      <c r="A37" s="927"/>
      <c r="B37" s="928"/>
      <c r="C37" s="934"/>
      <c r="D37" s="937"/>
      <c r="E37" s="941"/>
      <c r="F37" s="941" t="s">
        <v>136</v>
      </c>
      <c r="G37" s="929">
        <f>SUM(G4:G36)</f>
        <v>130655.03999999999</v>
      </c>
    </row>
    <row r="38" spans="1:7" s="2" customFormat="1" ht="18.75" customHeight="1">
      <c r="A38" s="930"/>
      <c r="B38" s="931"/>
      <c r="C38" s="935"/>
      <c r="D38" s="938"/>
      <c r="E38" s="942"/>
      <c r="F38" s="943" t="s">
        <v>1923</v>
      </c>
      <c r="G38" s="932">
        <f>ROUND(G37,0)</f>
        <v>130655</v>
      </c>
    </row>
    <row r="39" spans="1:7" s="2" customFormat="1" ht="11.25">
      <c r="A39" s="273"/>
      <c r="C39" s="280"/>
      <c r="D39" s="939"/>
      <c r="E39" s="796"/>
      <c r="F39" s="278"/>
      <c r="G39" s="276"/>
    </row>
    <row r="40" spans="1:7" s="2" customFormat="1" ht="11.25">
      <c r="A40" s="273"/>
      <c r="C40" s="280"/>
      <c r="D40" s="939"/>
      <c r="E40" s="796"/>
      <c r="F40" s="278"/>
      <c r="G40" s="276"/>
    </row>
    <row r="42" spans="1:7">
      <c r="B42" s="797" t="str">
        <f>'lead 1'!I37</f>
        <v>Deputy Executive Engineer</v>
      </c>
      <c r="E42" s="797" t="str">
        <f>'lead 1'!L37</f>
        <v>Assistant Engineer</v>
      </c>
    </row>
    <row r="43" spans="1:7">
      <c r="B43" s="797" t="str">
        <f>'lead 1'!I38</f>
        <v>PRI Sub Division</v>
      </c>
      <c r="E43" s="797" t="str">
        <f>'lead 1'!L38</f>
        <v>Mandal Praja parishad</v>
      </c>
    </row>
    <row r="44" spans="1:7">
      <c r="B44" s="797" t="str">
        <f>'lead 1'!I39</f>
        <v>Kanigiri</v>
      </c>
      <c r="E44" s="797" t="str">
        <f>'lead 1'!L39</f>
        <v>H.M.Padu</v>
      </c>
    </row>
  </sheetData>
  <mergeCells count="4">
    <mergeCell ref="A1:G1"/>
    <mergeCell ref="A2:B2"/>
    <mergeCell ref="C2:G2"/>
    <mergeCell ref="C3:D3"/>
  </mergeCells>
  <pageMargins left="0.7" right="0.7" top="0.75" bottom="0.75" header="0.3" footer="0.3"/>
  <pageSetup paperSize="9" orientation="portrait" verticalDpi="0" r:id="rId1"/>
</worksheet>
</file>

<file path=xl/worksheets/sheet15.xml><?xml version="1.0" encoding="utf-8"?>
<worksheet xmlns="http://schemas.openxmlformats.org/spreadsheetml/2006/main" xmlns:r="http://schemas.openxmlformats.org/officeDocument/2006/relationships">
  <dimension ref="A1:P39"/>
  <sheetViews>
    <sheetView topLeftCell="B1" workbookViewId="0">
      <pane ySplit="4" topLeftCell="A23" activePane="bottomLeft" state="frozen"/>
      <selection activeCell="G35" sqref="G35:I35"/>
      <selection pane="bottomLeft" activeCell="G35" sqref="G35:I35"/>
    </sheetView>
  </sheetViews>
  <sheetFormatPr defaultRowHeight="12.75"/>
  <cols>
    <col min="1" max="1" width="4.140625" style="543" customWidth="1"/>
    <col min="2" max="2" width="26.28515625" customWidth="1"/>
    <col min="3" max="5" width="6.7109375" customWidth="1"/>
    <col min="6" max="6" width="7" customWidth="1"/>
    <col min="7" max="7" width="5.28515625" customWidth="1"/>
    <col min="9" max="9" width="7.28515625" customWidth="1"/>
    <col min="10" max="10" width="7.7109375" customWidth="1"/>
    <col min="11" max="11" width="7.28515625" customWidth="1"/>
  </cols>
  <sheetData>
    <row r="1" spans="1:16" ht="17.25" customHeight="1">
      <c r="A1" s="1366" t="s">
        <v>382</v>
      </c>
      <c r="B1" s="1366"/>
      <c r="C1" s="1366"/>
      <c r="D1" s="1366"/>
      <c r="E1" s="1366"/>
      <c r="F1" s="1366"/>
      <c r="G1" s="1366"/>
      <c r="H1" s="1366"/>
      <c r="I1" s="1366"/>
      <c r="J1" s="1366"/>
      <c r="K1" s="1366"/>
      <c r="L1" s="1366"/>
      <c r="M1" s="1366"/>
      <c r="N1" s="1366"/>
    </row>
    <row r="2" spans="1:16" s="282" customFormat="1" ht="23.25" customHeight="1">
      <c r="A2" s="1365" t="str">
        <f>'Title page'!A20:B20</f>
        <v>NAME OF THE
 WORK</v>
      </c>
      <c r="B2" s="1365"/>
      <c r="C2" s="558"/>
      <c r="D2" s="558"/>
      <c r="E2" s="558"/>
      <c r="F2" s="1364" t="str">
        <f>'Title page'!D20:D20</f>
        <v>CONSTRUCTION OF NEW  SACHIVALAYAM IN  SALIPETA(V)-II   IN   GUDLUR (M)</v>
      </c>
      <c r="G2" s="1364"/>
      <c r="H2" s="1364"/>
      <c r="I2" s="1364"/>
      <c r="J2" s="1364"/>
      <c r="K2" s="1364"/>
      <c r="L2" s="1364"/>
      <c r="M2" s="1364"/>
      <c r="N2" s="1364"/>
      <c r="O2" s="448"/>
      <c r="P2" s="448"/>
    </row>
    <row r="3" spans="1:16">
      <c r="A3" s="1367" t="s">
        <v>383</v>
      </c>
      <c r="B3" s="1367" t="s">
        <v>384</v>
      </c>
      <c r="C3" s="544"/>
      <c r="D3" s="544"/>
      <c r="E3" s="544"/>
      <c r="F3" s="1367" t="s">
        <v>100</v>
      </c>
      <c r="G3" s="225"/>
      <c r="H3" s="1361" t="s">
        <v>385</v>
      </c>
      <c r="I3" s="1362"/>
      <c r="J3" s="1362"/>
      <c r="K3" s="1362"/>
      <c r="L3" s="1362"/>
      <c r="M3" s="1362"/>
      <c r="N3" s="1363"/>
    </row>
    <row r="4" spans="1:16" s="557" customFormat="1" ht="40.5" customHeight="1">
      <c r="A4" s="1368"/>
      <c r="B4" s="1368"/>
      <c r="C4" s="559" t="s">
        <v>409</v>
      </c>
      <c r="D4" s="559" t="s">
        <v>410</v>
      </c>
      <c r="E4" s="559" t="s">
        <v>1405</v>
      </c>
      <c r="F4" s="1368"/>
      <c r="G4" s="554" t="s">
        <v>386</v>
      </c>
      <c r="H4" s="555" t="s">
        <v>1302</v>
      </c>
      <c r="I4" s="555" t="s">
        <v>973</v>
      </c>
      <c r="J4" s="555" t="s">
        <v>975</v>
      </c>
      <c r="K4" s="555" t="s">
        <v>976</v>
      </c>
      <c r="L4" s="555" t="s">
        <v>971</v>
      </c>
      <c r="M4" s="554" t="s">
        <v>120</v>
      </c>
      <c r="N4" s="556" t="s">
        <v>104</v>
      </c>
    </row>
    <row r="5" spans="1:16" s="331" customFormat="1" ht="11.25">
      <c r="A5" s="489">
        <v>1</v>
      </c>
      <c r="B5" s="331" t="s">
        <v>1319</v>
      </c>
      <c r="C5" s="545">
        <f>'ground floor'!I43</f>
        <v>49.1</v>
      </c>
      <c r="E5" s="545">
        <f>Store!G47</f>
        <v>0</v>
      </c>
      <c r="F5" s="560">
        <f>SUM(C5:E5)</f>
        <v>49.1</v>
      </c>
      <c r="G5" s="560" t="s">
        <v>112</v>
      </c>
      <c r="H5" s="560"/>
      <c r="I5" s="560"/>
      <c r="K5" s="560">
        <f>ROUND(F5,2)</f>
        <v>49.1</v>
      </c>
      <c r="M5" s="489"/>
    </row>
    <row r="6" spans="1:16" s="331" customFormat="1" ht="11.25">
      <c r="A6" s="489">
        <f>A5+1</f>
        <v>2</v>
      </c>
      <c r="B6" s="331" t="s">
        <v>387</v>
      </c>
      <c r="C6" s="545">
        <f>'ground floor'!I86</f>
        <v>20.760000000000005</v>
      </c>
      <c r="E6" s="545">
        <f>Store!G63</f>
        <v>0</v>
      </c>
      <c r="F6" s="560">
        <f t="shared" ref="F6:F27" si="0">SUM(C6:E6)</f>
        <v>20.760000000000005</v>
      </c>
      <c r="G6" s="560" t="s">
        <v>112</v>
      </c>
      <c r="I6" s="489">
        <f>ROUND(F6*0.9,2)</f>
        <v>18.68</v>
      </c>
      <c r="J6" s="489">
        <f>ROUND(F6*0.45,2)</f>
        <v>9.34</v>
      </c>
      <c r="K6" s="489"/>
      <c r="L6" s="489"/>
      <c r="M6" s="489"/>
      <c r="N6" s="331">
        <f>ROUND(F6*162,2)</f>
        <v>3363.12</v>
      </c>
    </row>
    <row r="7" spans="1:16" s="331" customFormat="1" ht="11.25">
      <c r="A7" s="489">
        <f t="shared" ref="A7:A27" si="1">A6+1</f>
        <v>3</v>
      </c>
      <c r="B7" s="331" t="s">
        <v>1303</v>
      </c>
      <c r="C7" s="545">
        <f>'ground floor'!I94</f>
        <v>13.3</v>
      </c>
      <c r="E7" s="545">
        <f>Store!G70</f>
        <v>0</v>
      </c>
      <c r="F7" s="560">
        <f t="shared" si="0"/>
        <v>13.3</v>
      </c>
      <c r="G7" s="560"/>
      <c r="I7" s="489"/>
      <c r="J7" s="489"/>
      <c r="K7" s="489"/>
      <c r="L7" s="489"/>
      <c r="M7" s="489"/>
    </row>
    <row r="8" spans="1:16" s="331" customFormat="1" ht="11.25">
      <c r="A8" s="489">
        <f t="shared" si="1"/>
        <v>4</v>
      </c>
      <c r="B8" s="331" t="s">
        <v>1304</v>
      </c>
      <c r="C8" s="545">
        <f>'ground floor'!I99</f>
        <v>2.59</v>
      </c>
      <c r="E8" s="545">
        <f>Store!G72</f>
        <v>0</v>
      </c>
      <c r="F8" s="560">
        <f t="shared" si="0"/>
        <v>2.59</v>
      </c>
      <c r="G8" s="560"/>
      <c r="I8" s="489"/>
      <c r="J8" s="489"/>
      <c r="K8" s="489"/>
      <c r="L8" s="489"/>
      <c r="M8" s="489"/>
    </row>
    <row r="9" spans="1:16" s="331" customFormat="1" ht="11.25">
      <c r="A9" s="489">
        <f t="shared" si="1"/>
        <v>5</v>
      </c>
      <c r="B9" s="551" t="s">
        <v>1305</v>
      </c>
      <c r="C9" s="561">
        <f>'ground floor'!I114</f>
        <v>4.8899999999999997</v>
      </c>
      <c r="D9" s="551"/>
      <c r="E9" s="561">
        <f>Store!G79</f>
        <v>0</v>
      </c>
      <c r="F9" s="560">
        <f t="shared" si="0"/>
        <v>4.8899999999999997</v>
      </c>
      <c r="G9" s="560" t="s">
        <v>112</v>
      </c>
      <c r="H9" s="489">
        <f>ROUND(F9*0.9,2)</f>
        <v>4.4000000000000004</v>
      </c>
      <c r="I9" s="489"/>
      <c r="J9" s="489">
        <f>ROUND(F9*0.45,2)</f>
        <v>2.2000000000000002</v>
      </c>
      <c r="K9" s="489"/>
      <c r="L9" s="489"/>
      <c r="M9" s="489"/>
      <c r="N9" s="331">
        <f>ROUND(F9*350,2)</f>
        <v>1711.5</v>
      </c>
    </row>
    <row r="10" spans="1:16" s="331" customFormat="1" ht="11.25">
      <c r="A10" s="489">
        <f t="shared" si="1"/>
        <v>6</v>
      </c>
      <c r="B10" s="551" t="s">
        <v>1306</v>
      </c>
      <c r="C10" s="561">
        <f>'ground floor'!I122</f>
        <v>5.87</v>
      </c>
      <c r="D10" s="561">
        <f>'first floor'!I16</f>
        <v>0</v>
      </c>
      <c r="E10" s="561">
        <f>Store!G84</f>
        <v>0</v>
      </c>
      <c r="F10" s="560">
        <f t="shared" si="0"/>
        <v>5.87</v>
      </c>
      <c r="G10" s="560" t="s">
        <v>112</v>
      </c>
      <c r="H10" s="489">
        <f>ROUND(F10*0.9,2)</f>
        <v>5.28</v>
      </c>
      <c r="I10" s="489"/>
      <c r="J10" s="489">
        <f>ROUND(F10*0.45,2)</f>
        <v>2.64</v>
      </c>
      <c r="K10" s="489"/>
      <c r="L10" s="489"/>
      <c r="M10" s="489"/>
      <c r="N10" s="331">
        <f>ROUND(F10*350,2)</f>
        <v>2054.5</v>
      </c>
    </row>
    <row r="11" spans="1:16" s="331" customFormat="1" ht="11.25">
      <c r="A11" s="489">
        <f t="shared" si="1"/>
        <v>7</v>
      </c>
      <c r="B11" s="551" t="s">
        <v>1307</v>
      </c>
      <c r="C11" s="561">
        <f>'ground floor'!I138</f>
        <v>2.2600000000000002</v>
      </c>
      <c r="D11" s="561">
        <f>'first floor'!I26</f>
        <v>0</v>
      </c>
      <c r="E11" s="561">
        <f>Store!G91</f>
        <v>0</v>
      </c>
      <c r="F11" s="560">
        <f t="shared" si="0"/>
        <v>2.2600000000000002</v>
      </c>
      <c r="G11" s="560" t="s">
        <v>112</v>
      </c>
      <c r="H11" s="489">
        <f>ROUND(F11*0.9,2)</f>
        <v>2.0299999999999998</v>
      </c>
      <c r="I11" s="489"/>
      <c r="J11" s="489">
        <f>ROUND(F11*0.45,2)</f>
        <v>1.02</v>
      </c>
      <c r="K11" s="489"/>
      <c r="L11" s="489"/>
      <c r="M11" s="489"/>
      <c r="N11" s="331">
        <f>ROUND(F11*350,2)</f>
        <v>791</v>
      </c>
    </row>
    <row r="12" spans="1:16" s="331" customFormat="1" ht="11.25">
      <c r="A12" s="489">
        <f t="shared" si="1"/>
        <v>8</v>
      </c>
      <c r="B12" s="551" t="s">
        <v>1308</v>
      </c>
      <c r="C12" s="561">
        <f>'ground floor'!I147*0.15</f>
        <v>0</v>
      </c>
      <c r="D12" s="551">
        <f>ROUND('first floor'!I40*0.15,2)</f>
        <v>0</v>
      </c>
      <c r="E12" s="551"/>
      <c r="F12" s="560">
        <f t="shared" si="0"/>
        <v>0</v>
      </c>
      <c r="G12" s="560"/>
      <c r="H12" s="489"/>
      <c r="I12" s="489"/>
      <c r="J12" s="489"/>
      <c r="K12" s="489"/>
      <c r="L12" s="489"/>
      <c r="M12" s="489"/>
    </row>
    <row r="13" spans="1:16" s="331" customFormat="1" ht="11.25">
      <c r="A13" s="489">
        <f t="shared" si="1"/>
        <v>9</v>
      </c>
      <c r="B13" s="551" t="s">
        <v>1309</v>
      </c>
      <c r="C13" s="561">
        <f>'ground floor'!I152*0.125</f>
        <v>16.48875</v>
      </c>
      <c r="D13" s="561">
        <f>'first floor'!I37*0.125</f>
        <v>0</v>
      </c>
      <c r="E13" s="561">
        <f>Store!G105</f>
        <v>0</v>
      </c>
      <c r="F13" s="560">
        <f t="shared" si="0"/>
        <v>16.48875</v>
      </c>
      <c r="G13" s="560" t="s">
        <v>114</v>
      </c>
      <c r="H13" s="489">
        <f>ROUND(F13*0.125*0.9,2)</f>
        <v>1.85</v>
      </c>
      <c r="I13" s="489"/>
      <c r="J13" s="489">
        <f>ROUND(F13*0.125*0.45,2)</f>
        <v>0.93</v>
      </c>
      <c r="K13" s="489"/>
      <c r="L13" s="489"/>
      <c r="M13" s="489"/>
      <c r="N13" s="331">
        <f>ROUND(F13*0.125*350,2)</f>
        <v>721.38</v>
      </c>
    </row>
    <row r="14" spans="1:16" s="331" customFormat="1" ht="11.25">
      <c r="A14" s="489">
        <f t="shared" si="1"/>
        <v>10</v>
      </c>
      <c r="B14" s="551" t="s">
        <v>1310</v>
      </c>
      <c r="C14" s="561">
        <f>'ground floor'!I160</f>
        <v>5.3900000000000006</v>
      </c>
      <c r="D14" s="561">
        <f>'first floor'!I50</f>
        <v>0</v>
      </c>
      <c r="E14" s="561">
        <f>Store!G112</f>
        <v>0</v>
      </c>
      <c r="F14" s="560">
        <f t="shared" si="0"/>
        <v>5.3900000000000006</v>
      </c>
      <c r="G14" s="560" t="s">
        <v>112</v>
      </c>
      <c r="H14" s="489">
        <f>ROUND(F14*0.9,2)</f>
        <v>4.8499999999999996</v>
      </c>
      <c r="I14" s="489"/>
      <c r="J14" s="489">
        <f>ROUND(F14*0.45,2)</f>
        <v>2.4300000000000002</v>
      </c>
      <c r="K14" s="489"/>
      <c r="L14" s="489"/>
      <c r="M14" s="489"/>
      <c r="N14" s="331">
        <f>ROUND(F14*350,2)</f>
        <v>1886.5</v>
      </c>
    </row>
    <row r="15" spans="1:16" s="331" customFormat="1" ht="11.25">
      <c r="A15" s="489">
        <f t="shared" si="1"/>
        <v>11</v>
      </c>
      <c r="B15" s="551" t="s">
        <v>1311</v>
      </c>
      <c r="C15" s="551">
        <f>ROUND('ground floor'!I172*(0.075+0.05)/2*0.05,2)</f>
        <v>0.06</v>
      </c>
      <c r="D15" s="551">
        <f>ROUND('first floor'!I32*(0.075+0.05)/2,2)</f>
        <v>0</v>
      </c>
      <c r="E15" s="561">
        <f>Store!G118</f>
        <v>0</v>
      </c>
      <c r="F15" s="560">
        <f t="shared" si="0"/>
        <v>0.06</v>
      </c>
      <c r="G15" s="560" t="s">
        <v>369</v>
      </c>
      <c r="H15" s="489">
        <f>ROUND(F15*0.0375*0.9,2)</f>
        <v>0</v>
      </c>
      <c r="I15" s="489"/>
      <c r="J15" s="489">
        <f>ROUND(F15*0.0375*0.45,2)</f>
        <v>0</v>
      </c>
      <c r="K15" s="489"/>
      <c r="L15" s="489"/>
      <c r="M15" s="489"/>
      <c r="N15" s="331">
        <f>ROUND(F15*0.0375*350,2)</f>
        <v>0.79</v>
      </c>
    </row>
    <row r="16" spans="1:16" s="331" customFormat="1" ht="22.5">
      <c r="A16" s="489">
        <f t="shared" si="1"/>
        <v>12</v>
      </c>
      <c r="B16" s="551" t="s">
        <v>940</v>
      </c>
      <c r="C16" s="561">
        <f>'ground floor'!I212</f>
        <v>32.119999999999997</v>
      </c>
      <c r="D16" s="561">
        <f>'first floor'!I60</f>
        <v>0</v>
      </c>
      <c r="E16" s="561">
        <f>Store!G138</f>
        <v>0</v>
      </c>
      <c r="F16" s="560">
        <f t="shared" si="0"/>
        <v>32.119999999999997</v>
      </c>
      <c r="G16" s="560" t="s">
        <v>112</v>
      </c>
      <c r="H16" s="489"/>
      <c r="I16" s="489"/>
      <c r="J16" s="489">
        <f>ROUND(F16*0.2,2)</f>
        <v>6.42</v>
      </c>
      <c r="K16" s="489"/>
      <c r="L16" s="489"/>
      <c r="M16" s="489">
        <f>ROUND(F16*512,0)</f>
        <v>16445</v>
      </c>
      <c r="N16" s="331">
        <f>ROUND(F16*36,2)</f>
        <v>1156.32</v>
      </c>
    </row>
    <row r="17" spans="1:14" s="331" customFormat="1" ht="22.5">
      <c r="A17" s="489">
        <f t="shared" si="1"/>
        <v>13</v>
      </c>
      <c r="B17" s="551" t="s">
        <v>939</v>
      </c>
      <c r="C17" s="561">
        <f>'ground floor'!I227</f>
        <v>9.77</v>
      </c>
      <c r="D17" s="551"/>
      <c r="E17" s="561">
        <f>Store!G130</f>
        <v>0</v>
      </c>
      <c r="F17" s="560">
        <f t="shared" si="0"/>
        <v>9.77</v>
      </c>
      <c r="G17" s="560" t="s">
        <v>112</v>
      </c>
      <c r="H17" s="489"/>
      <c r="I17" s="489"/>
      <c r="J17" s="489">
        <f>ROUND(F17*0.2,2)</f>
        <v>1.95</v>
      </c>
      <c r="K17" s="489"/>
      <c r="L17" s="489"/>
      <c r="M17" s="489">
        <f>ROUND(F17*512,0)</f>
        <v>5002</v>
      </c>
      <c r="N17" s="331">
        <f>ROUND(F17*48,2)</f>
        <v>468.96</v>
      </c>
    </row>
    <row r="18" spans="1:14" s="331" customFormat="1" ht="15.75" customHeight="1">
      <c r="A18" s="489">
        <f t="shared" si="1"/>
        <v>14</v>
      </c>
      <c r="B18" s="551" t="s">
        <v>1312</v>
      </c>
      <c r="C18" s="561">
        <f>'ground floor'!I238*0.115</f>
        <v>0</v>
      </c>
      <c r="D18" s="561">
        <f>'first floor'!I76*0.115</f>
        <v>0</v>
      </c>
      <c r="E18" s="561">
        <f>Store!G145</f>
        <v>0</v>
      </c>
      <c r="F18" s="560">
        <f t="shared" si="0"/>
        <v>0</v>
      </c>
      <c r="G18" s="560" t="s">
        <v>112</v>
      </c>
      <c r="H18" s="489"/>
      <c r="I18" s="489"/>
      <c r="J18" s="489"/>
      <c r="K18" s="489"/>
      <c r="L18" s="489"/>
      <c r="M18" s="489"/>
    </row>
    <row r="19" spans="1:14" s="331" customFormat="1" ht="45">
      <c r="A19" s="489">
        <f t="shared" si="1"/>
        <v>15</v>
      </c>
      <c r="B19" s="368" t="s">
        <v>1314</v>
      </c>
      <c r="C19" s="413">
        <f>'ground floor'!I253</f>
        <v>324.55</v>
      </c>
      <c r="D19" s="413">
        <f>'first floor'!I154</f>
        <v>0</v>
      </c>
      <c r="E19" s="413">
        <f>Store!G154</f>
        <v>0</v>
      </c>
      <c r="F19" s="560">
        <f t="shared" si="0"/>
        <v>324.55</v>
      </c>
      <c r="G19" s="180" t="s">
        <v>114</v>
      </c>
      <c r="H19" s="180"/>
      <c r="I19" s="180"/>
      <c r="L19" s="180">
        <f>ROUND(F19*0.15/10,2)</f>
        <v>4.87</v>
      </c>
      <c r="M19" s="489"/>
      <c r="N19" s="331">
        <f>ROUND(F19*(50.9/10),2)</f>
        <v>1651.96</v>
      </c>
    </row>
    <row r="20" spans="1:14" s="331" customFormat="1" ht="45">
      <c r="A20" s="489">
        <f t="shared" si="1"/>
        <v>16</v>
      </c>
      <c r="B20" s="368" t="s">
        <v>1315</v>
      </c>
      <c r="C20" s="413">
        <f>'ground floor'!I262</f>
        <v>184.73</v>
      </c>
      <c r="D20" s="413">
        <f>'first floor'!I162</f>
        <v>0</v>
      </c>
      <c r="E20" s="413">
        <f>Store!G164</f>
        <v>0</v>
      </c>
      <c r="F20" s="560">
        <f t="shared" si="0"/>
        <v>184.73</v>
      </c>
      <c r="G20" s="180" t="s">
        <v>114</v>
      </c>
      <c r="H20" s="180"/>
      <c r="I20" s="180"/>
      <c r="L20" s="180">
        <f>ROUND(F20*0.22/10,2)</f>
        <v>4.0599999999999996</v>
      </c>
      <c r="M20" s="489"/>
      <c r="N20" s="331">
        <f>ROUND(F20*(57.5/10),2)</f>
        <v>1062.2</v>
      </c>
    </row>
    <row r="21" spans="1:14" s="331" customFormat="1" ht="22.5">
      <c r="A21" s="489">
        <f t="shared" si="1"/>
        <v>17</v>
      </c>
      <c r="B21" s="551" t="s">
        <v>974</v>
      </c>
      <c r="C21" s="561">
        <f>'ground floor'!I287</f>
        <v>176.97000000000003</v>
      </c>
      <c r="D21" s="561">
        <f>'first floor'!I126</f>
        <v>0</v>
      </c>
      <c r="E21" s="561">
        <f>Store!G175</f>
        <v>0</v>
      </c>
      <c r="F21" s="560">
        <f t="shared" si="0"/>
        <v>176.97000000000003</v>
      </c>
      <c r="G21" s="560" t="s">
        <v>114</v>
      </c>
      <c r="H21" s="489"/>
      <c r="I21" s="489"/>
      <c r="L21" s="180">
        <f>ROUND(F21*0.15/10,2)</f>
        <v>2.65</v>
      </c>
      <c r="M21" s="489"/>
      <c r="N21" s="331">
        <f>ROUND(F21*(0.15/10)*480,2)</f>
        <v>1274.18</v>
      </c>
    </row>
    <row r="22" spans="1:14" s="331" customFormat="1" ht="11.25">
      <c r="A22" s="489">
        <f t="shared" si="1"/>
        <v>18</v>
      </c>
      <c r="B22" s="331" t="s">
        <v>942</v>
      </c>
      <c r="C22" s="545">
        <f>'ground floor'!I299</f>
        <v>98.2</v>
      </c>
      <c r="D22" s="545">
        <f>'first floor'!I100</f>
        <v>0</v>
      </c>
      <c r="E22" s="545">
        <f>Store!G185</f>
        <v>0</v>
      </c>
      <c r="F22" s="560">
        <f t="shared" si="0"/>
        <v>98.2</v>
      </c>
      <c r="G22" s="560" t="s">
        <v>114</v>
      </c>
      <c r="H22" s="489"/>
      <c r="I22" s="489"/>
      <c r="L22" s="489">
        <f>ROUND(F22*0.14/10,2)</f>
        <v>1.37</v>
      </c>
      <c r="M22" s="489"/>
      <c r="N22" s="331">
        <f>ROUND(F22*(60.6/10),2)</f>
        <v>595.09</v>
      </c>
    </row>
    <row r="23" spans="1:14" s="331" customFormat="1" ht="11.25">
      <c r="A23" s="489">
        <f t="shared" si="1"/>
        <v>19</v>
      </c>
      <c r="B23" s="331" t="s">
        <v>941</v>
      </c>
      <c r="C23" s="545">
        <f>'ground floor'!I312</f>
        <v>11.94</v>
      </c>
      <c r="D23" s="545">
        <f>'first floor'!I114</f>
        <v>0</v>
      </c>
      <c r="E23" s="545"/>
      <c r="F23" s="560">
        <f t="shared" si="0"/>
        <v>11.94</v>
      </c>
      <c r="G23" s="560" t="s">
        <v>114</v>
      </c>
      <c r="H23" s="489"/>
      <c r="I23" s="489"/>
      <c r="L23" s="489">
        <f>ROUND(F23*0.12/10,2)</f>
        <v>0.14000000000000001</v>
      </c>
      <c r="M23" s="489"/>
      <c r="N23" s="331">
        <f>ROUND(F23*(67.56/10),2)</f>
        <v>80.67</v>
      </c>
    </row>
    <row r="24" spans="1:14" s="331" customFormat="1" ht="11.25">
      <c r="A24" s="489">
        <f t="shared" si="1"/>
        <v>20</v>
      </c>
      <c r="B24" s="331" t="s">
        <v>1316</v>
      </c>
      <c r="C24" s="545">
        <f>'ground floor'!I318</f>
        <v>0</v>
      </c>
      <c r="F24" s="560">
        <f t="shared" si="0"/>
        <v>0</v>
      </c>
      <c r="G24" s="560" t="s">
        <v>114</v>
      </c>
      <c r="H24" s="489"/>
      <c r="I24" s="489"/>
      <c r="L24" s="489"/>
      <c r="M24" s="489"/>
    </row>
    <row r="25" spans="1:14" s="331" customFormat="1" ht="11.25">
      <c r="A25" s="489">
        <f t="shared" si="1"/>
        <v>21</v>
      </c>
      <c r="B25" s="551" t="s">
        <v>1318</v>
      </c>
      <c r="C25" s="551"/>
      <c r="D25" s="561">
        <f>'first floor'!I118</f>
        <v>0</v>
      </c>
      <c r="E25" s="561">
        <f>Store!G178</f>
        <v>0</v>
      </c>
      <c r="F25" s="560">
        <f t="shared" si="0"/>
        <v>0</v>
      </c>
      <c r="G25" s="560" t="s">
        <v>114</v>
      </c>
      <c r="H25" s="489"/>
      <c r="I25" s="489"/>
      <c r="K25" s="489"/>
      <c r="L25" s="489">
        <f>ROUND(F25*0.21/10,2)</f>
        <v>0</v>
      </c>
      <c r="M25" s="489"/>
      <c r="N25" s="331">
        <f>ROUND(F25*0.21*480/10,2)</f>
        <v>0</v>
      </c>
    </row>
    <row r="26" spans="1:14" s="331" customFormat="1" ht="11.25">
      <c r="A26" s="489">
        <f t="shared" si="1"/>
        <v>22</v>
      </c>
      <c r="B26" s="331" t="s">
        <v>943</v>
      </c>
      <c r="D26" s="545">
        <f>'first floor'!I170</f>
        <v>0</v>
      </c>
      <c r="E26" s="545"/>
      <c r="F26" s="560">
        <f t="shared" si="0"/>
        <v>0</v>
      </c>
      <c r="G26" s="560" t="s">
        <v>114</v>
      </c>
      <c r="H26" s="489"/>
      <c r="I26" s="489"/>
      <c r="L26" s="489">
        <f>ROUND(F26*0.14/10,2)</f>
        <v>0</v>
      </c>
      <c r="M26" s="489"/>
      <c r="N26" s="331">
        <f>ROUND(F26*(56.6/10),2)</f>
        <v>0</v>
      </c>
    </row>
    <row r="27" spans="1:14" s="331" customFormat="1" ht="11.25">
      <c r="A27" s="489">
        <f t="shared" si="1"/>
        <v>23</v>
      </c>
      <c r="B27" s="331" t="s">
        <v>1317</v>
      </c>
      <c r="D27" s="545">
        <f>'first floor'!I178</f>
        <v>0</v>
      </c>
      <c r="E27" s="545"/>
      <c r="F27" s="560">
        <f t="shared" si="0"/>
        <v>0</v>
      </c>
      <c r="G27" s="560" t="s">
        <v>114</v>
      </c>
      <c r="H27" s="489"/>
      <c r="I27" s="489"/>
      <c r="L27" s="489">
        <f>ROUND(F27*0.12/10,2)</f>
        <v>0</v>
      </c>
      <c r="M27" s="489"/>
      <c r="N27" s="331">
        <f>ROUND(F27*(90.6/10),2)</f>
        <v>0</v>
      </c>
    </row>
    <row r="28" spans="1:14" s="2" customFormat="1" ht="19.5" customHeight="1">
      <c r="A28" s="273"/>
      <c r="F28" s="273"/>
      <c r="G28" s="273"/>
      <c r="H28" s="562">
        <f t="shared" ref="H28:M28" si="2">SUM(H5:H27)</f>
        <v>18.409999999999997</v>
      </c>
      <c r="I28" s="562">
        <f t="shared" si="2"/>
        <v>18.68</v>
      </c>
      <c r="J28" s="562">
        <f t="shared" si="2"/>
        <v>26.929999999999996</v>
      </c>
      <c r="K28" s="562">
        <f t="shared" si="2"/>
        <v>49.1</v>
      </c>
      <c r="L28" s="562">
        <f t="shared" si="2"/>
        <v>13.09</v>
      </c>
      <c r="M28" s="562">
        <f t="shared" si="2"/>
        <v>21447</v>
      </c>
      <c r="N28" s="279">
        <f>SUM(N9:N27)</f>
        <v>13455.050000000001</v>
      </c>
    </row>
    <row r="29" spans="1:14" s="2" customFormat="1" ht="11.25">
      <c r="A29" s="273"/>
      <c r="N29" s="2">
        <f>N28/50</f>
        <v>269.101</v>
      </c>
    </row>
    <row r="30" spans="1:14" s="2" customFormat="1" ht="15.75" customHeight="1">
      <c r="A30" s="273"/>
      <c r="B30" s="449" t="s">
        <v>972</v>
      </c>
      <c r="C30" s="449"/>
      <c r="D30" s="449"/>
      <c r="E30" s="449"/>
      <c r="F30" s="2">
        <f>H28</f>
        <v>18.409999999999997</v>
      </c>
      <c r="G30" s="278" t="s">
        <v>388</v>
      </c>
      <c r="H30" s="276">
        <v>75</v>
      </c>
      <c r="I30" s="276"/>
      <c r="J30" s="276">
        <f>ROUND(H30*F30,2)</f>
        <v>1380.75</v>
      </c>
      <c r="K30" s="276"/>
      <c r="L30" s="276"/>
    </row>
    <row r="31" spans="1:14" s="2" customFormat="1" ht="15.75" customHeight="1">
      <c r="A31" s="273"/>
      <c r="B31" s="449" t="s">
        <v>973</v>
      </c>
      <c r="C31" s="449"/>
      <c r="D31" s="449"/>
      <c r="E31" s="449"/>
      <c r="F31" s="2">
        <f>I28</f>
        <v>18.68</v>
      </c>
      <c r="G31" s="278"/>
      <c r="H31" s="276">
        <v>75</v>
      </c>
      <c r="I31" s="276"/>
      <c r="J31" s="276">
        <f>ROUND(H31*F31,2)</f>
        <v>1401</v>
      </c>
      <c r="K31" s="276"/>
      <c r="L31" s="276"/>
    </row>
    <row r="32" spans="1:14" s="2" customFormat="1" ht="15.75" customHeight="1">
      <c r="A32" s="273"/>
      <c r="B32" s="449" t="s">
        <v>975</v>
      </c>
      <c r="C32" s="449"/>
      <c r="D32" s="449"/>
      <c r="E32" s="449"/>
      <c r="F32" s="2">
        <f>J28</f>
        <v>26.929999999999996</v>
      </c>
      <c r="G32" s="278" t="s">
        <v>388</v>
      </c>
      <c r="H32" s="276">
        <v>50</v>
      </c>
      <c r="I32" s="276"/>
      <c r="J32" s="276">
        <f>ROUND(H32*F32,2)</f>
        <v>1346.5</v>
      </c>
      <c r="K32" s="276"/>
      <c r="L32" s="276"/>
    </row>
    <row r="33" spans="1:15" s="2" customFormat="1" ht="15.75" customHeight="1">
      <c r="A33" s="273"/>
      <c r="B33" s="449" t="s">
        <v>976</v>
      </c>
      <c r="C33" s="449"/>
      <c r="D33" s="449"/>
      <c r="E33" s="449"/>
      <c r="F33" s="276">
        <f>K28</f>
        <v>49.1</v>
      </c>
      <c r="G33" s="278" t="s">
        <v>388</v>
      </c>
      <c r="H33" s="276">
        <v>50</v>
      </c>
      <c r="I33" s="276"/>
      <c r="J33" s="276">
        <f>ROUND(H33*F33,2)</f>
        <v>2455</v>
      </c>
      <c r="K33" s="276"/>
      <c r="L33" s="276"/>
    </row>
    <row r="34" spans="1:15" s="2" customFormat="1" ht="15.75" customHeight="1">
      <c r="A34" s="273"/>
      <c r="B34" s="449" t="s">
        <v>971</v>
      </c>
      <c r="C34" s="449"/>
      <c r="D34" s="449"/>
      <c r="E34" s="449"/>
      <c r="F34" s="2">
        <f>L28</f>
        <v>13.09</v>
      </c>
      <c r="G34" s="278"/>
      <c r="H34" s="276">
        <v>50</v>
      </c>
      <c r="I34" s="276"/>
      <c r="J34" s="276">
        <f>ROUND(H34*F34,2)</f>
        <v>654.5</v>
      </c>
      <c r="K34" s="276"/>
      <c r="L34" s="276"/>
    </row>
    <row r="35" spans="1:15" s="2" customFormat="1" ht="15.75" customHeight="1">
      <c r="A35" s="273"/>
      <c r="B35" s="275" t="s">
        <v>389</v>
      </c>
      <c r="C35" s="275"/>
      <c r="D35" s="275"/>
      <c r="E35" s="275"/>
      <c r="F35" s="2">
        <f>M28</f>
        <v>21447</v>
      </c>
      <c r="G35" s="278" t="s">
        <v>388</v>
      </c>
      <c r="H35" s="276">
        <v>60</v>
      </c>
      <c r="I35" s="276"/>
      <c r="J35" s="276">
        <f>ROUND(H35*F35/1000,2)</f>
        <v>1286.82</v>
      </c>
      <c r="K35" s="276"/>
      <c r="L35" s="276"/>
    </row>
    <row r="36" spans="1:15" s="2" customFormat="1" ht="16.5" customHeight="1">
      <c r="A36" s="273"/>
      <c r="J36" s="450">
        <f>ROUND(SUM(J30:J35),0)</f>
        <v>8525</v>
      </c>
      <c r="K36" s="450"/>
      <c r="L36" s="450"/>
    </row>
    <row r="37" spans="1:15" s="2" customFormat="1" ht="11.25">
      <c r="A37" s="273"/>
      <c r="F37" s="280"/>
      <c r="G37" s="280"/>
      <c r="H37" s="280"/>
      <c r="I37" s="280"/>
      <c r="J37" s="280"/>
      <c r="K37" s="280"/>
      <c r="L37" s="280"/>
      <c r="M37" s="280"/>
      <c r="N37" s="280"/>
      <c r="O37" s="280"/>
    </row>
    <row r="38" spans="1:15" s="2" customFormat="1">
      <c r="A38" s="273"/>
      <c r="F38" s="406" t="s">
        <v>836</v>
      </c>
      <c r="G38" s="280"/>
      <c r="H38" s="280"/>
      <c r="I38" s="280"/>
      <c r="J38" s="1267" t="s">
        <v>1371</v>
      </c>
      <c r="K38" s="1267"/>
      <c r="L38" s="1267"/>
      <c r="M38" s="1267"/>
      <c r="N38" s="1267"/>
      <c r="O38" s="280"/>
    </row>
    <row r="39" spans="1:15" s="2" customFormat="1">
      <c r="A39" s="273"/>
      <c r="F39" s="406" t="s">
        <v>1369</v>
      </c>
      <c r="G39" s="446"/>
      <c r="H39" s="280"/>
      <c r="I39" s="280"/>
      <c r="J39" s="280"/>
      <c r="K39" s="280"/>
      <c r="L39" s="280" t="s">
        <v>1368</v>
      </c>
      <c r="N39" s="280"/>
    </row>
  </sheetData>
  <mergeCells count="8">
    <mergeCell ref="H3:N3"/>
    <mergeCell ref="F2:N2"/>
    <mergeCell ref="J38:N38"/>
    <mergeCell ref="A2:B2"/>
    <mergeCell ref="A1:N1"/>
    <mergeCell ref="A3:A4"/>
    <mergeCell ref="B3:B4"/>
    <mergeCell ref="F3:F4"/>
  </mergeCells>
  <printOptions gridLines="1"/>
  <pageMargins left="0.7" right="0.7" top="0.75" bottom="0.75" header="0.3" footer="0.3"/>
  <pageSetup paperSize="9" scale="85" orientation="portrait" verticalDpi="0" r:id="rId1"/>
</worksheet>
</file>

<file path=xl/worksheets/sheet16.xml><?xml version="1.0" encoding="utf-8"?>
<worksheet xmlns="http://schemas.openxmlformats.org/spreadsheetml/2006/main" xmlns:r="http://schemas.openxmlformats.org/officeDocument/2006/relationships">
  <dimension ref="A1:J705"/>
  <sheetViews>
    <sheetView workbookViewId="0"/>
  </sheetViews>
  <sheetFormatPr defaultRowHeight="12.75"/>
  <cols>
    <col min="1" max="1" width="6.140625" style="170" customWidth="1"/>
    <col min="2" max="2" width="5.28515625" style="38" customWidth="1"/>
    <col min="3" max="3" width="43.85546875" style="152" customWidth="1"/>
    <col min="4" max="4" width="6.7109375" style="38" customWidth="1"/>
    <col min="5" max="5" width="8.7109375" style="51" customWidth="1"/>
    <col min="6" max="6" width="9.7109375" style="51" customWidth="1"/>
    <col min="7" max="7" width="13.85546875" style="51" customWidth="1"/>
    <col min="8" max="8" width="12.42578125" style="38" customWidth="1"/>
    <col min="9" max="9" width="9.7109375" style="39" customWidth="1"/>
    <col min="10" max="219" width="9.140625" style="39"/>
    <col min="220" max="220" width="9.28515625" style="39" customWidth="1"/>
    <col min="221" max="16384" width="9.140625" style="39"/>
  </cols>
  <sheetData>
    <row r="1" spans="1:10" s="25" customFormat="1" ht="17.25" customHeight="1">
      <c r="A1" s="166"/>
      <c r="B1" s="1371" t="s">
        <v>151</v>
      </c>
      <c r="C1" s="1371"/>
      <c r="D1" s="1371"/>
      <c r="E1" s="1371"/>
      <c r="F1" s="1371"/>
      <c r="G1" s="1371"/>
      <c r="H1" s="1371"/>
    </row>
    <row r="2" spans="1:10" s="25" customFormat="1" ht="15.75" customHeight="1">
      <c r="A2" s="1372" t="str">
        <f>'Title page'!D20</f>
        <v>CONSTRUCTION OF NEW  SACHIVALAYAM IN  SALIPETA(V)-II   IN   GUDLUR (M)</v>
      </c>
      <c r="B2" s="1372"/>
      <c r="C2" s="1372"/>
      <c r="D2" s="1372"/>
      <c r="E2" s="1372"/>
      <c r="F2" s="1372"/>
      <c r="G2" s="1372"/>
      <c r="H2" s="1372"/>
    </row>
    <row r="3" spans="1:10" s="25" customFormat="1" ht="17.25" customHeight="1">
      <c r="A3" s="166"/>
      <c r="B3" s="153"/>
      <c r="C3" s="153"/>
      <c r="D3" s="153"/>
      <c r="E3" s="153"/>
      <c r="F3" s="153"/>
      <c r="G3" s="153"/>
      <c r="H3" s="153"/>
    </row>
    <row r="4" spans="1:10" s="19" customFormat="1" ht="25.5" customHeight="1">
      <c r="A4" s="167" t="s">
        <v>152</v>
      </c>
      <c r="B4" s="26" t="s">
        <v>153</v>
      </c>
      <c r="C4" s="19" t="s">
        <v>154</v>
      </c>
      <c r="D4" s="19" t="s">
        <v>155</v>
      </c>
      <c r="E4" s="27" t="s">
        <v>156</v>
      </c>
      <c r="F4" s="27" t="s">
        <v>157</v>
      </c>
      <c r="G4" s="27" t="s">
        <v>158</v>
      </c>
    </row>
    <row r="5" spans="1:10" s="28" customFormat="1" ht="12" customHeight="1">
      <c r="A5" s="168"/>
      <c r="B5" s="28">
        <v>1</v>
      </c>
      <c r="C5" s="28">
        <v>2</v>
      </c>
      <c r="D5" s="28">
        <v>3</v>
      </c>
      <c r="E5" s="28">
        <v>4</v>
      </c>
      <c r="F5" s="28">
        <v>5</v>
      </c>
      <c r="G5" s="28">
        <v>6</v>
      </c>
      <c r="H5" s="28">
        <v>7</v>
      </c>
    </row>
    <row r="6" spans="1:10" s="29" customFormat="1" ht="54" customHeight="1">
      <c r="A6" s="169"/>
      <c r="B6" s="29">
        <v>1</v>
      </c>
      <c r="C6" s="1370" t="s">
        <v>159</v>
      </c>
      <c r="D6" s="1370"/>
      <c r="E6" s="1370"/>
      <c r="F6" s="1370"/>
      <c r="G6" s="1370"/>
    </row>
    <row r="7" spans="1:10" s="29" customFormat="1" ht="18" customHeight="1">
      <c r="A7" s="169"/>
      <c r="C7" s="30" t="s">
        <v>160</v>
      </c>
      <c r="D7" s="29" t="s">
        <v>161</v>
      </c>
      <c r="E7" s="31">
        <v>3.64</v>
      </c>
      <c r="F7" s="31">
        <v>280</v>
      </c>
      <c r="G7" s="31">
        <f>F7*E7/10</f>
        <v>101.92</v>
      </c>
    </row>
    <row r="8" spans="1:10" s="29" customFormat="1" ht="18" customHeight="1">
      <c r="A8" s="169"/>
      <c r="C8" s="32" t="s">
        <v>162</v>
      </c>
      <c r="G8" s="33"/>
    </row>
    <row r="9" spans="1:10" s="29" customFormat="1" ht="18" customHeight="1">
      <c r="A9" s="169"/>
      <c r="C9" s="32" t="s">
        <v>88</v>
      </c>
      <c r="G9" s="33"/>
    </row>
    <row r="10" spans="1:10" s="29" customFormat="1" ht="18" customHeight="1">
      <c r="A10" s="169"/>
      <c r="C10" s="34"/>
      <c r="G10" s="35">
        <f>SUM(G7:G9)</f>
        <v>101.92</v>
      </c>
      <c r="H10" s="31"/>
    </row>
    <row r="11" spans="1:10" s="29" customFormat="1" ht="65.099999999999994" hidden="1" customHeight="1">
      <c r="A11" s="169"/>
      <c r="B11" s="29" t="s">
        <v>163</v>
      </c>
      <c r="C11" s="1370" t="s">
        <v>164</v>
      </c>
      <c r="D11" s="1370"/>
      <c r="E11" s="1370"/>
      <c r="F11" s="1370"/>
      <c r="G11" s="1370"/>
      <c r="H11" s="36"/>
      <c r="I11" s="37"/>
      <c r="J11" s="37"/>
    </row>
    <row r="12" spans="1:10" s="29" customFormat="1" ht="18" hidden="1" customHeight="1">
      <c r="A12" s="169"/>
      <c r="C12" s="30" t="s">
        <v>165</v>
      </c>
      <c r="D12" s="29" t="s">
        <v>112</v>
      </c>
      <c r="F12" s="31">
        <v>14</v>
      </c>
      <c r="G12" s="31">
        <v>14</v>
      </c>
      <c r="H12" s="31"/>
    </row>
    <row r="13" spans="1:10" s="29" customFormat="1" ht="18" hidden="1" customHeight="1">
      <c r="A13" s="169"/>
      <c r="C13" s="32" t="s">
        <v>162</v>
      </c>
      <c r="G13" s="33"/>
    </row>
    <row r="14" spans="1:10" s="29" customFormat="1" ht="18" hidden="1" customHeight="1">
      <c r="A14" s="169"/>
      <c r="C14" s="34"/>
      <c r="G14" s="35">
        <f>SUM(G12:G13)</f>
        <v>14</v>
      </c>
      <c r="H14" s="31">
        <f>G14</f>
        <v>14</v>
      </c>
    </row>
    <row r="15" spans="1:10" s="29" customFormat="1" ht="65.099999999999994" hidden="1" customHeight="1">
      <c r="A15" s="169"/>
      <c r="B15" s="29">
        <v>2</v>
      </c>
      <c r="C15" s="1370" t="s">
        <v>167</v>
      </c>
      <c r="D15" s="1370"/>
      <c r="E15" s="1370"/>
      <c r="F15" s="1370"/>
      <c r="G15" s="1370"/>
    </row>
    <row r="16" spans="1:10" s="29" customFormat="1" ht="18" hidden="1" customHeight="1">
      <c r="A16" s="169"/>
      <c r="C16" s="30" t="s">
        <v>168</v>
      </c>
      <c r="D16" s="29" t="s">
        <v>112</v>
      </c>
      <c r="E16" s="29">
        <v>1</v>
      </c>
      <c r="F16" s="31" t="e">
        <f>'lead(new)'!P16</f>
        <v>#N/A</v>
      </c>
      <c r="G16" s="31" t="e">
        <f>F16</f>
        <v>#N/A</v>
      </c>
      <c r="H16" s="31"/>
    </row>
    <row r="17" spans="1:8" s="29" customFormat="1" ht="18" hidden="1" customHeight="1">
      <c r="A17" s="169"/>
      <c r="C17" s="30" t="s">
        <v>169</v>
      </c>
      <c r="D17" s="29" t="s">
        <v>170</v>
      </c>
      <c r="F17" s="31">
        <v>14</v>
      </c>
      <c r="G17" s="31">
        <v>14</v>
      </c>
      <c r="H17" s="31"/>
    </row>
    <row r="18" spans="1:8" s="29" customFormat="1" ht="18" hidden="1" customHeight="1">
      <c r="A18" s="169"/>
      <c r="C18" s="32" t="s">
        <v>162</v>
      </c>
      <c r="G18" s="33"/>
    </row>
    <row r="19" spans="1:8" s="29" customFormat="1" ht="18" hidden="1" customHeight="1">
      <c r="A19" s="169"/>
      <c r="F19" s="31"/>
      <c r="G19" s="31" t="e">
        <f>SUM(G16:G18)</f>
        <v>#N/A</v>
      </c>
      <c r="H19" s="31"/>
    </row>
    <row r="20" spans="1:8" ht="65.099999999999994" customHeight="1">
      <c r="B20" s="38">
        <v>3</v>
      </c>
      <c r="C20" s="1370" t="s">
        <v>171</v>
      </c>
      <c r="D20" s="1370"/>
      <c r="E20" s="1370"/>
      <c r="F20" s="1370"/>
      <c r="G20" s="1370"/>
    </row>
    <row r="21" spans="1:8" s="29" customFormat="1" ht="17.100000000000001" customHeight="1">
      <c r="A21" s="169"/>
      <c r="C21" s="30" t="s">
        <v>119</v>
      </c>
      <c r="D21" s="29" t="s">
        <v>112</v>
      </c>
      <c r="E21" s="29">
        <v>1</v>
      </c>
      <c r="F21" s="31" t="e">
        <f>'lead(new)'!P11</f>
        <v>#N/A</v>
      </c>
      <c r="G21" s="31" t="e">
        <f>F21</f>
        <v>#N/A</v>
      </c>
      <c r="H21" s="31"/>
    </row>
    <row r="22" spans="1:8" s="29" customFormat="1" ht="17.100000000000001" customHeight="1">
      <c r="A22" s="169"/>
      <c r="C22" s="30" t="s">
        <v>332</v>
      </c>
      <c r="D22" s="29" t="s">
        <v>170</v>
      </c>
      <c r="E22" s="31">
        <v>0.31</v>
      </c>
      <c r="F22" s="31">
        <v>280</v>
      </c>
      <c r="G22" s="31">
        <f>F22*E22</f>
        <v>86.8</v>
      </c>
      <c r="H22" s="31"/>
    </row>
    <row r="23" spans="1:8" s="29" customFormat="1" ht="18" customHeight="1">
      <c r="A23" s="169"/>
      <c r="C23" s="32" t="s">
        <v>88</v>
      </c>
      <c r="G23" s="33"/>
    </row>
    <row r="24" spans="1:8" s="29" customFormat="1" ht="17.100000000000001" customHeight="1">
      <c r="A24" s="169"/>
      <c r="F24" s="31"/>
      <c r="G24" s="43" t="e">
        <f>SUM(G21:G23)</f>
        <v>#N/A</v>
      </c>
      <c r="H24" s="31"/>
    </row>
    <row r="25" spans="1:8" s="40" customFormat="1" ht="13.5" customHeight="1">
      <c r="A25" s="166" t="s">
        <v>172</v>
      </c>
      <c r="C25" s="41" t="s">
        <v>173</v>
      </c>
    </row>
    <row r="26" spans="1:8" s="44" customFormat="1" ht="17.100000000000001" hidden="1" customHeight="1">
      <c r="A26" s="166" t="s">
        <v>174</v>
      </c>
      <c r="B26" s="14">
        <v>3</v>
      </c>
      <c r="C26" s="42" t="s">
        <v>175</v>
      </c>
      <c r="D26" s="40"/>
      <c r="E26" s="43"/>
      <c r="F26" s="43"/>
      <c r="H26" s="24"/>
    </row>
    <row r="27" spans="1:8" s="12" customFormat="1" ht="17.100000000000001" hidden="1" customHeight="1">
      <c r="A27" s="170"/>
      <c r="B27" s="45"/>
      <c r="C27" s="46" t="s">
        <v>176</v>
      </c>
      <c r="D27" s="31"/>
      <c r="E27" s="31"/>
      <c r="F27" s="31"/>
      <c r="G27" s="31"/>
      <c r="H27" s="45"/>
    </row>
    <row r="28" spans="1:8" s="12" customFormat="1" ht="17.100000000000001" hidden="1" customHeight="1">
      <c r="A28" s="170"/>
      <c r="B28" s="45"/>
      <c r="C28" s="47" t="s">
        <v>177</v>
      </c>
      <c r="D28" s="31"/>
      <c r="E28" s="31"/>
      <c r="F28" s="31"/>
      <c r="G28" s="31"/>
      <c r="H28" s="45"/>
    </row>
    <row r="29" spans="1:8" s="12" customFormat="1" ht="17.100000000000001" hidden="1" customHeight="1">
      <c r="A29" s="170"/>
      <c r="B29" s="45"/>
      <c r="C29" s="46" t="s">
        <v>104</v>
      </c>
      <c r="D29" s="31" t="s">
        <v>178</v>
      </c>
      <c r="E29" s="31">
        <v>720</v>
      </c>
      <c r="F29" s="31">
        <f>'lead(new)'!P7/1000</f>
        <v>5.2</v>
      </c>
      <c r="G29" s="31">
        <f>E29*F29</f>
        <v>3744</v>
      </c>
      <c r="H29" s="45"/>
    </row>
    <row r="30" spans="1:8" s="12" customFormat="1" ht="17.100000000000001" hidden="1" customHeight="1">
      <c r="A30" s="170"/>
      <c r="B30" s="45"/>
      <c r="C30" s="46" t="s">
        <v>179</v>
      </c>
      <c r="D30" s="31" t="s">
        <v>112</v>
      </c>
      <c r="E30" s="31">
        <v>1.05</v>
      </c>
      <c r="F30" s="31" t="e">
        <f>'lead(new)'!P9</f>
        <v>#N/A</v>
      </c>
      <c r="G30" s="31" t="e">
        <f>E30*F30</f>
        <v>#N/A</v>
      </c>
      <c r="H30" s="45"/>
    </row>
    <row r="31" spans="1:8" s="12" customFormat="1" ht="17.100000000000001" hidden="1" customHeight="1">
      <c r="A31" s="170"/>
      <c r="B31" s="45"/>
      <c r="C31" s="46" t="s">
        <v>180</v>
      </c>
      <c r="D31" s="31" t="s">
        <v>112</v>
      </c>
      <c r="E31" s="31">
        <f>E30</f>
        <v>1.05</v>
      </c>
      <c r="F31" s="31"/>
      <c r="G31" s="31">
        <f>E31*F31</f>
        <v>0</v>
      </c>
      <c r="H31" s="45"/>
    </row>
    <row r="32" spans="1:8" s="12" customFormat="1" ht="17.100000000000001" hidden="1" customHeight="1">
      <c r="A32" s="170"/>
      <c r="B32" s="45"/>
      <c r="C32" s="47" t="s">
        <v>181</v>
      </c>
      <c r="D32" s="31"/>
      <c r="E32" s="31"/>
      <c r="F32" s="31"/>
      <c r="G32" s="31"/>
      <c r="H32" s="45"/>
    </row>
    <row r="33" spans="1:8" s="12" customFormat="1" ht="17.100000000000001" hidden="1" customHeight="1">
      <c r="A33" s="170"/>
      <c r="B33" s="45"/>
      <c r="C33" s="46" t="s">
        <v>182</v>
      </c>
      <c r="D33" s="31" t="s">
        <v>183</v>
      </c>
      <c r="E33" s="31"/>
      <c r="F33" s="31"/>
      <c r="G33" s="31"/>
      <c r="H33" s="45"/>
    </row>
    <row r="34" spans="1:8" s="12" customFormat="1" ht="17.100000000000001" hidden="1" customHeight="1">
      <c r="A34" s="170"/>
      <c r="B34" s="45"/>
      <c r="C34" s="47" t="s">
        <v>184</v>
      </c>
      <c r="D34" s="31"/>
      <c r="E34" s="31"/>
      <c r="F34" s="31"/>
      <c r="G34" s="31"/>
      <c r="H34" s="45"/>
    </row>
    <row r="35" spans="1:8" s="12" customFormat="1" ht="17.100000000000001" hidden="1" customHeight="1">
      <c r="A35" s="170"/>
      <c r="B35" s="45"/>
      <c r="C35" s="46" t="s">
        <v>185</v>
      </c>
      <c r="D35" s="31" t="s">
        <v>186</v>
      </c>
      <c r="E35" s="31">
        <v>0.2</v>
      </c>
      <c r="F35" s="31">
        <v>280</v>
      </c>
      <c r="G35" s="31">
        <f>E35*F35</f>
        <v>56</v>
      </c>
      <c r="H35" s="31"/>
    </row>
    <row r="36" spans="1:8" s="29" customFormat="1" ht="18" hidden="1" customHeight="1">
      <c r="A36" s="169"/>
      <c r="C36" s="32" t="s">
        <v>162</v>
      </c>
      <c r="G36" s="33"/>
    </row>
    <row r="37" spans="1:8" s="12" customFormat="1" ht="17.100000000000001" hidden="1" customHeight="1">
      <c r="A37" s="170"/>
      <c r="B37" s="45"/>
      <c r="C37" s="46" t="s">
        <v>187</v>
      </c>
      <c r="D37" s="31"/>
      <c r="E37" s="31"/>
      <c r="F37" s="31"/>
      <c r="G37" s="31" t="e">
        <f>SUM(G29:G36)</f>
        <v>#N/A</v>
      </c>
      <c r="H37" s="31"/>
    </row>
    <row r="38" spans="1:8" s="12" customFormat="1" ht="17.100000000000001" customHeight="1">
      <c r="A38" s="166" t="s">
        <v>188</v>
      </c>
      <c r="B38" s="14">
        <v>4</v>
      </c>
      <c r="C38" s="42" t="s">
        <v>189</v>
      </c>
      <c r="D38" s="45"/>
      <c r="E38" s="31"/>
      <c r="F38" s="31"/>
      <c r="G38" s="31"/>
      <c r="H38" s="45"/>
    </row>
    <row r="39" spans="1:8" s="12" customFormat="1" ht="17.100000000000001" customHeight="1">
      <c r="A39" s="170"/>
      <c r="B39" s="45"/>
      <c r="C39" s="46" t="s">
        <v>176</v>
      </c>
      <c r="D39" s="31"/>
      <c r="E39" s="31"/>
      <c r="F39" s="31"/>
      <c r="G39" s="31"/>
      <c r="H39" s="45"/>
    </row>
    <row r="40" spans="1:8" s="12" customFormat="1" ht="17.100000000000001" customHeight="1">
      <c r="A40" s="170"/>
      <c r="B40" s="45"/>
      <c r="C40" s="47" t="s">
        <v>177</v>
      </c>
      <c r="D40" s="31"/>
      <c r="E40" s="31"/>
      <c r="F40" s="31"/>
      <c r="G40" s="31"/>
      <c r="H40" s="45"/>
    </row>
    <row r="41" spans="1:8" s="12" customFormat="1" ht="17.100000000000001" customHeight="1">
      <c r="A41" s="170"/>
      <c r="B41" s="45"/>
      <c r="C41" s="46" t="s">
        <v>104</v>
      </c>
      <c r="D41" s="31" t="s">
        <v>178</v>
      </c>
      <c r="E41" s="31">
        <v>480</v>
      </c>
      <c r="F41" s="31">
        <f>F29</f>
        <v>5.2</v>
      </c>
      <c r="G41" s="31">
        <f>ROUND(E41*F41,2)</f>
        <v>2496</v>
      </c>
      <c r="H41" s="45"/>
    </row>
    <row r="42" spans="1:8" s="12" customFormat="1" ht="17.100000000000001" customHeight="1">
      <c r="A42" s="170"/>
      <c r="B42" s="45"/>
      <c r="C42" s="46" t="s">
        <v>179</v>
      </c>
      <c r="D42" s="31" t="s">
        <v>112</v>
      </c>
      <c r="E42" s="31">
        <v>1.05</v>
      </c>
      <c r="F42" s="31" t="e">
        <f>'lead(new)'!P9</f>
        <v>#N/A</v>
      </c>
      <c r="G42" s="31" t="e">
        <f>ROUND(E42*F42,2)</f>
        <v>#N/A</v>
      </c>
      <c r="H42" s="45"/>
    </row>
    <row r="43" spans="1:8" s="12" customFormat="1" ht="17.100000000000001" customHeight="1">
      <c r="A43" s="170"/>
      <c r="B43" s="45"/>
      <c r="C43" s="46" t="s">
        <v>180</v>
      </c>
      <c r="D43" s="31" t="s">
        <v>112</v>
      </c>
      <c r="E43" s="31">
        <v>1.05</v>
      </c>
      <c r="F43" s="31"/>
      <c r="G43" s="31">
        <f>E43*F43</f>
        <v>0</v>
      </c>
      <c r="H43" s="45"/>
    </row>
    <row r="44" spans="1:8" s="12" customFormat="1" ht="17.100000000000001" customHeight="1">
      <c r="A44" s="170"/>
      <c r="B44" s="45"/>
      <c r="C44" s="47" t="s">
        <v>181</v>
      </c>
      <c r="D44" s="31"/>
      <c r="E44" s="31"/>
      <c r="F44" s="31"/>
      <c r="G44" s="31"/>
      <c r="H44" s="45"/>
    </row>
    <row r="45" spans="1:8" s="12" customFormat="1" ht="17.100000000000001" customHeight="1">
      <c r="A45" s="170"/>
      <c r="B45" s="45"/>
      <c r="C45" s="46" t="s">
        <v>182</v>
      </c>
      <c r="D45" s="31" t="s">
        <v>183</v>
      </c>
      <c r="E45" s="31"/>
      <c r="F45" s="31"/>
      <c r="G45" s="31"/>
      <c r="H45" s="45"/>
    </row>
    <row r="46" spans="1:8" s="12" customFormat="1" ht="17.100000000000001" customHeight="1">
      <c r="A46" s="170"/>
      <c r="B46" s="45"/>
      <c r="C46" s="47" t="s">
        <v>184</v>
      </c>
      <c r="D46" s="31"/>
      <c r="E46" s="31"/>
      <c r="F46" s="31"/>
      <c r="G46" s="31"/>
      <c r="H46" s="45"/>
    </row>
    <row r="47" spans="1:8" s="12" customFormat="1" ht="17.100000000000001" customHeight="1">
      <c r="A47" s="170"/>
      <c r="B47" s="45"/>
      <c r="C47" s="46" t="s">
        <v>185</v>
      </c>
      <c r="D47" s="31" t="s">
        <v>186</v>
      </c>
      <c r="E47" s="31">
        <v>0.2</v>
      </c>
      <c r="F47" s="31">
        <v>280</v>
      </c>
      <c r="G47" s="31">
        <f>E47*F47</f>
        <v>56</v>
      </c>
      <c r="H47" s="31"/>
    </row>
    <row r="48" spans="1:8" s="29" customFormat="1" ht="18" customHeight="1">
      <c r="A48" s="169"/>
      <c r="C48" s="32" t="s">
        <v>162</v>
      </c>
      <c r="G48" s="33"/>
    </row>
    <row r="49" spans="1:8" s="12" customFormat="1" ht="17.100000000000001" customHeight="1">
      <c r="A49" s="170"/>
      <c r="B49" s="45"/>
      <c r="C49" s="46" t="s">
        <v>187</v>
      </c>
      <c r="D49" s="31"/>
      <c r="E49" s="31"/>
      <c r="F49" s="31"/>
      <c r="G49" s="43" t="e">
        <f>SUM(G41:G48)</f>
        <v>#N/A</v>
      </c>
      <c r="H49" s="31"/>
    </row>
    <row r="50" spans="1:8" s="12" customFormat="1" ht="17.100000000000001" customHeight="1">
      <c r="A50" s="166" t="s">
        <v>190</v>
      </c>
      <c r="B50" s="14">
        <v>5</v>
      </c>
      <c r="C50" s="47" t="s">
        <v>191</v>
      </c>
      <c r="D50" s="31"/>
      <c r="E50" s="31"/>
      <c r="F50" s="31"/>
      <c r="G50" s="31"/>
      <c r="H50" s="45"/>
    </row>
    <row r="51" spans="1:8" s="12" customFormat="1" ht="17.100000000000001" customHeight="1">
      <c r="A51" s="170"/>
      <c r="B51" s="45"/>
      <c r="C51" s="46" t="s">
        <v>176</v>
      </c>
      <c r="D51" s="31"/>
      <c r="E51" s="31"/>
      <c r="F51" s="31"/>
      <c r="G51" s="31"/>
      <c r="H51" s="45"/>
    </row>
    <row r="52" spans="1:8" s="12" customFormat="1" ht="17.100000000000001" customHeight="1">
      <c r="A52" s="170"/>
      <c r="B52" s="45"/>
      <c r="C52" s="47" t="s">
        <v>177</v>
      </c>
      <c r="D52" s="31"/>
      <c r="E52" s="31"/>
      <c r="F52" s="31"/>
      <c r="G52" s="31"/>
      <c r="H52" s="45"/>
    </row>
    <row r="53" spans="1:8" s="12" customFormat="1" ht="17.100000000000001" customHeight="1">
      <c r="A53" s="170"/>
      <c r="B53" s="45"/>
      <c r="C53" s="46" t="s">
        <v>104</v>
      </c>
      <c r="D53" s="31" t="s">
        <v>178</v>
      </c>
      <c r="E53" s="31">
        <v>360</v>
      </c>
      <c r="F53" s="31">
        <f>F41</f>
        <v>5.2</v>
      </c>
      <c r="G53" s="31">
        <f>E53*F53</f>
        <v>1872</v>
      </c>
      <c r="H53" s="45"/>
    </row>
    <row r="54" spans="1:8" s="12" customFormat="1" ht="17.100000000000001" customHeight="1">
      <c r="A54" s="170"/>
      <c r="B54" s="45"/>
      <c r="C54" s="46" t="s">
        <v>179</v>
      </c>
      <c r="D54" s="31" t="s">
        <v>112</v>
      </c>
      <c r="E54" s="31">
        <v>1.05</v>
      </c>
      <c r="F54" s="31" t="e">
        <f>F42</f>
        <v>#N/A</v>
      </c>
      <c r="G54" s="31" t="e">
        <f>E54*F54</f>
        <v>#N/A</v>
      </c>
      <c r="H54" s="45"/>
    </row>
    <row r="55" spans="1:8" s="12" customFormat="1" ht="17.100000000000001" customHeight="1">
      <c r="A55" s="170"/>
      <c r="B55" s="45"/>
      <c r="C55" s="46" t="s">
        <v>180</v>
      </c>
      <c r="D55" s="31" t="s">
        <v>112</v>
      </c>
      <c r="E55" s="31">
        <v>1.05</v>
      </c>
      <c r="F55" s="31"/>
      <c r="G55" s="31">
        <f>E55*F55</f>
        <v>0</v>
      </c>
      <c r="H55" s="45"/>
    </row>
    <row r="56" spans="1:8" s="12" customFormat="1" ht="17.100000000000001" customHeight="1">
      <c r="A56" s="170"/>
      <c r="B56" s="45"/>
      <c r="C56" s="47" t="s">
        <v>181</v>
      </c>
      <c r="D56" s="31"/>
      <c r="E56" s="31"/>
      <c r="F56" s="31"/>
      <c r="G56" s="31"/>
      <c r="H56" s="45"/>
    </row>
    <row r="57" spans="1:8" s="12" customFormat="1" ht="17.100000000000001" customHeight="1">
      <c r="A57" s="170"/>
      <c r="B57" s="45"/>
      <c r="C57" s="46" t="s">
        <v>182</v>
      </c>
      <c r="D57" s="31" t="s">
        <v>183</v>
      </c>
      <c r="E57" s="31" t="s">
        <v>183</v>
      </c>
      <c r="F57" s="31"/>
      <c r="G57" s="31"/>
      <c r="H57" s="45"/>
    </row>
    <row r="58" spans="1:8" s="12" customFormat="1" ht="17.100000000000001" customHeight="1">
      <c r="A58" s="170"/>
      <c r="B58" s="45"/>
      <c r="C58" s="47" t="s">
        <v>184</v>
      </c>
      <c r="D58" s="31"/>
      <c r="E58" s="31"/>
      <c r="F58" s="31"/>
      <c r="G58" s="31"/>
      <c r="H58" s="45"/>
    </row>
    <row r="59" spans="1:8" s="12" customFormat="1" ht="17.100000000000001" customHeight="1">
      <c r="A59" s="170"/>
      <c r="B59" s="45"/>
      <c r="C59" s="46" t="s">
        <v>185</v>
      </c>
      <c r="D59" s="31" t="s">
        <v>186</v>
      </c>
      <c r="E59" s="31">
        <v>0.2</v>
      </c>
      <c r="F59" s="31">
        <f>F47</f>
        <v>280</v>
      </c>
      <c r="G59" s="31">
        <f>E59*F59</f>
        <v>56</v>
      </c>
      <c r="H59" s="31"/>
    </row>
    <row r="60" spans="1:8" s="29" customFormat="1" ht="18" customHeight="1">
      <c r="A60" s="169"/>
      <c r="C60" s="32" t="s">
        <v>162</v>
      </c>
      <c r="G60" s="33"/>
    </row>
    <row r="61" spans="1:8" s="12" customFormat="1" ht="17.100000000000001" customHeight="1">
      <c r="A61" s="170"/>
      <c r="B61" s="45"/>
      <c r="C61" s="46" t="s">
        <v>187</v>
      </c>
      <c r="D61" s="31"/>
      <c r="E61" s="31"/>
      <c r="F61" s="31"/>
      <c r="G61" s="43" t="e">
        <f>SUM(G53:G60)</f>
        <v>#N/A</v>
      </c>
      <c r="H61" s="31"/>
    </row>
    <row r="62" spans="1:8" s="12" customFormat="1" ht="17.100000000000001" customHeight="1">
      <c r="A62" s="166" t="s">
        <v>192</v>
      </c>
      <c r="B62" s="14">
        <v>6</v>
      </c>
      <c r="C62" s="47" t="s">
        <v>193</v>
      </c>
      <c r="D62" s="31"/>
      <c r="E62" s="31"/>
      <c r="F62" s="31"/>
      <c r="G62" s="31"/>
      <c r="H62" s="45"/>
    </row>
    <row r="63" spans="1:8" s="12" customFormat="1" ht="17.100000000000001" customHeight="1">
      <c r="A63" s="170"/>
      <c r="B63" s="45"/>
      <c r="C63" s="46" t="s">
        <v>176</v>
      </c>
      <c r="D63" s="31"/>
      <c r="E63" s="31"/>
      <c r="F63" s="31"/>
      <c r="G63" s="31"/>
      <c r="H63" s="45"/>
    </row>
    <row r="64" spans="1:8" s="12" customFormat="1" ht="17.100000000000001" customHeight="1">
      <c r="A64" s="170"/>
      <c r="B64" s="45"/>
      <c r="C64" s="47" t="s">
        <v>177</v>
      </c>
      <c r="D64" s="31"/>
      <c r="E64" s="31"/>
      <c r="F64" s="31"/>
      <c r="G64" s="31"/>
      <c r="H64" s="45"/>
    </row>
    <row r="65" spans="1:8" s="12" customFormat="1" ht="17.100000000000001" customHeight="1">
      <c r="A65" s="170"/>
      <c r="B65" s="45"/>
      <c r="C65" s="46" t="s">
        <v>104</v>
      </c>
      <c r="D65" s="31" t="s">
        <v>178</v>
      </c>
      <c r="E65" s="31">
        <v>288</v>
      </c>
      <c r="F65" s="31">
        <f>F53</f>
        <v>5.2</v>
      </c>
      <c r="G65" s="31">
        <f>E65*F65</f>
        <v>1497.6000000000001</v>
      </c>
      <c r="H65" s="45"/>
    </row>
    <row r="66" spans="1:8" s="12" customFormat="1" ht="17.100000000000001" customHeight="1">
      <c r="A66" s="170"/>
      <c r="B66" s="45"/>
      <c r="C66" s="46" t="s">
        <v>179</v>
      </c>
      <c r="D66" s="31" t="s">
        <v>112</v>
      </c>
      <c r="E66" s="31">
        <v>1.05</v>
      </c>
      <c r="F66" s="31" t="e">
        <f>F54</f>
        <v>#N/A</v>
      </c>
      <c r="G66" s="31" t="e">
        <f>E66*F66</f>
        <v>#N/A</v>
      </c>
      <c r="H66" s="45"/>
    </row>
    <row r="67" spans="1:8" s="12" customFormat="1" ht="17.100000000000001" customHeight="1">
      <c r="A67" s="170"/>
      <c r="B67" s="45"/>
      <c r="C67" s="46" t="s">
        <v>180</v>
      </c>
      <c r="D67" s="31" t="s">
        <v>112</v>
      </c>
      <c r="E67" s="31">
        <v>1.05</v>
      </c>
      <c r="F67" s="31"/>
      <c r="G67" s="31">
        <f>F67*E67</f>
        <v>0</v>
      </c>
      <c r="H67" s="45"/>
    </row>
    <row r="68" spans="1:8" s="12" customFormat="1" ht="17.100000000000001" customHeight="1">
      <c r="A68" s="170"/>
      <c r="B68" s="45"/>
      <c r="C68" s="47" t="s">
        <v>181</v>
      </c>
      <c r="D68" s="31"/>
      <c r="E68" s="31"/>
      <c r="F68" s="31"/>
      <c r="G68" s="31"/>
      <c r="H68" s="45"/>
    </row>
    <row r="69" spans="1:8" s="12" customFormat="1" ht="17.100000000000001" customHeight="1">
      <c r="A69" s="170"/>
      <c r="B69" s="45"/>
      <c r="C69" s="46" t="s">
        <v>182</v>
      </c>
      <c r="D69" s="31" t="s">
        <v>183</v>
      </c>
      <c r="E69" s="31"/>
      <c r="F69" s="31"/>
      <c r="G69" s="31"/>
      <c r="H69" s="45"/>
    </row>
    <row r="70" spans="1:8" s="12" customFormat="1" ht="17.100000000000001" customHeight="1">
      <c r="A70" s="170"/>
      <c r="B70" s="45"/>
      <c r="C70" s="47" t="s">
        <v>184</v>
      </c>
      <c r="D70" s="31"/>
      <c r="E70" s="31"/>
      <c r="F70" s="31"/>
      <c r="G70" s="31"/>
      <c r="H70" s="45"/>
    </row>
    <row r="71" spans="1:8" s="12" customFormat="1" ht="17.100000000000001" customHeight="1">
      <c r="A71" s="170"/>
      <c r="B71" s="45"/>
      <c r="C71" s="46" t="s">
        <v>185</v>
      </c>
      <c r="D71" s="31" t="s">
        <v>186</v>
      </c>
      <c r="E71" s="31">
        <v>0.2</v>
      </c>
      <c r="F71" s="31">
        <f>F59</f>
        <v>280</v>
      </c>
      <c r="G71" s="31">
        <f>E71*F71</f>
        <v>56</v>
      </c>
      <c r="H71" s="31"/>
    </row>
    <row r="72" spans="1:8" s="12" customFormat="1" ht="17.100000000000001" customHeight="1">
      <c r="A72" s="170"/>
      <c r="B72" s="45"/>
      <c r="C72" s="32" t="s">
        <v>162</v>
      </c>
      <c r="D72" s="29"/>
      <c r="E72" s="29"/>
      <c r="F72" s="29"/>
      <c r="G72" s="33"/>
      <c r="H72" s="29"/>
    </row>
    <row r="73" spans="1:8" s="12" customFormat="1" ht="17.100000000000001" customHeight="1">
      <c r="A73" s="170"/>
      <c r="B73" s="45"/>
      <c r="C73" s="46" t="s">
        <v>187</v>
      </c>
      <c r="D73" s="31"/>
      <c r="E73" s="31"/>
      <c r="F73" s="31"/>
      <c r="G73" s="31" t="e">
        <f>SUM(G65:G72)</f>
        <v>#N/A</v>
      </c>
      <c r="H73" s="31"/>
    </row>
    <row r="74" spans="1:8" s="12" customFormat="1" ht="17.100000000000001" customHeight="1">
      <c r="A74" s="166" t="s">
        <v>194</v>
      </c>
      <c r="B74" s="14">
        <v>7</v>
      </c>
      <c r="C74" s="47" t="s">
        <v>195</v>
      </c>
      <c r="D74" s="31"/>
      <c r="E74" s="31"/>
      <c r="F74" s="31"/>
      <c r="G74" s="31"/>
      <c r="H74" s="45"/>
    </row>
    <row r="75" spans="1:8" s="12" customFormat="1" ht="17.100000000000001" customHeight="1">
      <c r="A75" s="170"/>
      <c r="B75" s="45"/>
      <c r="C75" s="46" t="s">
        <v>176</v>
      </c>
      <c r="D75" s="31"/>
      <c r="E75" s="31"/>
      <c r="F75" s="31"/>
      <c r="G75" s="31"/>
      <c r="H75" s="45"/>
    </row>
    <row r="76" spans="1:8" s="12" customFormat="1" ht="17.100000000000001" customHeight="1">
      <c r="A76" s="170"/>
      <c r="B76" s="45"/>
      <c r="C76" s="47" t="s">
        <v>177</v>
      </c>
      <c r="D76" s="31"/>
      <c r="E76" s="31"/>
      <c r="F76" s="31"/>
      <c r="G76" s="31"/>
      <c r="H76" s="45"/>
    </row>
    <row r="77" spans="1:8" s="12" customFormat="1" ht="17.100000000000001" customHeight="1">
      <c r="A77" s="170"/>
      <c r="B77" s="45"/>
      <c r="C77" s="46" t="s">
        <v>104</v>
      </c>
      <c r="D77" s="31" t="s">
        <v>178</v>
      </c>
      <c r="E77" s="31">
        <v>240</v>
      </c>
      <c r="F77" s="31">
        <f>F65</f>
        <v>5.2</v>
      </c>
      <c r="G77" s="31">
        <f>E77*F77</f>
        <v>1248</v>
      </c>
      <c r="H77" s="45"/>
    </row>
    <row r="78" spans="1:8" s="12" customFormat="1" ht="17.100000000000001" customHeight="1">
      <c r="A78" s="170"/>
      <c r="B78" s="45"/>
      <c r="C78" s="46" t="s">
        <v>179</v>
      </c>
      <c r="D78" s="31" t="s">
        <v>112</v>
      </c>
      <c r="E78" s="31">
        <v>1.05</v>
      </c>
      <c r="F78" s="31" t="e">
        <f>F66</f>
        <v>#N/A</v>
      </c>
      <c r="G78" s="31" t="e">
        <f>E78*F78</f>
        <v>#N/A</v>
      </c>
      <c r="H78" s="45"/>
    </row>
    <row r="79" spans="1:8" s="12" customFormat="1" ht="17.100000000000001" customHeight="1">
      <c r="A79" s="170"/>
      <c r="B79" s="45"/>
      <c r="C79" s="46" t="s">
        <v>180</v>
      </c>
      <c r="D79" s="31" t="s">
        <v>112</v>
      </c>
      <c r="E79" s="31">
        <v>1.05</v>
      </c>
      <c r="F79" s="31"/>
      <c r="G79" s="31">
        <f>E79*F79</f>
        <v>0</v>
      </c>
      <c r="H79" s="45"/>
    </row>
    <row r="80" spans="1:8" s="12" customFormat="1" ht="17.100000000000001" customHeight="1">
      <c r="A80" s="170"/>
      <c r="B80" s="45"/>
      <c r="C80" s="47" t="s">
        <v>181</v>
      </c>
      <c r="D80" s="31"/>
      <c r="E80" s="31"/>
      <c r="F80" s="31"/>
      <c r="G80" s="31"/>
      <c r="H80" s="45"/>
    </row>
    <row r="81" spans="1:8" s="12" customFormat="1" ht="17.100000000000001" customHeight="1">
      <c r="A81" s="170"/>
      <c r="B81" s="45"/>
      <c r="C81" s="46" t="s">
        <v>182</v>
      </c>
      <c r="D81" s="31" t="s">
        <v>183</v>
      </c>
      <c r="E81" s="31"/>
      <c r="F81" s="31"/>
      <c r="G81" s="31"/>
      <c r="H81" s="45"/>
    </row>
    <row r="82" spans="1:8" s="12" customFormat="1" ht="17.100000000000001" customHeight="1">
      <c r="A82" s="170"/>
      <c r="B82" s="45"/>
      <c r="C82" s="47" t="s">
        <v>184</v>
      </c>
      <c r="D82" s="31"/>
      <c r="E82" s="31"/>
      <c r="F82" s="31"/>
      <c r="G82" s="31"/>
      <c r="H82" s="45"/>
    </row>
    <row r="83" spans="1:8" s="12" customFormat="1" ht="17.100000000000001" customHeight="1">
      <c r="A83" s="170"/>
      <c r="B83" s="45"/>
      <c r="C83" s="46" t="s">
        <v>185</v>
      </c>
      <c r="D83" s="31" t="s">
        <v>186</v>
      </c>
      <c r="E83" s="31">
        <v>0.2</v>
      </c>
      <c r="F83" s="31">
        <f>F71</f>
        <v>280</v>
      </c>
      <c r="G83" s="31">
        <f>E83*F83</f>
        <v>56</v>
      </c>
      <c r="H83" s="31"/>
    </row>
    <row r="84" spans="1:8" s="12" customFormat="1" ht="17.100000000000001" customHeight="1">
      <c r="A84" s="170"/>
      <c r="B84" s="45"/>
      <c r="C84" s="32" t="s">
        <v>162</v>
      </c>
      <c r="D84" s="29"/>
      <c r="E84" s="29"/>
      <c r="F84" s="29"/>
      <c r="G84" s="33"/>
      <c r="H84" s="29"/>
    </row>
    <row r="85" spans="1:8" s="12" customFormat="1" ht="17.100000000000001" customHeight="1">
      <c r="A85" s="170"/>
      <c r="B85" s="45"/>
      <c r="C85" s="46" t="s">
        <v>187</v>
      </c>
      <c r="D85" s="31"/>
      <c r="E85" s="31"/>
      <c r="F85" s="31"/>
      <c r="G85" s="43" t="e">
        <f>SUM(G77:G84)</f>
        <v>#N/A</v>
      </c>
      <c r="H85" s="31"/>
    </row>
    <row r="86" spans="1:8" s="12" customFormat="1" ht="17.100000000000001" customHeight="1">
      <c r="A86" s="166" t="s">
        <v>196</v>
      </c>
      <c r="B86" s="14">
        <v>8</v>
      </c>
      <c r="C86" s="47" t="s">
        <v>197</v>
      </c>
      <c r="D86" s="31"/>
      <c r="E86" s="31"/>
      <c r="F86" s="31"/>
      <c r="G86" s="31"/>
      <c r="H86" s="45"/>
    </row>
    <row r="87" spans="1:8" s="12" customFormat="1" ht="17.100000000000001" customHeight="1">
      <c r="A87" s="170"/>
      <c r="B87" s="45"/>
      <c r="C87" s="46" t="s">
        <v>176</v>
      </c>
      <c r="D87" s="31"/>
      <c r="E87" s="31"/>
      <c r="F87" s="31"/>
      <c r="G87" s="31"/>
      <c r="H87" s="45"/>
    </row>
    <row r="88" spans="1:8" s="12" customFormat="1" ht="17.100000000000001" customHeight="1">
      <c r="A88" s="170"/>
      <c r="B88" s="45"/>
      <c r="C88" s="47" t="s">
        <v>177</v>
      </c>
      <c r="D88" s="31"/>
      <c r="E88" s="31"/>
      <c r="F88" s="31"/>
      <c r="G88" s="31"/>
      <c r="H88" s="45"/>
    </row>
    <row r="89" spans="1:8" s="12" customFormat="1" ht="17.100000000000001" customHeight="1">
      <c r="A89" s="170"/>
      <c r="B89" s="45"/>
      <c r="C89" s="46" t="s">
        <v>104</v>
      </c>
      <c r="D89" s="31" t="s">
        <v>178</v>
      </c>
      <c r="E89" s="31">
        <v>180</v>
      </c>
      <c r="F89" s="31">
        <f>F77</f>
        <v>5.2</v>
      </c>
      <c r="G89" s="31">
        <f>E89*F89</f>
        <v>936</v>
      </c>
      <c r="H89" s="45"/>
    </row>
    <row r="90" spans="1:8" s="12" customFormat="1" ht="17.100000000000001" customHeight="1">
      <c r="A90" s="170"/>
      <c r="B90" s="45"/>
      <c r="C90" s="46" t="s">
        <v>179</v>
      </c>
      <c r="D90" s="31" t="s">
        <v>112</v>
      </c>
      <c r="E90" s="31">
        <v>1.05</v>
      </c>
      <c r="F90" s="31" t="e">
        <f>F78</f>
        <v>#N/A</v>
      </c>
      <c r="G90" s="31" t="e">
        <f>E90*F90</f>
        <v>#N/A</v>
      </c>
      <c r="H90" s="45"/>
    </row>
    <row r="91" spans="1:8" s="12" customFormat="1" ht="17.100000000000001" customHeight="1">
      <c r="A91" s="170"/>
      <c r="B91" s="45"/>
      <c r="C91" s="46" t="s">
        <v>180</v>
      </c>
      <c r="D91" s="31" t="s">
        <v>112</v>
      </c>
      <c r="E91" s="31">
        <v>1.05</v>
      </c>
      <c r="F91" s="31"/>
      <c r="G91" s="31">
        <f>F91*E91</f>
        <v>0</v>
      </c>
      <c r="H91" s="45"/>
    </row>
    <row r="92" spans="1:8" s="12" customFormat="1" ht="17.100000000000001" customHeight="1">
      <c r="A92" s="170"/>
      <c r="B92" s="45"/>
      <c r="C92" s="47" t="s">
        <v>181</v>
      </c>
      <c r="D92" s="31"/>
      <c r="E92" s="31"/>
      <c r="F92" s="31"/>
      <c r="G92" s="31"/>
      <c r="H92" s="45"/>
    </row>
    <row r="93" spans="1:8" s="12" customFormat="1" ht="17.100000000000001" customHeight="1">
      <c r="A93" s="170"/>
      <c r="B93" s="45"/>
      <c r="C93" s="46" t="s">
        <v>182</v>
      </c>
      <c r="D93" s="31" t="s">
        <v>183</v>
      </c>
      <c r="E93" s="31"/>
      <c r="F93" s="31"/>
      <c r="G93" s="31"/>
      <c r="H93" s="45"/>
    </row>
    <row r="94" spans="1:8" s="12" customFormat="1" ht="17.100000000000001" customHeight="1">
      <c r="A94" s="170"/>
      <c r="B94" s="45"/>
      <c r="C94" s="47" t="s">
        <v>184</v>
      </c>
      <c r="D94" s="31"/>
      <c r="E94" s="31"/>
      <c r="F94" s="31"/>
      <c r="G94" s="31"/>
      <c r="H94" s="45"/>
    </row>
    <row r="95" spans="1:8" s="12" customFormat="1" ht="17.100000000000001" customHeight="1">
      <c r="A95" s="170"/>
      <c r="B95" s="45"/>
      <c r="C95" s="46" t="s">
        <v>185</v>
      </c>
      <c r="D95" s="31" t="s">
        <v>186</v>
      </c>
      <c r="E95" s="31">
        <v>0.2</v>
      </c>
      <c r="F95" s="31">
        <f>F83</f>
        <v>280</v>
      </c>
      <c r="G95" s="31">
        <f>E95*F95</f>
        <v>56</v>
      </c>
      <c r="H95" s="31"/>
    </row>
    <row r="96" spans="1:8" s="12" customFormat="1" ht="17.100000000000001" customHeight="1">
      <c r="A96" s="170"/>
      <c r="B96" s="45"/>
      <c r="C96" s="32" t="s">
        <v>162</v>
      </c>
      <c r="D96" s="29"/>
      <c r="E96" s="29"/>
      <c r="F96" s="29"/>
      <c r="G96" s="33"/>
      <c r="H96" s="29"/>
    </row>
    <row r="97" spans="1:8" s="12" customFormat="1" ht="17.100000000000001" customHeight="1">
      <c r="A97" s="170"/>
      <c r="B97" s="45"/>
      <c r="C97" s="46" t="s">
        <v>187</v>
      </c>
      <c r="D97" s="31"/>
      <c r="E97" s="31"/>
      <c r="F97" s="31"/>
      <c r="G97" s="31" t="e">
        <f>SUM(G89:G96)</f>
        <v>#N/A</v>
      </c>
      <c r="H97" s="31"/>
    </row>
    <row r="98" spans="1:8" s="12" customFormat="1" ht="20.100000000000001" hidden="1" customHeight="1">
      <c r="A98" s="166" t="s">
        <v>198</v>
      </c>
      <c r="B98" s="14"/>
      <c r="C98" s="1369" t="s">
        <v>199</v>
      </c>
      <c r="D98" s="1369"/>
      <c r="E98" s="1369"/>
      <c r="F98" s="1369"/>
      <c r="G98" s="1369"/>
      <c r="H98" s="45"/>
    </row>
    <row r="99" spans="1:8" s="12" customFormat="1" ht="14.25" hidden="1" customHeight="1">
      <c r="A99" s="170" t="s">
        <v>200</v>
      </c>
      <c r="B99" s="45">
        <v>9</v>
      </c>
      <c r="C99" s="48" t="s">
        <v>201</v>
      </c>
      <c r="D99" s="31"/>
      <c r="E99" s="31"/>
      <c r="F99" s="31"/>
      <c r="G99" s="31"/>
      <c r="H99" s="45"/>
    </row>
    <row r="100" spans="1:8" s="12" customFormat="1" ht="12" hidden="1" customHeight="1">
      <c r="A100" s="170"/>
      <c r="B100" s="45"/>
      <c r="C100" s="48" t="s">
        <v>205</v>
      </c>
      <c r="D100" s="31"/>
      <c r="E100" s="31"/>
      <c r="F100" s="31"/>
      <c r="G100" s="31"/>
      <c r="H100" s="45"/>
    </row>
    <row r="101" spans="1:8" s="12" customFormat="1" ht="12" hidden="1" customHeight="1">
      <c r="A101" s="170"/>
      <c r="B101" s="45"/>
      <c r="C101" s="48" t="s">
        <v>176</v>
      </c>
      <c r="D101" s="31"/>
      <c r="E101" s="31"/>
      <c r="F101" s="31"/>
      <c r="G101" s="31"/>
      <c r="H101" s="45"/>
    </row>
    <row r="102" spans="1:8" s="12" customFormat="1" hidden="1">
      <c r="A102" s="170"/>
      <c r="B102" s="45"/>
      <c r="C102" s="48" t="s">
        <v>177</v>
      </c>
      <c r="D102" s="31"/>
      <c r="E102" s="31"/>
      <c r="F102" s="31"/>
      <c r="G102" s="31"/>
      <c r="H102" s="45"/>
    </row>
    <row r="103" spans="1:8" s="12" customFormat="1" ht="11.25" hidden="1" customHeight="1">
      <c r="A103" s="170"/>
      <c r="B103" s="45"/>
      <c r="C103" s="48" t="s">
        <v>104</v>
      </c>
      <c r="D103" s="31" t="s">
        <v>206</v>
      </c>
      <c r="E103" s="31">
        <v>400</v>
      </c>
      <c r="F103" s="31"/>
      <c r="G103" s="31"/>
      <c r="H103" s="45"/>
    </row>
    <row r="104" spans="1:8" s="12" customFormat="1" ht="11.25" hidden="1" customHeight="1">
      <c r="A104" s="170"/>
      <c r="B104" s="45"/>
      <c r="C104" s="48" t="s">
        <v>207</v>
      </c>
      <c r="D104" s="31" t="s">
        <v>112</v>
      </c>
      <c r="E104" s="31">
        <v>0.9</v>
      </c>
      <c r="F104" s="49"/>
      <c r="G104" s="31"/>
      <c r="H104" s="45"/>
    </row>
    <row r="105" spans="1:8" s="12" customFormat="1" hidden="1">
      <c r="A105" s="170"/>
      <c r="B105" s="45"/>
      <c r="C105" s="48" t="s">
        <v>208</v>
      </c>
      <c r="D105" s="31" t="s">
        <v>112</v>
      </c>
      <c r="E105" s="31">
        <v>0.45</v>
      </c>
      <c r="F105" s="31"/>
      <c r="G105" s="31"/>
      <c r="H105" s="45"/>
    </row>
    <row r="106" spans="1:8" s="12" customFormat="1" hidden="1">
      <c r="A106" s="170"/>
      <c r="B106" s="45"/>
      <c r="C106" s="48" t="s">
        <v>209</v>
      </c>
      <c r="D106" s="31" t="s">
        <v>112</v>
      </c>
      <c r="E106" s="31">
        <v>0.9</v>
      </c>
      <c r="F106" s="31"/>
      <c r="G106" s="31"/>
      <c r="H106" s="45"/>
    </row>
    <row r="107" spans="1:8" s="12" customFormat="1" hidden="1">
      <c r="A107" s="170"/>
      <c r="B107" s="45"/>
      <c r="C107" s="46" t="s">
        <v>210</v>
      </c>
      <c r="D107" s="31" t="s">
        <v>112</v>
      </c>
      <c r="E107" s="31">
        <v>0.45</v>
      </c>
      <c r="F107" s="31"/>
      <c r="G107" s="31"/>
      <c r="H107" s="45"/>
    </row>
    <row r="108" spans="1:8" s="12" customFormat="1" hidden="1">
      <c r="A108" s="170"/>
      <c r="B108" s="45"/>
      <c r="C108" s="46" t="s">
        <v>211</v>
      </c>
      <c r="D108" s="31"/>
      <c r="E108" s="31"/>
      <c r="F108" s="31"/>
      <c r="G108" s="31"/>
      <c r="H108" s="45"/>
    </row>
    <row r="109" spans="1:8" s="12" customFormat="1" ht="14.25" hidden="1">
      <c r="A109" s="170"/>
      <c r="B109" s="45"/>
      <c r="C109" s="46" t="s">
        <v>212</v>
      </c>
      <c r="D109" s="31" t="s">
        <v>186</v>
      </c>
      <c r="E109" s="31">
        <v>0.1</v>
      </c>
      <c r="F109" s="31"/>
      <c r="G109" s="31"/>
      <c r="H109" s="45"/>
    </row>
    <row r="110" spans="1:8" s="12" customFormat="1" hidden="1">
      <c r="A110" s="170"/>
      <c r="B110" s="45"/>
      <c r="C110" s="46" t="s">
        <v>213</v>
      </c>
      <c r="D110" s="31" t="s">
        <v>186</v>
      </c>
      <c r="E110" s="31">
        <v>2.36</v>
      </c>
      <c r="F110" s="31"/>
      <c r="G110" s="31"/>
      <c r="H110" s="45"/>
    </row>
    <row r="111" spans="1:8" s="12" customFormat="1" ht="12" hidden="1" customHeight="1">
      <c r="A111" s="170"/>
      <c r="B111" s="45"/>
      <c r="C111" s="48" t="s">
        <v>214</v>
      </c>
      <c r="D111" s="49" t="s">
        <v>215</v>
      </c>
      <c r="E111" s="31">
        <v>1.2</v>
      </c>
      <c r="F111" s="31"/>
      <c r="G111" s="31"/>
      <c r="H111" s="31"/>
    </row>
    <row r="112" spans="1:8" s="12" customFormat="1" ht="12" hidden="1" customHeight="1">
      <c r="A112" s="170"/>
      <c r="B112" s="45"/>
      <c r="C112" s="46" t="s">
        <v>187</v>
      </c>
      <c r="D112" s="31"/>
      <c r="E112" s="31"/>
      <c r="F112" s="31"/>
      <c r="G112" s="31"/>
      <c r="H112" s="45"/>
    </row>
    <row r="113" spans="1:8" s="12" customFormat="1" ht="48.75" hidden="1" customHeight="1">
      <c r="A113" s="170"/>
      <c r="B113" s="45"/>
      <c r="C113" s="1373" t="s">
        <v>216</v>
      </c>
      <c r="D113" s="1373"/>
      <c r="E113" s="31"/>
      <c r="F113" s="31"/>
      <c r="G113" s="31"/>
      <c r="H113" s="45"/>
    </row>
    <row r="114" spans="1:8" s="12" customFormat="1" ht="24.75" hidden="1" customHeight="1">
      <c r="A114" s="170" t="s">
        <v>217</v>
      </c>
      <c r="B114" s="45">
        <v>10</v>
      </c>
      <c r="C114" s="46" t="s">
        <v>218</v>
      </c>
      <c r="D114" s="31"/>
      <c r="E114" s="31"/>
      <c r="F114" s="31"/>
      <c r="G114" s="31"/>
      <c r="H114" s="45"/>
    </row>
    <row r="115" spans="1:8" s="12" customFormat="1" ht="12.75" hidden="1" customHeight="1">
      <c r="A115" s="170"/>
      <c r="B115" s="45"/>
      <c r="C115" s="46" t="s">
        <v>219</v>
      </c>
      <c r="D115" s="31"/>
      <c r="E115" s="31"/>
      <c r="F115" s="31"/>
      <c r="G115" s="31"/>
      <c r="H115" s="45"/>
    </row>
    <row r="116" spans="1:8" s="12" customFormat="1" ht="12" hidden="1" customHeight="1">
      <c r="A116" s="170"/>
      <c r="B116" s="45"/>
      <c r="C116" s="46" t="s">
        <v>176</v>
      </c>
      <c r="D116" s="31"/>
      <c r="E116" s="31"/>
      <c r="F116" s="31"/>
      <c r="G116" s="31"/>
      <c r="H116" s="45"/>
    </row>
    <row r="117" spans="1:8" s="12" customFormat="1" ht="12.75" hidden="1" customHeight="1">
      <c r="A117" s="170"/>
      <c r="B117" s="45"/>
      <c r="C117" s="46" t="s">
        <v>177</v>
      </c>
      <c r="D117" s="31"/>
      <c r="E117" s="31"/>
      <c r="F117" s="31"/>
      <c r="G117" s="31"/>
      <c r="H117" s="45"/>
    </row>
    <row r="118" spans="1:8" s="12" customFormat="1" hidden="1">
      <c r="A118" s="170"/>
      <c r="B118" s="45"/>
      <c r="C118" s="46" t="s">
        <v>104</v>
      </c>
      <c r="D118" s="31" t="s">
        <v>206</v>
      </c>
      <c r="E118" s="31">
        <v>220</v>
      </c>
      <c r="F118" s="31"/>
      <c r="G118" s="31"/>
      <c r="H118" s="45"/>
    </row>
    <row r="119" spans="1:8" s="12" customFormat="1" ht="11.25" hidden="1" customHeight="1">
      <c r="A119" s="170"/>
      <c r="B119" s="45"/>
      <c r="C119" s="46" t="s">
        <v>220</v>
      </c>
      <c r="D119" s="31" t="s">
        <v>112</v>
      </c>
      <c r="E119" s="31">
        <v>0.9</v>
      </c>
      <c r="F119" s="31"/>
      <c r="G119" s="31"/>
      <c r="H119" s="45"/>
    </row>
    <row r="120" spans="1:8" s="12" customFormat="1" ht="12" hidden="1" customHeight="1">
      <c r="A120" s="170"/>
      <c r="B120" s="45"/>
      <c r="C120" s="46" t="s">
        <v>208</v>
      </c>
      <c r="D120" s="31" t="s">
        <v>112</v>
      </c>
      <c r="E120" s="31">
        <v>0.45</v>
      </c>
      <c r="F120" s="31"/>
      <c r="G120" s="31"/>
      <c r="H120" s="45"/>
    </row>
    <row r="121" spans="1:8" s="12" customFormat="1" hidden="1">
      <c r="A121" s="170"/>
      <c r="B121" s="45"/>
      <c r="C121" s="46" t="s">
        <v>209</v>
      </c>
      <c r="D121" s="31" t="s">
        <v>112</v>
      </c>
      <c r="E121" s="31">
        <v>0.9</v>
      </c>
      <c r="F121" s="31"/>
      <c r="G121" s="31"/>
      <c r="H121" s="45"/>
    </row>
    <row r="122" spans="1:8" s="12" customFormat="1" ht="12" hidden="1" customHeight="1">
      <c r="A122" s="170"/>
      <c r="B122" s="45"/>
      <c r="C122" s="46" t="s">
        <v>210</v>
      </c>
      <c r="D122" s="31" t="s">
        <v>112</v>
      </c>
      <c r="E122" s="31">
        <v>0.45</v>
      </c>
      <c r="F122" s="31"/>
      <c r="G122" s="31"/>
      <c r="H122" s="45"/>
    </row>
    <row r="123" spans="1:8" s="12" customFormat="1" ht="12.75" hidden="1" customHeight="1">
      <c r="A123" s="170"/>
      <c r="B123" s="45"/>
      <c r="C123" s="48" t="s">
        <v>214</v>
      </c>
      <c r="D123" s="49" t="s">
        <v>215</v>
      </c>
      <c r="E123" s="31">
        <v>1.2</v>
      </c>
      <c r="F123" s="31"/>
      <c r="G123" s="31"/>
      <c r="H123" s="45"/>
    </row>
    <row r="124" spans="1:8" s="12" customFormat="1" hidden="1">
      <c r="A124" s="170"/>
      <c r="B124" s="45"/>
      <c r="C124" s="46" t="s">
        <v>181</v>
      </c>
      <c r="D124" s="31"/>
      <c r="E124" s="31"/>
      <c r="F124" s="31"/>
      <c r="G124" s="31"/>
      <c r="H124" s="45"/>
    </row>
    <row r="125" spans="1:8" s="12" customFormat="1" ht="14.25" hidden="1" customHeight="1">
      <c r="A125" s="170"/>
      <c r="B125" s="45"/>
      <c r="C125" s="46" t="s">
        <v>221</v>
      </c>
      <c r="D125" s="31" t="s">
        <v>222</v>
      </c>
      <c r="E125" s="31">
        <v>1</v>
      </c>
      <c r="F125" s="31"/>
      <c r="G125" s="31"/>
      <c r="H125" s="45"/>
    </row>
    <row r="126" spans="1:8" s="12" customFormat="1" hidden="1">
      <c r="A126" s="170"/>
      <c r="B126" s="45"/>
      <c r="C126" s="46" t="s">
        <v>184</v>
      </c>
      <c r="D126" s="31"/>
      <c r="E126" s="31"/>
      <c r="F126" s="31"/>
      <c r="G126" s="31"/>
      <c r="H126" s="45"/>
    </row>
    <row r="127" spans="1:8" s="12" customFormat="1" ht="14.25" hidden="1">
      <c r="A127" s="170"/>
      <c r="B127" s="45"/>
      <c r="C127" s="46" t="s">
        <v>212</v>
      </c>
      <c r="D127" s="31" t="s">
        <v>186</v>
      </c>
      <c r="E127" s="31">
        <v>0.1</v>
      </c>
      <c r="F127" s="31"/>
      <c r="G127" s="31"/>
      <c r="H127" s="45"/>
    </row>
    <row r="128" spans="1:8" s="12" customFormat="1" hidden="1">
      <c r="A128" s="170"/>
      <c r="B128" s="45"/>
      <c r="C128" s="46" t="s">
        <v>213</v>
      </c>
      <c r="D128" s="31" t="s">
        <v>186</v>
      </c>
      <c r="E128" s="31">
        <v>1.39</v>
      </c>
      <c r="F128" s="31"/>
      <c r="G128" s="31"/>
      <c r="H128" s="45"/>
    </row>
    <row r="129" spans="1:8" s="12" customFormat="1" ht="14.25" hidden="1" customHeight="1">
      <c r="A129" s="170"/>
      <c r="B129" s="45"/>
      <c r="C129" s="46" t="s">
        <v>187</v>
      </c>
      <c r="D129" s="31"/>
      <c r="E129" s="31"/>
      <c r="F129" s="31"/>
      <c r="G129" s="31"/>
      <c r="H129" s="45"/>
    </row>
    <row r="130" spans="1:8" s="12" customFormat="1" ht="27" hidden="1" customHeight="1">
      <c r="A130" s="170" t="s">
        <v>223</v>
      </c>
      <c r="B130" s="45">
        <v>11</v>
      </c>
      <c r="C130" s="48" t="s">
        <v>224</v>
      </c>
      <c r="D130" s="31"/>
      <c r="E130" s="31"/>
      <c r="F130" s="31"/>
      <c r="G130" s="31"/>
      <c r="H130" s="45"/>
    </row>
    <row r="131" spans="1:8" s="12" customFormat="1" hidden="1">
      <c r="A131" s="170"/>
      <c r="B131" s="45"/>
      <c r="C131" s="48" t="s">
        <v>225</v>
      </c>
      <c r="D131" s="31"/>
      <c r="E131" s="31"/>
      <c r="F131" s="31"/>
      <c r="G131" s="31"/>
      <c r="H131" s="45"/>
    </row>
    <row r="132" spans="1:8" s="12" customFormat="1" hidden="1">
      <c r="A132" s="170"/>
      <c r="B132" s="45"/>
      <c r="C132" s="48" t="s">
        <v>226</v>
      </c>
      <c r="D132" s="31"/>
      <c r="E132" s="31"/>
      <c r="F132" s="31"/>
      <c r="G132" s="31"/>
      <c r="H132" s="45"/>
    </row>
    <row r="133" spans="1:8" s="12" customFormat="1" hidden="1">
      <c r="A133" s="170"/>
      <c r="B133" s="45"/>
      <c r="C133" s="48" t="s">
        <v>104</v>
      </c>
      <c r="D133" s="31" t="s">
        <v>116</v>
      </c>
      <c r="E133" s="31">
        <v>275</v>
      </c>
      <c r="F133" s="31"/>
      <c r="G133" s="31"/>
      <c r="H133" s="45"/>
    </row>
    <row r="134" spans="1:8" s="12" customFormat="1" hidden="1">
      <c r="A134" s="170"/>
      <c r="B134" s="45"/>
      <c r="C134" s="48" t="s">
        <v>227</v>
      </c>
      <c r="D134" s="31" t="s">
        <v>112</v>
      </c>
      <c r="E134" s="31">
        <v>0.48</v>
      </c>
      <c r="F134" s="31"/>
      <c r="G134" s="31"/>
      <c r="H134" s="45"/>
    </row>
    <row r="135" spans="1:8" s="12" customFormat="1" hidden="1">
      <c r="A135" s="170"/>
      <c r="B135" s="45"/>
      <c r="C135" s="48" t="s">
        <v>228</v>
      </c>
      <c r="D135" s="31" t="s">
        <v>112</v>
      </c>
      <c r="E135" s="31">
        <v>0.54</v>
      </c>
      <c r="F135" s="49"/>
      <c r="G135" s="31"/>
      <c r="H135" s="45"/>
    </row>
    <row r="136" spans="1:8" s="12" customFormat="1" hidden="1">
      <c r="A136" s="170"/>
      <c r="B136" s="45"/>
      <c r="C136" s="48" t="s">
        <v>229</v>
      </c>
      <c r="D136" s="31" t="s">
        <v>112</v>
      </c>
      <c r="E136" s="31">
        <v>0.27</v>
      </c>
      <c r="F136" s="49"/>
      <c r="G136" s="31"/>
      <c r="H136" s="45"/>
    </row>
    <row r="137" spans="1:8" s="12" customFormat="1" hidden="1">
      <c r="A137" s="170"/>
      <c r="B137" s="45"/>
      <c r="C137" s="48" t="s">
        <v>230</v>
      </c>
      <c r="D137" s="31" t="s">
        <v>112</v>
      </c>
      <c r="E137" s="31">
        <v>0.09</v>
      </c>
      <c r="F137" s="49"/>
      <c r="G137" s="31"/>
      <c r="H137" s="45"/>
    </row>
    <row r="138" spans="1:8" s="12" customFormat="1" ht="12.75" hidden="1" customHeight="1">
      <c r="A138" s="170"/>
      <c r="B138" s="45"/>
      <c r="C138" s="48" t="s">
        <v>214</v>
      </c>
      <c r="D138" s="49" t="s">
        <v>215</v>
      </c>
      <c r="E138" s="31">
        <v>1.2</v>
      </c>
      <c r="F138" s="31"/>
      <c r="G138" s="31"/>
      <c r="H138" s="45"/>
    </row>
    <row r="139" spans="1:8" s="12" customFormat="1" hidden="1">
      <c r="A139" s="170"/>
      <c r="B139" s="45"/>
      <c r="C139" s="48" t="s">
        <v>231</v>
      </c>
      <c r="D139" s="31"/>
      <c r="E139" s="31"/>
      <c r="F139" s="31"/>
      <c r="G139" s="31"/>
      <c r="H139" s="45"/>
    </row>
    <row r="140" spans="1:8" s="12" customFormat="1" hidden="1">
      <c r="A140" s="170"/>
      <c r="B140" s="45"/>
      <c r="C140" s="48" t="s">
        <v>232</v>
      </c>
      <c r="D140" s="31" t="s">
        <v>186</v>
      </c>
      <c r="E140" s="31">
        <v>0.1</v>
      </c>
      <c r="F140" s="31"/>
      <c r="G140" s="31"/>
      <c r="H140" s="45"/>
    </row>
    <row r="141" spans="1:8" s="12" customFormat="1" hidden="1">
      <c r="A141" s="170"/>
      <c r="B141" s="45"/>
      <c r="C141" s="48" t="s">
        <v>233</v>
      </c>
      <c r="D141" s="31" t="s">
        <v>186</v>
      </c>
      <c r="E141" s="31">
        <v>2.36</v>
      </c>
      <c r="F141" s="31"/>
      <c r="G141" s="31"/>
      <c r="H141" s="45"/>
    </row>
    <row r="142" spans="1:8" s="12" customFormat="1" ht="12.75" hidden="1" customHeight="1">
      <c r="A142" s="170"/>
      <c r="B142" s="45"/>
      <c r="C142" s="48" t="s">
        <v>187</v>
      </c>
      <c r="D142" s="31"/>
      <c r="E142" s="31"/>
      <c r="F142" s="31"/>
      <c r="G142" s="31"/>
      <c r="H142" s="45"/>
    </row>
    <row r="143" spans="1:8" s="12" customFormat="1" ht="30.75" hidden="1" customHeight="1">
      <c r="A143" s="170" t="s">
        <v>234</v>
      </c>
      <c r="B143" s="45">
        <v>12</v>
      </c>
      <c r="C143" s="46" t="s">
        <v>235</v>
      </c>
      <c r="D143" s="31"/>
      <c r="E143" s="31"/>
      <c r="F143" s="31"/>
      <c r="G143" s="31"/>
      <c r="H143" s="45"/>
    </row>
    <row r="144" spans="1:8" s="12" customFormat="1" hidden="1">
      <c r="A144" s="170"/>
      <c r="B144" s="45"/>
      <c r="C144" s="46" t="s">
        <v>225</v>
      </c>
      <c r="D144" s="31"/>
      <c r="E144" s="31"/>
      <c r="F144" s="31"/>
      <c r="G144" s="31"/>
      <c r="H144" s="45"/>
    </row>
    <row r="145" spans="1:8" s="12" customFormat="1" hidden="1">
      <c r="A145" s="170"/>
      <c r="B145" s="45"/>
      <c r="C145" s="46" t="s">
        <v>177</v>
      </c>
      <c r="D145" s="31"/>
      <c r="E145" s="31"/>
      <c r="F145" s="31"/>
      <c r="G145" s="31"/>
      <c r="H145" s="45"/>
    </row>
    <row r="146" spans="1:8" s="12" customFormat="1" hidden="1">
      <c r="A146" s="170"/>
      <c r="B146" s="45"/>
      <c r="C146" s="46" t="s">
        <v>104</v>
      </c>
      <c r="D146" s="31" t="s">
        <v>116</v>
      </c>
      <c r="E146" s="31">
        <v>162</v>
      </c>
      <c r="F146" s="31"/>
      <c r="G146" s="31"/>
      <c r="H146" s="45"/>
    </row>
    <row r="147" spans="1:8" s="12" customFormat="1" hidden="1">
      <c r="A147" s="170"/>
      <c r="B147" s="45"/>
      <c r="C147" s="46" t="s">
        <v>236</v>
      </c>
      <c r="D147" s="31" t="s">
        <v>112</v>
      </c>
      <c r="E147" s="31">
        <v>0.9</v>
      </c>
      <c r="F147" s="49"/>
      <c r="G147" s="31"/>
      <c r="H147" s="45"/>
    </row>
    <row r="148" spans="1:8" s="12" customFormat="1" hidden="1">
      <c r="A148" s="170"/>
      <c r="B148" s="45"/>
      <c r="C148" s="46" t="s">
        <v>208</v>
      </c>
      <c r="D148" s="31" t="s">
        <v>112</v>
      </c>
      <c r="E148" s="31">
        <v>0.45</v>
      </c>
      <c r="F148" s="31"/>
      <c r="G148" s="31"/>
      <c r="H148" s="45"/>
    </row>
    <row r="149" spans="1:8" s="12" customFormat="1" hidden="1">
      <c r="A149" s="170"/>
      <c r="B149" s="45"/>
      <c r="C149" s="46" t="s">
        <v>209</v>
      </c>
      <c r="D149" s="31" t="s">
        <v>112</v>
      </c>
      <c r="E149" s="31">
        <v>0.9</v>
      </c>
      <c r="F149" s="31"/>
      <c r="G149" s="31"/>
      <c r="H149" s="45"/>
    </row>
    <row r="150" spans="1:8" s="12" customFormat="1" hidden="1">
      <c r="A150" s="170"/>
      <c r="B150" s="45"/>
      <c r="C150" s="46" t="s">
        <v>210</v>
      </c>
      <c r="D150" s="31" t="s">
        <v>112</v>
      </c>
      <c r="E150" s="31">
        <v>0.45</v>
      </c>
      <c r="F150" s="31"/>
      <c r="G150" s="31"/>
      <c r="H150" s="45"/>
    </row>
    <row r="151" spans="1:8" s="12" customFormat="1" ht="12.75" hidden="1" customHeight="1">
      <c r="A151" s="170"/>
      <c r="B151" s="45"/>
      <c r="C151" s="48" t="s">
        <v>214</v>
      </c>
      <c r="D151" s="49" t="s">
        <v>215</v>
      </c>
      <c r="E151" s="31">
        <v>1.2</v>
      </c>
      <c r="F151" s="31"/>
      <c r="G151" s="31"/>
      <c r="H151" s="45"/>
    </row>
    <row r="152" spans="1:8" s="12" customFormat="1" hidden="1">
      <c r="A152" s="170"/>
      <c r="B152" s="45"/>
      <c r="C152" s="46" t="s">
        <v>211</v>
      </c>
      <c r="D152" s="31"/>
      <c r="E152" s="31"/>
      <c r="F152" s="31"/>
      <c r="G152" s="31"/>
      <c r="H152" s="45"/>
    </row>
    <row r="153" spans="1:8" s="12" customFormat="1" ht="14.25" hidden="1">
      <c r="A153" s="170"/>
      <c r="B153" s="45"/>
      <c r="C153" s="46" t="s">
        <v>212</v>
      </c>
      <c r="D153" s="31" t="s">
        <v>186</v>
      </c>
      <c r="E153" s="31">
        <v>0.1</v>
      </c>
      <c r="F153" s="31"/>
      <c r="G153" s="31"/>
      <c r="H153" s="45"/>
    </row>
    <row r="154" spans="1:8" s="12" customFormat="1" hidden="1">
      <c r="A154" s="170"/>
      <c r="B154" s="45"/>
      <c r="C154" s="46" t="s">
        <v>213</v>
      </c>
      <c r="D154" s="31" t="s">
        <v>186</v>
      </c>
      <c r="E154" s="31">
        <v>2.36</v>
      </c>
      <c r="F154" s="31"/>
      <c r="G154" s="31"/>
      <c r="H154" s="45"/>
    </row>
    <row r="155" spans="1:8" s="12" customFormat="1" ht="12" hidden="1" customHeight="1">
      <c r="A155" s="170"/>
      <c r="B155" s="45"/>
      <c r="C155" s="46" t="s">
        <v>187</v>
      </c>
      <c r="D155" s="31"/>
      <c r="E155" s="31"/>
      <c r="F155" s="31"/>
      <c r="G155" s="31"/>
      <c r="H155" s="45"/>
    </row>
    <row r="156" spans="1:8" s="12" customFormat="1" ht="24.95" customHeight="1">
      <c r="A156" s="166" t="s">
        <v>237</v>
      </c>
      <c r="B156" s="14">
        <v>6</v>
      </c>
      <c r="C156" s="1369" t="s">
        <v>238</v>
      </c>
      <c r="D156" s="1369"/>
      <c r="E156" s="1369"/>
      <c r="F156" s="1369"/>
      <c r="G156" s="1369"/>
      <c r="H156" s="45"/>
    </row>
    <row r="157" spans="1:8" s="12" customFormat="1" ht="17.100000000000001" customHeight="1">
      <c r="A157" s="170"/>
      <c r="B157" s="45"/>
      <c r="C157" s="46" t="s">
        <v>225</v>
      </c>
      <c r="D157" s="31"/>
      <c r="E157" s="31"/>
      <c r="F157" s="31"/>
      <c r="G157" s="31"/>
      <c r="H157" s="45"/>
    </row>
    <row r="158" spans="1:8" s="12" customFormat="1" ht="17.100000000000001" customHeight="1">
      <c r="A158" s="170"/>
      <c r="B158" s="45"/>
      <c r="C158" s="47" t="s">
        <v>177</v>
      </c>
      <c r="D158" s="31"/>
      <c r="E158" s="31"/>
      <c r="F158" s="31"/>
      <c r="G158" s="31"/>
      <c r="H158" s="45"/>
    </row>
    <row r="159" spans="1:8" s="12" customFormat="1" ht="17.100000000000001" customHeight="1">
      <c r="A159" s="170"/>
      <c r="B159" s="45"/>
      <c r="C159" s="46" t="s">
        <v>104</v>
      </c>
      <c r="D159" s="31" t="s">
        <v>116</v>
      </c>
      <c r="E159" s="31">
        <v>162</v>
      </c>
      <c r="F159" s="31">
        <f>F29</f>
        <v>5.2</v>
      </c>
      <c r="G159" s="31">
        <f>E159*F159</f>
        <v>842.4</v>
      </c>
      <c r="H159" s="45"/>
    </row>
    <row r="160" spans="1:8" s="12" customFormat="1" ht="17.100000000000001" customHeight="1">
      <c r="A160" s="170"/>
      <c r="B160" s="45"/>
      <c r="C160" s="46" t="s">
        <v>236</v>
      </c>
      <c r="D160" s="31" t="s">
        <v>112</v>
      </c>
      <c r="E160" s="31">
        <v>0.9</v>
      </c>
      <c r="F160" s="49" t="e">
        <f>'lead(new)'!P13</f>
        <v>#N/A</v>
      </c>
      <c r="G160" s="31" t="e">
        <f>E160*F160</f>
        <v>#N/A</v>
      </c>
      <c r="H160" s="45"/>
    </row>
    <row r="161" spans="1:8" s="12" customFormat="1" ht="17.100000000000001" customHeight="1">
      <c r="A161" s="170"/>
      <c r="B161" s="45"/>
      <c r="C161" s="46" t="s">
        <v>208</v>
      </c>
      <c r="D161" s="31" t="s">
        <v>112</v>
      </c>
      <c r="E161" s="31">
        <v>0.45</v>
      </c>
      <c r="F161" s="31" t="e">
        <f>'lead(new)'!P10</f>
        <v>#N/A</v>
      </c>
      <c r="G161" s="31" t="e">
        <f t="shared" ref="G161:G166" si="0">E161*F161</f>
        <v>#N/A</v>
      </c>
      <c r="H161" s="45"/>
    </row>
    <row r="162" spans="1:8" s="12" customFormat="1" ht="17.100000000000001" customHeight="1">
      <c r="A162" s="170"/>
      <c r="B162" s="45"/>
      <c r="C162" s="47" t="s">
        <v>181</v>
      </c>
      <c r="D162" s="31"/>
      <c r="E162" s="31"/>
      <c r="F162" s="31"/>
      <c r="G162" s="31"/>
      <c r="H162" s="45"/>
    </row>
    <row r="163" spans="1:8" s="12" customFormat="1" ht="17.100000000000001" customHeight="1">
      <c r="A163" s="170"/>
      <c r="B163" s="45"/>
      <c r="C163" s="46" t="s">
        <v>221</v>
      </c>
      <c r="D163" s="31" t="s">
        <v>222</v>
      </c>
      <c r="E163" s="31">
        <v>1</v>
      </c>
      <c r="F163" s="31">
        <v>298.14</v>
      </c>
      <c r="G163" s="31">
        <f t="shared" si="0"/>
        <v>298.14</v>
      </c>
      <c r="H163" s="45"/>
    </row>
    <row r="164" spans="1:8" s="12" customFormat="1" ht="17.100000000000001" customHeight="1">
      <c r="A164" s="170"/>
      <c r="B164" s="45"/>
      <c r="C164" s="47" t="s">
        <v>184</v>
      </c>
      <c r="D164" s="31"/>
      <c r="E164" s="31"/>
      <c r="F164" s="31"/>
      <c r="G164" s="31"/>
      <c r="H164" s="45"/>
    </row>
    <row r="165" spans="1:8" s="12" customFormat="1" ht="17.100000000000001" customHeight="1">
      <c r="A165" s="170"/>
      <c r="B165" s="45"/>
      <c r="C165" s="46" t="s">
        <v>212</v>
      </c>
      <c r="D165" s="31" t="s">
        <v>186</v>
      </c>
      <c r="E165" s="31">
        <v>0.1</v>
      </c>
      <c r="F165" s="31">
        <v>350</v>
      </c>
      <c r="G165" s="31">
        <f t="shared" si="0"/>
        <v>35</v>
      </c>
      <c r="H165" s="31"/>
    </row>
    <row r="166" spans="1:8" s="12" customFormat="1" ht="17.100000000000001" customHeight="1">
      <c r="A166" s="170"/>
      <c r="B166" s="45"/>
      <c r="C166" s="46" t="s">
        <v>213</v>
      </c>
      <c r="D166" s="31" t="s">
        <v>186</v>
      </c>
      <c r="E166" s="31">
        <v>1.39</v>
      </c>
      <c r="F166" s="31">
        <v>280</v>
      </c>
      <c r="G166" s="31">
        <f t="shared" si="0"/>
        <v>389.2</v>
      </c>
      <c r="H166" s="31"/>
    </row>
    <row r="167" spans="1:8" s="12" customFormat="1" ht="17.100000000000001" customHeight="1">
      <c r="A167" s="170"/>
      <c r="B167" s="45"/>
      <c r="C167" s="48" t="s">
        <v>239</v>
      </c>
      <c r="D167" s="49"/>
      <c r="E167" s="31" t="s">
        <v>183</v>
      </c>
      <c r="F167" s="31"/>
      <c r="G167" s="31"/>
      <c r="H167" s="31"/>
    </row>
    <row r="168" spans="1:8" s="12" customFormat="1" ht="17.100000000000001" customHeight="1">
      <c r="A168" s="170"/>
      <c r="B168" s="45"/>
      <c r="C168" s="46" t="s">
        <v>187</v>
      </c>
      <c r="D168" s="31"/>
      <c r="E168" s="31"/>
      <c r="F168" s="31"/>
      <c r="G168" s="43" t="e">
        <f>SUM(G159:G167)</f>
        <v>#N/A</v>
      </c>
      <c r="H168" s="31"/>
    </row>
    <row r="169" spans="1:8" ht="24" hidden="1" customHeight="1">
      <c r="A169" s="170" t="s">
        <v>240</v>
      </c>
      <c r="B169" s="38">
        <v>14</v>
      </c>
      <c r="C169" s="50" t="s">
        <v>241</v>
      </c>
      <c r="D169" s="51"/>
    </row>
    <row r="170" spans="1:8" ht="12" hidden="1" customHeight="1">
      <c r="C170" s="50" t="s">
        <v>225</v>
      </c>
      <c r="D170" s="51"/>
    </row>
    <row r="171" spans="1:8" ht="12" hidden="1" customHeight="1">
      <c r="C171" s="50" t="s">
        <v>177</v>
      </c>
      <c r="D171" s="51"/>
    </row>
    <row r="172" spans="1:8" ht="12" hidden="1" customHeight="1">
      <c r="C172" s="50" t="s">
        <v>104</v>
      </c>
      <c r="D172" s="51" t="s">
        <v>116</v>
      </c>
      <c r="E172" s="51">
        <v>129.6</v>
      </c>
    </row>
    <row r="173" spans="1:8" hidden="1">
      <c r="C173" s="50" t="s">
        <v>236</v>
      </c>
      <c r="D173" s="51" t="s">
        <v>112</v>
      </c>
      <c r="E173" s="51">
        <v>0.9</v>
      </c>
      <c r="F173" s="52"/>
    </row>
    <row r="174" spans="1:8" hidden="1">
      <c r="C174" s="50" t="s">
        <v>208</v>
      </c>
      <c r="D174" s="51" t="s">
        <v>112</v>
      </c>
      <c r="E174" s="51">
        <v>0.45</v>
      </c>
    </row>
    <row r="175" spans="1:8" hidden="1">
      <c r="C175" s="50" t="s">
        <v>211</v>
      </c>
      <c r="D175" s="51"/>
    </row>
    <row r="176" spans="1:8" ht="14.25" hidden="1">
      <c r="C176" s="50" t="s">
        <v>212</v>
      </c>
      <c r="D176" s="51" t="s">
        <v>186</v>
      </c>
      <c r="E176" s="51">
        <v>0.1</v>
      </c>
    </row>
    <row r="177" spans="1:6" hidden="1">
      <c r="C177" s="50" t="s">
        <v>213</v>
      </c>
      <c r="D177" s="51" t="s">
        <v>186</v>
      </c>
      <c r="E177" s="51">
        <v>2.36</v>
      </c>
    </row>
    <row r="178" spans="1:6" ht="12" hidden="1" customHeight="1">
      <c r="C178" s="50" t="s">
        <v>187</v>
      </c>
      <c r="D178" s="51"/>
    </row>
    <row r="179" spans="1:6" ht="23.25" hidden="1" customHeight="1">
      <c r="A179" s="170" t="s">
        <v>242</v>
      </c>
      <c r="B179" s="38">
        <v>16</v>
      </c>
      <c r="C179" s="50" t="s">
        <v>243</v>
      </c>
      <c r="D179" s="51"/>
    </row>
    <row r="180" spans="1:6" hidden="1">
      <c r="C180" s="50" t="s">
        <v>225</v>
      </c>
      <c r="D180" s="51"/>
    </row>
    <row r="181" spans="1:6" hidden="1">
      <c r="C181" s="50" t="s">
        <v>177</v>
      </c>
      <c r="D181" s="51"/>
    </row>
    <row r="182" spans="1:6" hidden="1">
      <c r="C182" s="50" t="s">
        <v>104</v>
      </c>
      <c r="D182" s="51" t="s">
        <v>116</v>
      </c>
      <c r="E182" s="51">
        <v>129.6</v>
      </c>
    </row>
    <row r="183" spans="1:6" hidden="1">
      <c r="C183" s="50" t="s">
        <v>236</v>
      </c>
      <c r="D183" s="51" t="s">
        <v>112</v>
      </c>
      <c r="E183" s="51">
        <v>0.9</v>
      </c>
      <c r="F183" s="52"/>
    </row>
    <row r="184" spans="1:6" hidden="1">
      <c r="C184" s="50" t="s">
        <v>208</v>
      </c>
      <c r="D184" s="51" t="s">
        <v>112</v>
      </c>
      <c r="E184" s="51">
        <v>0.54</v>
      </c>
    </row>
    <row r="185" spans="1:6" hidden="1">
      <c r="C185" s="50" t="s">
        <v>209</v>
      </c>
      <c r="D185" s="51" t="s">
        <v>112</v>
      </c>
      <c r="E185" s="51">
        <v>0.9</v>
      </c>
    </row>
    <row r="186" spans="1:6" hidden="1">
      <c r="C186" s="50" t="s">
        <v>210</v>
      </c>
      <c r="D186" s="51" t="s">
        <v>112</v>
      </c>
      <c r="E186" s="51">
        <v>0.54</v>
      </c>
    </row>
    <row r="187" spans="1:6" ht="12.75" hidden="1" customHeight="1">
      <c r="C187" s="53" t="s">
        <v>214</v>
      </c>
      <c r="D187" s="52" t="s">
        <v>215</v>
      </c>
      <c r="E187" s="51">
        <v>1.2</v>
      </c>
    </row>
    <row r="188" spans="1:6" hidden="1">
      <c r="C188" s="50" t="s">
        <v>211</v>
      </c>
      <c r="D188" s="51"/>
    </row>
    <row r="189" spans="1:6" ht="14.25" hidden="1">
      <c r="C189" s="50" t="s">
        <v>212</v>
      </c>
      <c r="D189" s="51" t="s">
        <v>186</v>
      </c>
      <c r="E189" s="51">
        <v>0.1</v>
      </c>
    </row>
    <row r="190" spans="1:6" ht="11.25" hidden="1" customHeight="1">
      <c r="C190" s="50" t="s">
        <v>213</v>
      </c>
      <c r="D190" s="51" t="s">
        <v>186</v>
      </c>
      <c r="E190" s="51">
        <v>2.36</v>
      </c>
    </row>
    <row r="191" spans="1:6" ht="11.25" hidden="1" customHeight="1">
      <c r="C191" s="50" t="s">
        <v>187</v>
      </c>
      <c r="D191" s="51"/>
    </row>
    <row r="192" spans="1:6" ht="24" hidden="1" customHeight="1">
      <c r="A192" s="170" t="s">
        <v>244</v>
      </c>
      <c r="B192" s="38">
        <v>17</v>
      </c>
      <c r="C192" s="50" t="s">
        <v>245</v>
      </c>
      <c r="D192" s="51"/>
    </row>
    <row r="193" spans="1:8" hidden="1">
      <c r="C193" s="50" t="s">
        <v>225</v>
      </c>
      <c r="D193" s="51"/>
    </row>
    <row r="194" spans="1:8" hidden="1">
      <c r="C194" s="50" t="s">
        <v>177</v>
      </c>
      <c r="D194" s="51"/>
    </row>
    <row r="195" spans="1:8" hidden="1">
      <c r="C195" s="50" t="s">
        <v>104</v>
      </c>
      <c r="D195" s="51" t="s">
        <v>116</v>
      </c>
      <c r="E195" s="51">
        <v>129.6</v>
      </c>
      <c r="F195" s="51">
        <f>'lead(new)'!P7/1000</f>
        <v>5.2</v>
      </c>
      <c r="G195" s="51">
        <f>F195*E195</f>
        <v>673.92</v>
      </c>
    </row>
    <row r="196" spans="1:8" hidden="1">
      <c r="C196" s="50" t="s">
        <v>236</v>
      </c>
      <c r="D196" s="51" t="s">
        <v>112</v>
      </c>
      <c r="E196" s="51">
        <v>0.9</v>
      </c>
      <c r="F196" s="52" t="e">
        <f>'lead(new)'!P13</f>
        <v>#N/A</v>
      </c>
      <c r="G196" s="51" t="e">
        <f t="shared" ref="G196:G203" si="1">F196*E196</f>
        <v>#N/A</v>
      </c>
    </row>
    <row r="197" spans="1:8" hidden="1">
      <c r="C197" s="50" t="s">
        <v>208</v>
      </c>
      <c r="D197" s="51" t="s">
        <v>112</v>
      </c>
      <c r="E197" s="51">
        <v>0.45</v>
      </c>
      <c r="F197" s="51" t="e">
        <f>'lead(new)'!P9</f>
        <v>#N/A</v>
      </c>
      <c r="G197" s="51" t="e">
        <f t="shared" si="1"/>
        <v>#N/A</v>
      </c>
    </row>
    <row r="198" spans="1:8" ht="12.75" hidden="1" customHeight="1">
      <c r="C198" s="53" t="s">
        <v>214</v>
      </c>
      <c r="D198" s="52" t="s">
        <v>215</v>
      </c>
      <c r="E198" s="51">
        <v>1.2</v>
      </c>
    </row>
    <row r="199" spans="1:8" hidden="1">
      <c r="C199" s="50" t="s">
        <v>181</v>
      </c>
      <c r="D199" s="51"/>
    </row>
    <row r="200" spans="1:8" ht="12.75" hidden="1" customHeight="1">
      <c r="C200" s="50" t="s">
        <v>221</v>
      </c>
      <c r="D200" s="51" t="s">
        <v>222</v>
      </c>
      <c r="E200" s="51">
        <v>1</v>
      </c>
      <c r="F200" s="51">
        <f>F163</f>
        <v>298.14</v>
      </c>
      <c r="G200" s="51">
        <f t="shared" si="1"/>
        <v>298.14</v>
      </c>
    </row>
    <row r="201" spans="1:8" hidden="1">
      <c r="C201" s="50" t="s">
        <v>184</v>
      </c>
      <c r="D201" s="51"/>
    </row>
    <row r="202" spans="1:8" ht="14.25" hidden="1">
      <c r="C202" s="50" t="s">
        <v>212</v>
      </c>
      <c r="D202" s="51" t="s">
        <v>186</v>
      </c>
      <c r="E202" s="51">
        <v>0.1</v>
      </c>
      <c r="F202" s="51">
        <v>350</v>
      </c>
      <c r="G202" s="51">
        <f t="shared" si="1"/>
        <v>35</v>
      </c>
    </row>
    <row r="203" spans="1:8" hidden="1">
      <c r="C203" s="50" t="s">
        <v>213</v>
      </c>
      <c r="D203" s="51" t="s">
        <v>186</v>
      </c>
      <c r="E203" s="51">
        <v>1.39</v>
      </c>
      <c r="F203" s="51">
        <v>280</v>
      </c>
      <c r="G203" s="51">
        <f t="shared" si="1"/>
        <v>389.2</v>
      </c>
    </row>
    <row r="204" spans="1:8" hidden="1">
      <c r="C204" s="50" t="s">
        <v>333</v>
      </c>
      <c r="D204" s="51"/>
      <c r="G204" s="51" t="e">
        <f>SUM(G195:G203)*1%</f>
        <v>#N/A</v>
      </c>
    </row>
    <row r="205" spans="1:8" ht="12.75" hidden="1" customHeight="1">
      <c r="C205" s="50" t="s">
        <v>187</v>
      </c>
      <c r="D205" s="51"/>
      <c r="G205" s="201" t="e">
        <f>SUM(G195:G204)</f>
        <v>#N/A</v>
      </c>
    </row>
    <row r="206" spans="1:8" s="25" customFormat="1" ht="20.100000000000001" hidden="1" customHeight="1">
      <c r="A206" s="166" t="s">
        <v>246</v>
      </c>
      <c r="B206" s="54">
        <v>19</v>
      </c>
      <c r="C206" s="1369" t="s">
        <v>247</v>
      </c>
      <c r="D206" s="1369"/>
      <c r="E206" s="1369"/>
      <c r="F206" s="1369"/>
      <c r="G206" s="1369"/>
      <c r="H206" s="54"/>
    </row>
    <row r="207" spans="1:8" s="12" customFormat="1" ht="17.100000000000001" hidden="1" customHeight="1">
      <c r="A207" s="170"/>
      <c r="B207" s="45"/>
      <c r="C207" s="46" t="s">
        <v>176</v>
      </c>
      <c r="D207" s="31"/>
      <c r="E207" s="31"/>
      <c r="F207" s="31"/>
      <c r="G207" s="31"/>
      <c r="H207" s="45"/>
    </row>
    <row r="208" spans="1:8" s="12" customFormat="1" ht="17.100000000000001" hidden="1" customHeight="1">
      <c r="A208" s="170"/>
      <c r="B208" s="45"/>
      <c r="C208" s="47" t="s">
        <v>177</v>
      </c>
      <c r="D208" s="31"/>
      <c r="E208" s="31"/>
      <c r="F208" s="31"/>
      <c r="G208" s="31"/>
      <c r="H208" s="45"/>
    </row>
    <row r="209" spans="1:8" s="12" customFormat="1" ht="17.100000000000001" hidden="1" customHeight="1">
      <c r="A209" s="170"/>
      <c r="B209" s="45"/>
      <c r="C209" s="46" t="s">
        <v>104</v>
      </c>
      <c r="D209" s="31" t="s">
        <v>206</v>
      </c>
      <c r="E209" s="31">
        <v>330</v>
      </c>
      <c r="F209" s="31">
        <f>F29</f>
        <v>5.2</v>
      </c>
      <c r="G209" s="31">
        <f>E209*F209</f>
        <v>1716</v>
      </c>
      <c r="H209" s="45"/>
    </row>
    <row r="210" spans="1:8" s="12" customFormat="1" ht="17.100000000000001" hidden="1" customHeight="1">
      <c r="A210" s="170"/>
      <c r="B210" s="45"/>
      <c r="C210" s="46" t="s">
        <v>248</v>
      </c>
      <c r="D210" s="31" t="s">
        <v>112</v>
      </c>
      <c r="E210" s="31">
        <v>0.9</v>
      </c>
      <c r="F210" s="31" t="e">
        <f>'lead(new)'!P13</f>
        <v>#N/A</v>
      </c>
      <c r="G210" s="31" t="e">
        <f>E210*F210</f>
        <v>#N/A</v>
      </c>
      <c r="H210" s="45"/>
    </row>
    <row r="211" spans="1:8" s="12" customFormat="1" ht="17.100000000000001" hidden="1" customHeight="1">
      <c r="A211" s="170"/>
      <c r="B211" s="45"/>
      <c r="C211" s="46" t="s">
        <v>208</v>
      </c>
      <c r="D211" s="31" t="s">
        <v>112</v>
      </c>
      <c r="E211" s="31">
        <v>0.45</v>
      </c>
      <c r="F211" s="31" t="e">
        <f>'lead(new)'!P9</f>
        <v>#N/A</v>
      </c>
      <c r="G211" s="31" t="e">
        <f>E211*F211</f>
        <v>#N/A</v>
      </c>
      <c r="H211" s="45"/>
    </row>
    <row r="212" spans="1:8" s="12" customFormat="1" ht="17.100000000000001" hidden="1" customHeight="1">
      <c r="A212" s="170"/>
      <c r="B212" s="45"/>
      <c r="C212" s="47" t="s">
        <v>181</v>
      </c>
      <c r="D212" s="31"/>
      <c r="E212" s="31"/>
      <c r="F212" s="31"/>
      <c r="G212" s="31"/>
      <c r="H212" s="45"/>
    </row>
    <row r="213" spans="1:8" s="12" customFormat="1" ht="17.100000000000001" hidden="1" customHeight="1">
      <c r="A213" s="170"/>
      <c r="B213" s="45"/>
      <c r="C213" s="46" t="s">
        <v>221</v>
      </c>
      <c r="D213" s="31" t="s">
        <v>222</v>
      </c>
      <c r="E213" s="31">
        <v>1</v>
      </c>
      <c r="F213" s="31">
        <v>298.14</v>
      </c>
      <c r="G213" s="31">
        <f>E213*F213</f>
        <v>298.14</v>
      </c>
      <c r="H213" s="45"/>
    </row>
    <row r="214" spans="1:8" s="12" customFormat="1" ht="17.100000000000001" hidden="1" customHeight="1">
      <c r="A214" s="170"/>
      <c r="B214" s="45"/>
      <c r="C214" s="47" t="s">
        <v>184</v>
      </c>
      <c r="D214" s="31"/>
      <c r="E214" s="31"/>
      <c r="F214" s="31"/>
      <c r="G214" s="31"/>
      <c r="H214" s="45"/>
    </row>
    <row r="215" spans="1:8" s="12" customFormat="1" ht="17.100000000000001" hidden="1" customHeight="1">
      <c r="A215" s="170"/>
      <c r="B215" s="45"/>
      <c r="C215" s="46" t="s">
        <v>212</v>
      </c>
      <c r="D215" s="31" t="s">
        <v>186</v>
      </c>
      <c r="E215" s="31">
        <v>0.1</v>
      </c>
      <c r="F215" s="31">
        <v>350</v>
      </c>
      <c r="G215" s="31">
        <f>E215*F215</f>
        <v>35</v>
      </c>
      <c r="H215" s="45"/>
    </row>
    <row r="216" spans="1:8" s="12" customFormat="1" ht="17.100000000000001" hidden="1" customHeight="1">
      <c r="A216" s="170"/>
      <c r="B216" s="45"/>
      <c r="C216" s="46" t="s">
        <v>213</v>
      </c>
      <c r="D216" s="31" t="s">
        <v>186</v>
      </c>
      <c r="E216" s="31">
        <v>1.39</v>
      </c>
      <c r="F216" s="31">
        <v>280</v>
      </c>
      <c r="G216" s="31">
        <f>E216*F216</f>
        <v>389.2</v>
      </c>
      <c r="H216" s="31"/>
    </row>
    <row r="217" spans="1:8" s="12" customFormat="1" ht="17.100000000000001" hidden="1" customHeight="1">
      <c r="A217" s="170"/>
      <c r="B217" s="45"/>
      <c r="C217" s="32" t="s">
        <v>162</v>
      </c>
      <c r="D217" s="29"/>
      <c r="E217" s="29"/>
      <c r="F217" s="29"/>
      <c r="G217" s="33"/>
      <c r="H217" s="31"/>
    </row>
    <row r="218" spans="1:8" s="12" customFormat="1" ht="17.100000000000001" hidden="1" customHeight="1">
      <c r="A218" s="170"/>
      <c r="B218" s="45"/>
      <c r="C218" s="46" t="s">
        <v>187</v>
      </c>
      <c r="D218" s="31"/>
      <c r="E218" s="31"/>
      <c r="F218" s="31"/>
      <c r="G218" s="31" t="e">
        <f>SUM(G209:G217)</f>
        <v>#N/A</v>
      </c>
      <c r="H218" s="31"/>
    </row>
    <row r="219" spans="1:8" ht="25.5" hidden="1" customHeight="1">
      <c r="A219" s="170" t="s">
        <v>249</v>
      </c>
      <c r="B219" s="38">
        <v>20</v>
      </c>
      <c r="C219" s="50" t="s">
        <v>250</v>
      </c>
      <c r="D219" s="51"/>
    </row>
    <row r="220" spans="1:8" ht="14.25" hidden="1" customHeight="1">
      <c r="C220" s="50" t="s">
        <v>219</v>
      </c>
      <c r="D220" s="51"/>
    </row>
    <row r="221" spans="1:8" ht="12" hidden="1" customHeight="1">
      <c r="C221" s="50" t="s">
        <v>176</v>
      </c>
      <c r="D221" s="51"/>
    </row>
    <row r="222" spans="1:8" ht="12.75" hidden="1" customHeight="1">
      <c r="C222" s="50" t="s">
        <v>177</v>
      </c>
      <c r="D222" s="51"/>
    </row>
    <row r="223" spans="1:8" hidden="1">
      <c r="C223" s="50" t="s">
        <v>104</v>
      </c>
      <c r="D223" s="51" t="s">
        <v>206</v>
      </c>
      <c r="E223" s="56">
        <v>275</v>
      </c>
    </row>
    <row r="224" spans="1:8" hidden="1">
      <c r="C224" s="50" t="s">
        <v>220</v>
      </c>
      <c r="D224" s="51" t="s">
        <v>112</v>
      </c>
      <c r="E224" s="56">
        <v>0.54</v>
      </c>
    </row>
    <row r="225" spans="1:8" hidden="1">
      <c r="C225" s="50" t="s">
        <v>207</v>
      </c>
      <c r="D225" s="51" t="s">
        <v>112</v>
      </c>
      <c r="E225" s="56">
        <v>0.27</v>
      </c>
      <c r="F225" s="52"/>
    </row>
    <row r="226" spans="1:8" hidden="1">
      <c r="C226" s="50" t="s">
        <v>251</v>
      </c>
      <c r="D226" s="51" t="s">
        <v>112</v>
      </c>
      <c r="E226" s="56">
        <v>0.09</v>
      </c>
      <c r="F226" s="52"/>
    </row>
    <row r="227" spans="1:8" hidden="1">
      <c r="C227" s="50" t="s">
        <v>208</v>
      </c>
      <c r="D227" s="51" t="s">
        <v>112</v>
      </c>
      <c r="E227" s="56">
        <v>0.48</v>
      </c>
    </row>
    <row r="228" spans="1:8" hidden="1">
      <c r="C228" s="50" t="s">
        <v>209</v>
      </c>
      <c r="D228" s="51" t="s">
        <v>112</v>
      </c>
      <c r="E228" s="56">
        <v>0.9</v>
      </c>
    </row>
    <row r="229" spans="1:8" hidden="1">
      <c r="C229" s="50" t="s">
        <v>210</v>
      </c>
      <c r="D229" s="51" t="s">
        <v>112</v>
      </c>
      <c r="E229" s="56">
        <v>0.48</v>
      </c>
    </row>
    <row r="230" spans="1:8" ht="12.75" hidden="1" customHeight="1">
      <c r="C230" s="53" t="s">
        <v>214</v>
      </c>
      <c r="D230" s="52" t="s">
        <v>215</v>
      </c>
      <c r="E230" s="51">
        <v>1.2</v>
      </c>
    </row>
    <row r="231" spans="1:8" hidden="1">
      <c r="C231" s="50" t="s">
        <v>181</v>
      </c>
      <c r="D231" s="51"/>
      <c r="E231" s="56"/>
    </row>
    <row r="232" spans="1:8" ht="13.5" hidden="1" customHeight="1">
      <c r="C232" s="50" t="s">
        <v>221</v>
      </c>
      <c r="D232" s="51" t="s">
        <v>222</v>
      </c>
      <c r="E232" s="56">
        <v>1</v>
      </c>
    </row>
    <row r="233" spans="1:8" hidden="1">
      <c r="C233" s="50" t="s">
        <v>184</v>
      </c>
      <c r="D233" s="51"/>
      <c r="E233" s="56"/>
    </row>
    <row r="234" spans="1:8" ht="14.25" hidden="1">
      <c r="C234" s="50" t="s">
        <v>212</v>
      </c>
      <c r="D234" s="51" t="s">
        <v>186</v>
      </c>
      <c r="E234" s="56">
        <v>0.1</v>
      </c>
    </row>
    <row r="235" spans="1:8" hidden="1">
      <c r="C235" s="50" t="s">
        <v>213</v>
      </c>
      <c r="D235" s="51" t="s">
        <v>186</v>
      </c>
      <c r="E235" s="56">
        <v>1.39</v>
      </c>
    </row>
    <row r="236" spans="1:8" ht="11.25" hidden="1" customHeight="1">
      <c r="C236" s="50" t="s">
        <v>187</v>
      </c>
      <c r="D236" s="51"/>
      <c r="E236" s="56"/>
    </row>
    <row r="237" spans="1:8" s="44" customFormat="1" ht="17.100000000000001" customHeight="1">
      <c r="A237" s="166" t="s">
        <v>252</v>
      </c>
      <c r="B237" s="14">
        <v>21</v>
      </c>
      <c r="C237" s="47" t="s">
        <v>334</v>
      </c>
      <c r="D237" s="43"/>
      <c r="E237" s="43"/>
      <c r="F237" s="43"/>
      <c r="G237" s="43"/>
      <c r="H237" s="14"/>
    </row>
    <row r="238" spans="1:8" ht="90" customHeight="1">
      <c r="B238" s="38" t="s">
        <v>253</v>
      </c>
      <c r="C238" s="1370" t="s">
        <v>335</v>
      </c>
      <c r="D238" s="1370"/>
      <c r="E238" s="1370"/>
      <c r="F238" s="1370"/>
      <c r="G238" s="1370"/>
    </row>
    <row r="239" spans="1:8" s="25" customFormat="1" ht="17.100000000000001" customHeight="1">
      <c r="A239" s="166"/>
      <c r="B239" s="54" t="s">
        <v>254</v>
      </c>
      <c r="C239" s="1369" t="s">
        <v>255</v>
      </c>
      <c r="D239" s="1369"/>
      <c r="E239" s="1369"/>
      <c r="F239" s="1369"/>
      <c r="G239" s="1369"/>
      <c r="H239" s="54"/>
    </row>
    <row r="240" spans="1:8" s="12" customFormat="1" ht="17.100000000000001" customHeight="1">
      <c r="A240" s="170"/>
      <c r="B240" s="45"/>
      <c r="C240" s="47" t="s">
        <v>177</v>
      </c>
      <c r="D240" s="31"/>
      <c r="E240" s="31"/>
      <c r="F240" s="31"/>
      <c r="G240" s="31"/>
      <c r="H240" s="45"/>
    </row>
    <row r="241" spans="1:8" s="12" customFormat="1" ht="17.100000000000001" customHeight="1">
      <c r="A241" s="170"/>
      <c r="B241" s="45"/>
      <c r="C241" s="48" t="s">
        <v>279</v>
      </c>
      <c r="D241" s="49" t="s">
        <v>112</v>
      </c>
      <c r="E241" s="57">
        <v>0.6</v>
      </c>
      <c r="F241" s="49" t="e">
        <f>'lead(new)'!P14</f>
        <v>#N/A</v>
      </c>
      <c r="G241" s="31" t="e">
        <f t="shared" ref="G241:G254" si="2">E241*F241</f>
        <v>#N/A</v>
      </c>
      <c r="H241" s="45"/>
    </row>
    <row r="242" spans="1:8" s="12" customFormat="1" ht="17.100000000000001" customHeight="1">
      <c r="A242" s="170"/>
      <c r="B242" s="45"/>
      <c r="C242" s="48" t="s">
        <v>336</v>
      </c>
      <c r="D242" s="49" t="s">
        <v>112</v>
      </c>
      <c r="E242" s="57">
        <v>0.3</v>
      </c>
      <c r="F242" s="49" t="e">
        <f>'lead(new)'!P18</f>
        <v>#N/A</v>
      </c>
      <c r="G242" s="31" t="e">
        <f t="shared" si="2"/>
        <v>#N/A</v>
      </c>
      <c r="H242" s="45"/>
    </row>
    <row r="243" spans="1:8" s="12" customFormat="1" ht="17.100000000000001" customHeight="1">
      <c r="A243" s="170"/>
      <c r="B243" s="45"/>
      <c r="C243" s="48" t="s">
        <v>119</v>
      </c>
      <c r="D243" s="49" t="s">
        <v>112</v>
      </c>
      <c r="E243" s="57">
        <v>0.45</v>
      </c>
      <c r="F243" s="49" t="e">
        <f>'lead(new)'!P10</f>
        <v>#N/A</v>
      </c>
      <c r="G243" s="31" t="e">
        <f t="shared" si="2"/>
        <v>#N/A</v>
      </c>
      <c r="H243" s="45"/>
    </row>
    <row r="244" spans="1:8" s="12" customFormat="1" ht="17.100000000000001" customHeight="1">
      <c r="A244" s="170"/>
      <c r="B244" s="45"/>
      <c r="C244" s="48" t="s">
        <v>104</v>
      </c>
      <c r="D244" s="49" t="s">
        <v>280</v>
      </c>
      <c r="E244" s="58">
        <v>350</v>
      </c>
      <c r="F244" s="49">
        <f>'lead(new)'!P7/1000</f>
        <v>5.2</v>
      </c>
      <c r="G244" s="31">
        <f t="shared" si="2"/>
        <v>1820</v>
      </c>
      <c r="H244" s="45"/>
    </row>
    <row r="245" spans="1:8" s="12" customFormat="1" ht="17.100000000000001" customHeight="1">
      <c r="A245" s="170"/>
      <c r="B245" s="45"/>
      <c r="C245" s="47" t="s">
        <v>211</v>
      </c>
      <c r="D245" s="49"/>
      <c r="E245" s="57"/>
      <c r="F245" s="31"/>
      <c r="G245" s="31"/>
      <c r="H245" s="45"/>
    </row>
    <row r="246" spans="1:8" s="12" customFormat="1" ht="17.100000000000001" customHeight="1">
      <c r="A246" s="170"/>
      <c r="B246" s="45"/>
      <c r="C246" s="48" t="s">
        <v>281</v>
      </c>
      <c r="D246" s="49" t="s">
        <v>186</v>
      </c>
      <c r="E246" s="57">
        <v>0.13300000000000001</v>
      </c>
      <c r="F246" s="49">
        <v>350</v>
      </c>
      <c r="G246" s="31">
        <f t="shared" si="2"/>
        <v>46.550000000000004</v>
      </c>
      <c r="H246" s="45"/>
    </row>
    <row r="247" spans="1:8" s="61" customFormat="1" ht="17.100000000000001" customHeight="1">
      <c r="A247" s="171"/>
      <c r="B247" s="59"/>
      <c r="C247" s="48" t="s">
        <v>282</v>
      </c>
      <c r="D247" s="49" t="s">
        <v>186</v>
      </c>
      <c r="E247" s="60">
        <v>0.26700000000000002</v>
      </c>
      <c r="F247" s="49">
        <v>320</v>
      </c>
      <c r="G247" s="31">
        <f t="shared" si="2"/>
        <v>85.44</v>
      </c>
      <c r="H247" s="59"/>
    </row>
    <row r="248" spans="1:8" s="61" customFormat="1" ht="17.100000000000001" customHeight="1">
      <c r="A248" s="171"/>
      <c r="B248" s="59"/>
      <c r="C248" s="48" t="s">
        <v>283</v>
      </c>
      <c r="D248" s="49" t="s">
        <v>186</v>
      </c>
      <c r="E248" s="60">
        <v>3.6</v>
      </c>
      <c r="F248" s="49">
        <v>280</v>
      </c>
      <c r="G248" s="31">
        <f t="shared" si="2"/>
        <v>1008</v>
      </c>
      <c r="H248" s="31"/>
    </row>
    <row r="249" spans="1:8" s="12" customFormat="1" ht="17.100000000000001" customHeight="1">
      <c r="A249" s="170"/>
      <c r="B249" s="45"/>
      <c r="C249" s="32" t="s">
        <v>162</v>
      </c>
      <c r="D249" s="29"/>
      <c r="E249" s="29"/>
      <c r="F249" s="29"/>
      <c r="G249" s="33"/>
      <c r="H249" s="31"/>
    </row>
    <row r="250" spans="1:8" s="61" customFormat="1" ht="17.100000000000001" customHeight="1">
      <c r="A250" s="171"/>
      <c r="B250" s="59"/>
      <c r="C250" s="55" t="s">
        <v>181</v>
      </c>
      <c r="D250" s="49"/>
      <c r="E250" s="60"/>
      <c r="F250" s="49"/>
      <c r="G250" s="31"/>
      <c r="H250" s="59"/>
    </row>
    <row r="251" spans="1:8" s="61" customFormat="1" ht="17.100000000000001" customHeight="1">
      <c r="A251" s="171"/>
      <c r="B251" s="59"/>
      <c r="C251" s="48" t="s">
        <v>221</v>
      </c>
      <c r="D251" s="49" t="s">
        <v>222</v>
      </c>
      <c r="E251" s="60">
        <v>1</v>
      </c>
      <c r="F251" s="31">
        <v>298.14</v>
      </c>
      <c r="G251" s="31">
        <f t="shared" si="2"/>
        <v>298.14</v>
      </c>
      <c r="H251" s="59"/>
    </row>
    <row r="252" spans="1:8" s="61" customFormat="1" ht="17.100000000000001" customHeight="1">
      <c r="A252" s="171"/>
      <c r="B252" s="59"/>
      <c r="C252" s="48" t="s">
        <v>284</v>
      </c>
      <c r="D252" s="62" t="s">
        <v>285</v>
      </c>
      <c r="E252" s="60">
        <v>0.13300000000000001</v>
      </c>
      <c r="F252" s="63">
        <v>50</v>
      </c>
      <c r="G252" s="31">
        <f t="shared" si="2"/>
        <v>6.65</v>
      </c>
      <c r="H252" s="59"/>
    </row>
    <row r="253" spans="1:8" s="61" customFormat="1" ht="17.100000000000001" customHeight="1">
      <c r="A253" s="171"/>
      <c r="B253" s="59"/>
      <c r="C253" s="48" t="s">
        <v>286</v>
      </c>
      <c r="D253" s="62" t="s">
        <v>285</v>
      </c>
      <c r="E253" s="60">
        <v>0.66700000000000004</v>
      </c>
      <c r="F253" s="63">
        <v>74</v>
      </c>
      <c r="G253" s="31">
        <f t="shared" si="2"/>
        <v>49.358000000000004</v>
      </c>
      <c r="H253" s="59"/>
    </row>
    <row r="254" spans="1:8" s="61" customFormat="1" ht="17.100000000000001" customHeight="1">
      <c r="A254" s="171"/>
      <c r="B254" s="59"/>
      <c r="C254" s="48" t="s">
        <v>214</v>
      </c>
      <c r="D254" s="49" t="s">
        <v>215</v>
      </c>
      <c r="E254" s="60">
        <v>1.2</v>
      </c>
      <c r="F254" s="64">
        <v>90</v>
      </c>
      <c r="G254" s="31">
        <f t="shared" si="2"/>
        <v>108</v>
      </c>
      <c r="H254" s="59"/>
    </row>
    <row r="255" spans="1:8" s="12" customFormat="1" ht="17.100000000000001" customHeight="1">
      <c r="A255" s="170"/>
      <c r="B255" s="45"/>
      <c r="C255" s="48" t="s">
        <v>287</v>
      </c>
      <c r="D255" s="48"/>
      <c r="E255" s="31"/>
      <c r="F255" s="31"/>
      <c r="G255" s="43" t="e">
        <f>SUM(G241:G254)</f>
        <v>#N/A</v>
      </c>
      <c r="H255" s="31"/>
    </row>
    <row r="256" spans="1:8" s="44" customFormat="1" ht="17.100000000000001" customHeight="1">
      <c r="A256" s="166"/>
      <c r="B256" s="14" t="s">
        <v>288</v>
      </c>
      <c r="C256" s="55" t="s">
        <v>289</v>
      </c>
      <c r="D256" s="55"/>
      <c r="E256" s="43"/>
      <c r="F256" s="43"/>
      <c r="G256" s="43"/>
      <c r="H256" s="14"/>
    </row>
    <row r="257" spans="1:8" s="12" customFormat="1" ht="17.100000000000001" customHeight="1">
      <c r="A257" s="170"/>
      <c r="B257" s="45"/>
      <c r="C257" s="48" t="s">
        <v>287</v>
      </c>
      <c r="D257" s="48"/>
      <c r="E257" s="31"/>
      <c r="F257" s="31"/>
      <c r="G257" s="31" t="e">
        <f>G255</f>
        <v>#N/A</v>
      </c>
      <c r="H257" s="45"/>
    </row>
    <row r="258" spans="1:8" s="12" customFormat="1" ht="17.100000000000001" customHeight="1">
      <c r="A258" s="170"/>
      <c r="B258" s="45"/>
      <c r="C258" s="48" t="s">
        <v>290</v>
      </c>
      <c r="D258" s="49" t="s">
        <v>112</v>
      </c>
      <c r="E258" s="31">
        <v>1</v>
      </c>
      <c r="F258" s="31">
        <v>137</v>
      </c>
      <c r="G258" s="65">
        <f>ROUNDUP(E258*F258,2)</f>
        <v>137</v>
      </c>
      <c r="H258" s="45"/>
    </row>
    <row r="259" spans="1:8" s="12" customFormat="1" ht="17.100000000000001" customHeight="1">
      <c r="A259" s="170"/>
      <c r="B259" s="45"/>
      <c r="C259" s="48" t="s">
        <v>291</v>
      </c>
      <c r="D259" s="49" t="s">
        <v>112</v>
      </c>
      <c r="E259" s="31">
        <v>1</v>
      </c>
      <c r="F259" s="31">
        <v>415</v>
      </c>
      <c r="G259" s="65">
        <f>ROUNDUP(E259*F259,2)</f>
        <v>415</v>
      </c>
      <c r="H259" s="45"/>
    </row>
    <row r="260" spans="1:8" s="12" customFormat="1" ht="17.100000000000001" customHeight="1">
      <c r="A260" s="170"/>
      <c r="B260" s="45"/>
      <c r="C260" s="32" t="s">
        <v>89</v>
      </c>
      <c r="D260" s="49"/>
      <c r="E260" s="31"/>
      <c r="F260" s="31"/>
      <c r="G260" s="65"/>
      <c r="H260" s="45"/>
    </row>
    <row r="261" spans="1:8" s="12" customFormat="1" ht="17.100000000000001" customHeight="1">
      <c r="A261" s="170"/>
      <c r="B261" s="45"/>
      <c r="C261" s="48"/>
      <c r="D261" s="48"/>
      <c r="E261" s="31"/>
      <c r="F261" s="31"/>
      <c r="G261" s="43" t="e">
        <f>SUM(G257:G260)</f>
        <v>#N/A</v>
      </c>
      <c r="H261" s="31"/>
    </row>
    <row r="262" spans="1:8" s="44" customFormat="1" ht="17.100000000000001" customHeight="1">
      <c r="A262" s="166"/>
      <c r="B262" s="14" t="s">
        <v>163</v>
      </c>
      <c r="C262" s="55" t="s">
        <v>292</v>
      </c>
      <c r="D262" s="55"/>
      <c r="E262" s="43"/>
      <c r="F262" s="43"/>
      <c r="G262" s="43"/>
      <c r="H262" s="14"/>
    </row>
    <row r="263" spans="1:8" s="12" customFormat="1" ht="17.100000000000001" customHeight="1">
      <c r="A263" s="170"/>
      <c r="B263" s="45"/>
      <c r="C263" s="48" t="s">
        <v>287</v>
      </c>
      <c r="D263" s="48"/>
      <c r="E263" s="31"/>
      <c r="F263" s="31"/>
      <c r="G263" s="31" t="e">
        <f>G257</f>
        <v>#N/A</v>
      </c>
      <c r="H263" s="45"/>
    </row>
    <row r="264" spans="1:8" s="12" customFormat="1" ht="17.100000000000001" customHeight="1">
      <c r="A264" s="170"/>
      <c r="B264" s="45"/>
      <c r="C264" s="48" t="s">
        <v>290</v>
      </c>
      <c r="D264" s="49" t="s">
        <v>112</v>
      </c>
      <c r="E264" s="31">
        <v>1</v>
      </c>
      <c r="F264" s="31">
        <v>109</v>
      </c>
      <c r="G264" s="65">
        <f>ROUNDUP(E264*F264,2)</f>
        <v>109</v>
      </c>
      <c r="H264" s="45"/>
    </row>
    <row r="265" spans="1:8" s="12" customFormat="1" ht="17.100000000000001" customHeight="1">
      <c r="A265" s="170"/>
      <c r="B265" s="45"/>
      <c r="C265" s="48" t="s">
        <v>291</v>
      </c>
      <c r="D265" s="49" t="s">
        <v>112</v>
      </c>
      <c r="E265" s="31">
        <v>1</v>
      </c>
      <c r="F265" s="31">
        <v>660</v>
      </c>
      <c r="G265" s="65">
        <f>ROUNDUP(E265*F265,2)</f>
        <v>660</v>
      </c>
      <c r="H265" s="45"/>
    </row>
    <row r="266" spans="1:8" s="12" customFormat="1" ht="17.100000000000001" customHeight="1">
      <c r="A266" s="170"/>
      <c r="B266" s="45"/>
      <c r="C266" s="32" t="s">
        <v>89</v>
      </c>
      <c r="D266" s="49"/>
      <c r="E266" s="31"/>
      <c r="F266" s="31"/>
      <c r="G266" s="65"/>
      <c r="H266" s="45"/>
    </row>
    <row r="267" spans="1:8" s="12" customFormat="1" ht="17.100000000000001" customHeight="1">
      <c r="A267" s="170"/>
      <c r="B267" s="45"/>
      <c r="C267" s="48"/>
      <c r="D267" s="48"/>
      <c r="E267" s="31"/>
      <c r="F267" s="31"/>
      <c r="G267" s="43" t="e">
        <f>SUM(G263:G266)</f>
        <v>#N/A</v>
      </c>
      <c r="H267" s="31"/>
    </row>
    <row r="268" spans="1:8" s="44" customFormat="1" ht="17.100000000000001" customHeight="1">
      <c r="A268" s="166"/>
      <c r="B268" s="14" t="s">
        <v>166</v>
      </c>
      <c r="C268" s="55" t="s">
        <v>293</v>
      </c>
      <c r="D268" s="55"/>
      <c r="E268" s="43"/>
      <c r="F268" s="43"/>
      <c r="G268" s="43"/>
      <c r="H268" s="14"/>
    </row>
    <row r="269" spans="1:8" s="12" customFormat="1" ht="17.100000000000001" customHeight="1">
      <c r="A269" s="170"/>
      <c r="B269" s="45"/>
      <c r="C269" s="48" t="s">
        <v>287</v>
      </c>
      <c r="D269" s="48"/>
      <c r="E269" s="31"/>
      <c r="F269" s="31"/>
      <c r="G269" s="31" t="e">
        <f>G263</f>
        <v>#N/A</v>
      </c>
      <c r="H269" s="45"/>
    </row>
    <row r="270" spans="1:8" s="12" customFormat="1" ht="17.100000000000001" customHeight="1">
      <c r="A270" s="170"/>
      <c r="B270" s="45"/>
      <c r="C270" s="48" t="s">
        <v>290</v>
      </c>
      <c r="D270" s="49" t="s">
        <v>112</v>
      </c>
      <c r="E270" s="31">
        <v>1</v>
      </c>
      <c r="F270" s="31">
        <v>1158</v>
      </c>
      <c r="G270" s="65">
        <f>ROUNDUP(E270*F270,2)</f>
        <v>1158</v>
      </c>
      <c r="H270" s="45"/>
    </row>
    <row r="271" spans="1:8" s="12" customFormat="1" ht="17.100000000000001" customHeight="1">
      <c r="A271" s="170"/>
      <c r="B271" s="45"/>
      <c r="C271" s="48" t="s">
        <v>291</v>
      </c>
      <c r="D271" s="49" t="s">
        <v>112</v>
      </c>
      <c r="E271" s="31">
        <v>1</v>
      </c>
      <c r="F271" s="31">
        <v>1000</v>
      </c>
      <c r="G271" s="65">
        <f>ROUNDUP(E271*F271,2)</f>
        <v>1000</v>
      </c>
      <c r="H271" s="45"/>
    </row>
    <row r="272" spans="1:8" s="12" customFormat="1" ht="17.100000000000001" customHeight="1">
      <c r="A272" s="170"/>
      <c r="B272" s="45"/>
      <c r="C272" s="32" t="s">
        <v>89</v>
      </c>
      <c r="D272" s="49"/>
      <c r="E272" s="31"/>
      <c r="F272" s="31"/>
      <c r="G272" s="65"/>
      <c r="H272" s="45"/>
    </row>
    <row r="273" spans="1:8" s="12" customFormat="1" ht="17.100000000000001" customHeight="1">
      <c r="A273" s="170"/>
      <c r="B273" s="45"/>
      <c r="C273" s="48"/>
      <c r="D273" s="48"/>
      <c r="E273" s="31"/>
      <c r="F273" s="31"/>
      <c r="G273" s="43" t="e">
        <f>SUM(G269:G272)</f>
        <v>#N/A</v>
      </c>
      <c r="H273" s="31"/>
    </row>
    <row r="274" spans="1:8" s="25" customFormat="1" ht="17.100000000000001" customHeight="1">
      <c r="A274" s="166"/>
      <c r="B274" s="54" t="s">
        <v>98</v>
      </c>
      <c r="C274" s="1369" t="s">
        <v>294</v>
      </c>
      <c r="D274" s="1369"/>
      <c r="E274" s="1369"/>
      <c r="F274" s="1369"/>
      <c r="G274" s="1369"/>
      <c r="H274" s="54"/>
    </row>
    <row r="275" spans="1:8" s="12" customFormat="1" ht="17.100000000000001" customHeight="1">
      <c r="A275" s="170"/>
      <c r="B275" s="45"/>
      <c r="C275" s="47" t="s">
        <v>177</v>
      </c>
      <c r="D275" s="31"/>
      <c r="E275" s="31"/>
      <c r="F275" s="31"/>
      <c r="G275" s="31"/>
      <c r="H275" s="45"/>
    </row>
    <row r="276" spans="1:8" s="12" customFormat="1" ht="17.100000000000001" customHeight="1">
      <c r="A276" s="170"/>
      <c r="B276" s="45"/>
      <c r="C276" s="48" t="s">
        <v>276</v>
      </c>
      <c r="D276" s="49" t="s">
        <v>112</v>
      </c>
      <c r="E276" s="57">
        <v>0.6</v>
      </c>
      <c r="F276" s="49" t="e">
        <f>'lead(new)'!P14</f>
        <v>#N/A</v>
      </c>
      <c r="G276" s="31" t="e">
        <f t="shared" ref="G276:G287" si="3">E276*F276</f>
        <v>#N/A</v>
      </c>
      <c r="H276" s="45"/>
    </row>
    <row r="277" spans="1:8" s="12" customFormat="1" ht="17.100000000000001" customHeight="1">
      <c r="A277" s="170"/>
      <c r="B277" s="45"/>
      <c r="C277" s="48" t="s">
        <v>277</v>
      </c>
      <c r="D277" s="49" t="s">
        <v>112</v>
      </c>
      <c r="E277" s="57">
        <v>0.3</v>
      </c>
      <c r="F277" s="49" t="e">
        <f>'lead(new)'!P18</f>
        <v>#N/A</v>
      </c>
      <c r="G277" s="31" t="e">
        <f t="shared" si="3"/>
        <v>#N/A</v>
      </c>
      <c r="H277" s="45"/>
    </row>
    <row r="278" spans="1:8" s="12" customFormat="1" ht="17.100000000000001" customHeight="1">
      <c r="A278" s="170"/>
      <c r="B278" s="45"/>
      <c r="C278" s="48" t="s">
        <v>119</v>
      </c>
      <c r="D278" s="49" t="s">
        <v>112</v>
      </c>
      <c r="E278" s="57">
        <v>0.45</v>
      </c>
      <c r="F278" s="49" t="e">
        <f>F243</f>
        <v>#N/A</v>
      </c>
      <c r="G278" s="31" t="e">
        <f t="shared" si="3"/>
        <v>#N/A</v>
      </c>
      <c r="H278" s="45"/>
    </row>
    <row r="279" spans="1:8" s="12" customFormat="1" ht="17.100000000000001" customHeight="1">
      <c r="A279" s="170"/>
      <c r="B279" s="45"/>
      <c r="C279" s="48" t="s">
        <v>104</v>
      </c>
      <c r="D279" s="49" t="s">
        <v>280</v>
      </c>
      <c r="E279" s="58">
        <v>350</v>
      </c>
      <c r="F279" s="49">
        <f>F244</f>
        <v>5.2</v>
      </c>
      <c r="G279" s="31">
        <f t="shared" si="3"/>
        <v>1820</v>
      </c>
      <c r="H279" s="45"/>
    </row>
    <row r="280" spans="1:8" s="12" customFormat="1" ht="17.100000000000001" customHeight="1">
      <c r="A280" s="170"/>
      <c r="B280" s="45"/>
      <c r="C280" s="47" t="s">
        <v>211</v>
      </c>
      <c r="D280" s="49"/>
      <c r="E280" s="57"/>
      <c r="F280" s="31"/>
      <c r="G280" s="31"/>
      <c r="H280" s="45"/>
    </row>
    <row r="281" spans="1:8" s="12" customFormat="1" ht="17.100000000000001" customHeight="1">
      <c r="A281" s="170"/>
      <c r="B281" s="45"/>
      <c r="C281" s="48" t="s">
        <v>281</v>
      </c>
      <c r="D281" s="49" t="s">
        <v>186</v>
      </c>
      <c r="E281" s="57">
        <v>0.16700000000000001</v>
      </c>
      <c r="F281" s="49">
        <v>350</v>
      </c>
      <c r="G281" s="31">
        <f t="shared" si="3"/>
        <v>58.45</v>
      </c>
      <c r="H281" s="45"/>
    </row>
    <row r="282" spans="1:8" s="61" customFormat="1" ht="17.100000000000001" customHeight="1">
      <c r="A282" s="171"/>
      <c r="B282" s="59"/>
      <c r="C282" s="48" t="s">
        <v>282</v>
      </c>
      <c r="D282" s="49" t="s">
        <v>186</v>
      </c>
      <c r="E282" s="60">
        <v>0.16700000000000001</v>
      </c>
      <c r="F282" s="49">
        <v>320</v>
      </c>
      <c r="G282" s="31">
        <f t="shared" si="3"/>
        <v>53.440000000000005</v>
      </c>
      <c r="H282" s="59"/>
    </row>
    <row r="283" spans="1:8" s="61" customFormat="1" ht="17.100000000000001" customHeight="1">
      <c r="A283" s="171"/>
      <c r="B283" s="59"/>
      <c r="C283" s="48" t="s">
        <v>283</v>
      </c>
      <c r="D283" s="49" t="s">
        <v>186</v>
      </c>
      <c r="E283" s="60">
        <v>4.7</v>
      </c>
      <c r="F283" s="49">
        <v>280</v>
      </c>
      <c r="G283" s="31">
        <f t="shared" si="3"/>
        <v>1316</v>
      </c>
      <c r="H283" s="31"/>
    </row>
    <row r="284" spans="1:8" s="12" customFormat="1" ht="17.100000000000001" customHeight="1">
      <c r="A284" s="170"/>
      <c r="B284" s="45"/>
      <c r="C284" s="32" t="s">
        <v>162</v>
      </c>
      <c r="D284" s="29"/>
      <c r="E284" s="29"/>
      <c r="F284" s="29"/>
      <c r="G284" s="33"/>
      <c r="H284" s="31"/>
    </row>
    <row r="285" spans="1:8" s="61" customFormat="1" ht="17.100000000000001" customHeight="1">
      <c r="A285" s="171"/>
      <c r="B285" s="59"/>
      <c r="C285" s="55" t="s">
        <v>181</v>
      </c>
      <c r="D285" s="49"/>
      <c r="E285" s="60"/>
      <c r="F285" s="49"/>
      <c r="G285" s="31"/>
      <c r="H285" s="59"/>
    </row>
    <row r="286" spans="1:8" s="61" customFormat="1" ht="17.100000000000001" customHeight="1">
      <c r="A286" s="171"/>
      <c r="B286" s="59"/>
      <c r="C286" s="48" t="s">
        <v>221</v>
      </c>
      <c r="D286" s="49" t="s">
        <v>222</v>
      </c>
      <c r="E286" s="60">
        <v>1</v>
      </c>
      <c r="F286" s="49">
        <v>298.14</v>
      </c>
      <c r="G286" s="31">
        <f t="shared" si="3"/>
        <v>298.14</v>
      </c>
      <c r="H286" s="59"/>
    </row>
    <row r="287" spans="1:8" s="61" customFormat="1" ht="17.100000000000001" customHeight="1">
      <c r="A287" s="171"/>
      <c r="B287" s="59"/>
      <c r="C287" s="48" t="s">
        <v>214</v>
      </c>
      <c r="D287" s="49" t="s">
        <v>215</v>
      </c>
      <c r="E287" s="60">
        <v>1.2</v>
      </c>
      <c r="F287" s="63">
        <v>90</v>
      </c>
      <c r="G287" s="31">
        <f t="shared" si="3"/>
        <v>108</v>
      </c>
      <c r="H287" s="59"/>
    </row>
    <row r="288" spans="1:8" s="61" customFormat="1" ht="17.100000000000001" customHeight="1">
      <c r="A288" s="171"/>
      <c r="B288" s="59"/>
      <c r="C288" s="48" t="s">
        <v>287</v>
      </c>
      <c r="D288" s="49"/>
      <c r="E288" s="60"/>
      <c r="F288" s="31"/>
      <c r="G288" s="43" t="e">
        <f>SUM(G276:G287)</f>
        <v>#N/A</v>
      </c>
      <c r="H288" s="59"/>
    </row>
    <row r="289" spans="1:8" s="69" customFormat="1" ht="17.100000000000001" customHeight="1">
      <c r="A289" s="172"/>
      <c r="B289" s="66" t="s">
        <v>288</v>
      </c>
      <c r="C289" s="55" t="s">
        <v>295</v>
      </c>
      <c r="D289" s="67"/>
      <c r="E289" s="68"/>
      <c r="F289" s="43"/>
      <c r="G289" s="43"/>
      <c r="H289" s="66"/>
    </row>
    <row r="290" spans="1:8" s="61" customFormat="1" ht="18" customHeight="1">
      <c r="A290" s="59"/>
      <c r="B290" s="66"/>
      <c r="C290" s="72"/>
      <c r="D290" s="233"/>
      <c r="E290" s="234" t="s">
        <v>409</v>
      </c>
      <c r="F290" s="234" t="s">
        <v>410</v>
      </c>
      <c r="G290" s="235" t="s">
        <v>411</v>
      </c>
    </row>
    <row r="291" spans="1:8" s="61" customFormat="1" ht="18" customHeight="1">
      <c r="A291" s="59"/>
      <c r="B291" s="66"/>
      <c r="C291" s="72" t="s">
        <v>412</v>
      </c>
      <c r="D291" s="233"/>
      <c r="E291" s="236" t="e">
        <f>G288</f>
        <v>#N/A</v>
      </c>
      <c r="F291" s="236" t="e">
        <f>E291</f>
        <v>#N/A</v>
      </c>
      <c r="G291" s="236" t="e">
        <f>F291</f>
        <v>#N/A</v>
      </c>
    </row>
    <row r="292" spans="1:8" s="61" customFormat="1" ht="18" customHeight="1">
      <c r="A292" s="59"/>
      <c r="B292" s="66"/>
      <c r="C292" s="72" t="s">
        <v>413</v>
      </c>
      <c r="D292" s="233"/>
      <c r="E292" s="236">
        <v>680</v>
      </c>
      <c r="F292" s="236">
        <f>E292</f>
        <v>680</v>
      </c>
      <c r="G292" s="236">
        <f>F292</f>
        <v>680</v>
      </c>
    </row>
    <row r="293" spans="1:8" s="61" customFormat="1" ht="18" customHeight="1">
      <c r="A293" s="59"/>
      <c r="B293" s="66"/>
      <c r="C293" s="72" t="s">
        <v>414</v>
      </c>
      <c r="D293" s="233"/>
      <c r="E293" s="236">
        <v>834</v>
      </c>
      <c r="F293" s="236">
        <v>917</v>
      </c>
      <c r="G293" s="237">
        <v>1001</v>
      </c>
    </row>
    <row r="294" spans="1:8" s="61" customFormat="1" ht="18" customHeight="1">
      <c r="A294" s="59"/>
      <c r="B294" s="66"/>
      <c r="C294" s="72" t="s">
        <v>415</v>
      </c>
      <c r="D294" s="239" t="s">
        <v>416</v>
      </c>
      <c r="E294" s="236">
        <v>0</v>
      </c>
      <c r="F294" s="236">
        <f>(E293+SUM(G281:G283))*D294</f>
        <v>226.18900000000005</v>
      </c>
      <c r="G294" s="237">
        <f>F294*2</f>
        <v>452.3780000000001</v>
      </c>
    </row>
    <row r="295" spans="1:8" s="238" customFormat="1" ht="18" customHeight="1">
      <c r="C295" s="73" t="s">
        <v>417</v>
      </c>
      <c r="D295" s="240">
        <v>0.14000000000000001</v>
      </c>
      <c r="E295" s="236" t="e">
        <f>ROUND(SUM(E291:E294)*D295,2)</f>
        <v>#N/A</v>
      </c>
      <c r="F295" s="236" t="e">
        <f>ROUND(SUM(F291:F294)*D295,2)</f>
        <v>#N/A</v>
      </c>
      <c r="G295" s="237" t="e">
        <f>ROUND(SUM(G291:G294)*D295,2)</f>
        <v>#N/A</v>
      </c>
    </row>
    <row r="296" spans="1:8" s="238" customFormat="1" ht="18" customHeight="1">
      <c r="C296" s="73" t="s">
        <v>418</v>
      </c>
      <c r="D296" s="240"/>
      <c r="E296" s="241" t="e">
        <f>ROUND(SUM(E291:E295),2)</f>
        <v>#N/A</v>
      </c>
      <c r="F296" s="241" t="e">
        <f>ROUND(SUM(F291:F295),2)</f>
        <v>#N/A</v>
      </c>
      <c r="G296" s="241" t="e">
        <f>ROUND(SUM(G291:G295),2)</f>
        <v>#N/A</v>
      </c>
    </row>
    <row r="297" spans="1:8" s="69" customFormat="1" ht="17.100000000000001" customHeight="1">
      <c r="A297" s="172"/>
      <c r="B297" s="66" t="s">
        <v>163</v>
      </c>
      <c r="C297" s="55" t="s">
        <v>296</v>
      </c>
      <c r="D297" s="67"/>
      <c r="E297" s="68"/>
      <c r="F297" s="43"/>
      <c r="G297" s="43"/>
      <c r="H297" s="66"/>
    </row>
    <row r="298" spans="1:8" s="61" customFormat="1" ht="18" customHeight="1">
      <c r="A298" s="59"/>
      <c r="B298" s="66"/>
      <c r="C298" s="72"/>
      <c r="D298" s="233"/>
      <c r="E298" s="234" t="s">
        <v>409</v>
      </c>
      <c r="F298" s="234" t="s">
        <v>410</v>
      </c>
      <c r="G298" s="235" t="s">
        <v>411</v>
      </c>
    </row>
    <row r="299" spans="1:8" s="61" customFormat="1" ht="18" customHeight="1">
      <c r="A299" s="59"/>
      <c r="B299" s="66"/>
      <c r="C299" s="72" t="s">
        <v>412</v>
      </c>
      <c r="D299" s="233"/>
      <c r="E299" s="236" t="e">
        <f>G291</f>
        <v>#N/A</v>
      </c>
      <c r="F299" s="236" t="e">
        <f>E299</f>
        <v>#N/A</v>
      </c>
      <c r="G299" s="236" t="e">
        <f>F299</f>
        <v>#N/A</v>
      </c>
    </row>
    <row r="300" spans="1:8" s="61" customFormat="1" ht="18" customHeight="1">
      <c r="A300" s="59"/>
      <c r="B300" s="66"/>
      <c r="C300" s="72" t="s">
        <v>413</v>
      </c>
      <c r="D300" s="233"/>
      <c r="E300" s="236">
        <v>205</v>
      </c>
      <c r="F300" s="236">
        <f>E300</f>
        <v>205</v>
      </c>
      <c r="G300" s="236">
        <f>F300</f>
        <v>205</v>
      </c>
    </row>
    <row r="301" spans="1:8" s="61" customFormat="1" ht="18" customHeight="1">
      <c r="A301" s="59"/>
      <c r="B301" s="66"/>
      <c r="C301" s="72" t="s">
        <v>414</v>
      </c>
      <c r="D301" s="233"/>
      <c r="E301" s="236">
        <v>1171</v>
      </c>
      <c r="F301" s="236">
        <v>1228</v>
      </c>
      <c r="G301" s="237">
        <v>1405</v>
      </c>
    </row>
    <row r="302" spans="1:8" s="61" customFormat="1" ht="18" customHeight="1">
      <c r="A302" s="59"/>
      <c r="B302" s="66"/>
      <c r="C302" s="72" t="s">
        <v>415</v>
      </c>
      <c r="D302" s="239" t="s">
        <v>416</v>
      </c>
      <c r="E302" s="236">
        <v>0</v>
      </c>
      <c r="F302" s="236">
        <f>(SUM(G281:G283)+E301)*D302</f>
        <v>259.88900000000007</v>
      </c>
      <c r="G302" s="237">
        <f>F302*2</f>
        <v>519.77800000000013</v>
      </c>
    </row>
    <row r="303" spans="1:8" s="238" customFormat="1" ht="18" customHeight="1">
      <c r="C303" s="73" t="s">
        <v>417</v>
      </c>
      <c r="D303" s="240">
        <v>0.14000000000000001</v>
      </c>
      <c r="E303" s="236" t="e">
        <f>ROUND(SUM(E299:E302)*D303,2)</f>
        <v>#N/A</v>
      </c>
      <c r="F303" s="236" t="e">
        <f>ROUND(SUM(F299:F302)*D303,2)</f>
        <v>#N/A</v>
      </c>
      <c r="G303" s="237" t="e">
        <f>ROUND(SUM(G299:G302)*D303,2)</f>
        <v>#N/A</v>
      </c>
    </row>
    <row r="304" spans="1:8" s="238" customFormat="1" ht="18" customHeight="1">
      <c r="C304" s="73" t="s">
        <v>418</v>
      </c>
      <c r="D304" s="240"/>
      <c r="E304" s="236" t="e">
        <f>ROUND(SUM(E299:E303),2)</f>
        <v>#N/A</v>
      </c>
      <c r="F304" s="236" t="e">
        <f>ROUND(SUM(F299:F303),2)</f>
        <v>#N/A</v>
      </c>
      <c r="G304" s="236" t="e">
        <f>ROUND(SUM(G299:G303),2)</f>
        <v>#N/A</v>
      </c>
    </row>
    <row r="305" spans="1:8" s="44" customFormat="1" ht="17.100000000000001" customHeight="1">
      <c r="A305" s="166"/>
      <c r="B305" s="14" t="s">
        <v>297</v>
      </c>
      <c r="C305" s="42" t="s">
        <v>298</v>
      </c>
      <c r="D305" s="43"/>
      <c r="E305" s="43"/>
      <c r="F305" s="67"/>
      <c r="G305" s="43"/>
      <c r="H305" s="14"/>
    </row>
    <row r="306" spans="1:8" s="44" customFormat="1" ht="17.100000000000001" customHeight="1">
      <c r="A306" s="166"/>
      <c r="B306" s="14"/>
      <c r="C306" s="47" t="s">
        <v>177</v>
      </c>
      <c r="D306" s="43"/>
      <c r="E306" s="43"/>
      <c r="F306" s="43"/>
      <c r="G306" s="43"/>
      <c r="H306" s="14"/>
    </row>
    <row r="307" spans="1:8" s="12" customFormat="1" ht="17.100000000000001" customHeight="1">
      <c r="A307" s="170"/>
      <c r="B307" s="45"/>
      <c r="C307" s="48" t="s">
        <v>278</v>
      </c>
      <c r="D307" s="49" t="s">
        <v>112</v>
      </c>
      <c r="E307" s="57">
        <v>0.6</v>
      </c>
      <c r="F307" s="49" t="e">
        <f>'lead(new)'!P14</f>
        <v>#N/A</v>
      </c>
      <c r="G307" s="31" t="e">
        <f t="shared" ref="G307:G318" si="4">E307*F307</f>
        <v>#N/A</v>
      </c>
      <c r="H307" s="45"/>
    </row>
    <row r="308" spans="1:8" s="12" customFormat="1" ht="17.100000000000001" customHeight="1">
      <c r="A308" s="170"/>
      <c r="B308" s="45"/>
      <c r="C308" s="48" t="s">
        <v>277</v>
      </c>
      <c r="D308" s="49" t="s">
        <v>112</v>
      </c>
      <c r="E308" s="57">
        <v>0.3</v>
      </c>
      <c r="F308" s="49" t="e">
        <f>'lead(new)'!P18</f>
        <v>#N/A</v>
      </c>
      <c r="G308" s="31" t="e">
        <f t="shared" si="4"/>
        <v>#N/A</v>
      </c>
      <c r="H308" s="45"/>
    </row>
    <row r="309" spans="1:8" s="12" customFormat="1" ht="17.100000000000001" customHeight="1">
      <c r="A309" s="170"/>
      <c r="B309" s="45"/>
      <c r="C309" s="48" t="s">
        <v>119</v>
      </c>
      <c r="D309" s="49" t="s">
        <v>112</v>
      </c>
      <c r="E309" s="57">
        <v>0.45</v>
      </c>
      <c r="F309" s="49" t="e">
        <f>'lead(new)'!P10</f>
        <v>#N/A</v>
      </c>
      <c r="G309" s="31" t="e">
        <f t="shared" si="4"/>
        <v>#N/A</v>
      </c>
      <c r="H309" s="45"/>
    </row>
    <row r="310" spans="1:8" s="12" customFormat="1" ht="17.100000000000001" customHeight="1">
      <c r="A310" s="170"/>
      <c r="B310" s="45"/>
      <c r="C310" s="48" t="s">
        <v>104</v>
      </c>
      <c r="D310" s="49" t="s">
        <v>280</v>
      </c>
      <c r="E310" s="58">
        <v>350</v>
      </c>
      <c r="F310" s="49">
        <f>F279</f>
        <v>5.2</v>
      </c>
      <c r="G310" s="31">
        <f t="shared" si="4"/>
        <v>1820</v>
      </c>
      <c r="H310" s="45"/>
    </row>
    <row r="311" spans="1:8" s="12" customFormat="1" ht="17.100000000000001" customHeight="1">
      <c r="A311" s="170"/>
      <c r="B311" s="45"/>
      <c r="C311" s="47" t="s">
        <v>211</v>
      </c>
      <c r="D311" s="49"/>
      <c r="E311" s="57"/>
      <c r="F311" s="31"/>
      <c r="G311" s="31"/>
      <c r="H311" s="45"/>
    </row>
    <row r="312" spans="1:8" s="12" customFormat="1" ht="17.100000000000001" customHeight="1">
      <c r="A312" s="170"/>
      <c r="B312" s="45"/>
      <c r="C312" s="48" t="s">
        <v>281</v>
      </c>
      <c r="D312" s="49" t="s">
        <v>186</v>
      </c>
      <c r="E312" s="57">
        <v>6.7000000000000004E-2</v>
      </c>
      <c r="F312" s="49">
        <f>F281</f>
        <v>350</v>
      </c>
      <c r="G312" s="31">
        <f t="shared" si="4"/>
        <v>23.450000000000003</v>
      </c>
      <c r="H312" s="45"/>
    </row>
    <row r="313" spans="1:8" s="61" customFormat="1" ht="17.100000000000001" customHeight="1">
      <c r="A313" s="171"/>
      <c r="B313" s="59"/>
      <c r="C313" s="48" t="s">
        <v>282</v>
      </c>
      <c r="D313" s="49" t="s">
        <v>186</v>
      </c>
      <c r="E313" s="60">
        <v>0.13300000000000001</v>
      </c>
      <c r="F313" s="49">
        <f>F282</f>
        <v>320</v>
      </c>
      <c r="G313" s="31">
        <f t="shared" si="4"/>
        <v>42.56</v>
      </c>
      <c r="H313" s="59"/>
    </row>
    <row r="314" spans="1:8" s="61" customFormat="1" ht="17.100000000000001" customHeight="1">
      <c r="A314" s="171"/>
      <c r="B314" s="59"/>
      <c r="C314" s="48" t="s">
        <v>283</v>
      </c>
      <c r="D314" s="49" t="s">
        <v>186</v>
      </c>
      <c r="E314" s="60">
        <v>2.5</v>
      </c>
      <c r="F314" s="49">
        <f>F283</f>
        <v>280</v>
      </c>
      <c r="G314" s="31">
        <f t="shared" si="4"/>
        <v>700</v>
      </c>
      <c r="H314" s="31"/>
    </row>
    <row r="315" spans="1:8" s="12" customFormat="1" ht="17.100000000000001" customHeight="1">
      <c r="A315" s="170"/>
      <c r="B315" s="45"/>
      <c r="C315" s="32" t="s">
        <v>162</v>
      </c>
      <c r="D315" s="29"/>
      <c r="E315" s="29"/>
      <c r="F315" s="29"/>
      <c r="G315" s="33"/>
      <c r="H315" s="31"/>
    </row>
    <row r="316" spans="1:8" s="61" customFormat="1" ht="17.100000000000001" customHeight="1">
      <c r="A316" s="171"/>
      <c r="B316" s="59"/>
      <c r="C316" s="55" t="s">
        <v>181</v>
      </c>
      <c r="D316" s="49"/>
      <c r="E316" s="60"/>
      <c r="F316" s="49"/>
      <c r="G316" s="31"/>
      <c r="H316" s="59"/>
    </row>
    <row r="317" spans="1:8" s="61" customFormat="1" ht="17.100000000000001" customHeight="1">
      <c r="A317" s="171"/>
      <c r="B317" s="59"/>
      <c r="C317" s="48" t="s">
        <v>221</v>
      </c>
      <c r="D317" s="49" t="s">
        <v>222</v>
      </c>
      <c r="E317" s="60">
        <v>0.26700000000000002</v>
      </c>
      <c r="F317" s="49">
        <f>F286</f>
        <v>298.14</v>
      </c>
      <c r="G317" s="31">
        <f t="shared" si="4"/>
        <v>79.603380000000001</v>
      </c>
      <c r="H317" s="59"/>
    </row>
    <row r="318" spans="1:8" s="61" customFormat="1" ht="17.100000000000001" customHeight="1">
      <c r="A318" s="171"/>
      <c r="B318" s="59"/>
      <c r="C318" s="48" t="s">
        <v>214</v>
      </c>
      <c r="D318" s="49" t="s">
        <v>215</v>
      </c>
      <c r="E318" s="60">
        <v>1.2</v>
      </c>
      <c r="F318" s="64">
        <v>90</v>
      </c>
      <c r="G318" s="31">
        <f t="shared" si="4"/>
        <v>108</v>
      </c>
      <c r="H318" s="59"/>
    </row>
    <row r="319" spans="1:8" s="12" customFormat="1" ht="17.100000000000001" customHeight="1">
      <c r="A319" s="170"/>
      <c r="B319" s="45"/>
      <c r="C319" s="48" t="s">
        <v>287</v>
      </c>
      <c r="D319" s="48"/>
      <c r="E319" s="31"/>
      <c r="F319" s="31"/>
      <c r="G319" s="43" t="e">
        <f>SUM(G307:G318)</f>
        <v>#N/A</v>
      </c>
      <c r="H319" s="45"/>
    </row>
    <row r="320" spans="1:8" s="12" customFormat="1" ht="17.100000000000001" customHeight="1">
      <c r="A320" s="170"/>
      <c r="B320" s="14" t="s">
        <v>288</v>
      </c>
      <c r="C320" s="55" t="s">
        <v>299</v>
      </c>
      <c r="D320" s="48"/>
      <c r="E320" s="31"/>
      <c r="F320" s="31"/>
      <c r="G320" s="31"/>
      <c r="H320" s="45"/>
    </row>
    <row r="321" spans="1:8" s="61" customFormat="1" ht="18" customHeight="1">
      <c r="A321" s="59"/>
      <c r="B321" s="66"/>
      <c r="C321" s="72"/>
      <c r="D321" s="233"/>
      <c r="E321" s="234" t="s">
        <v>409</v>
      </c>
      <c r="F321" s="234" t="s">
        <v>410</v>
      </c>
      <c r="G321" s="235" t="s">
        <v>411</v>
      </c>
    </row>
    <row r="322" spans="1:8" s="61" customFormat="1" ht="18" customHeight="1">
      <c r="A322" s="59"/>
      <c r="B322" s="66"/>
      <c r="C322" s="72" t="s">
        <v>412</v>
      </c>
      <c r="D322" s="233"/>
      <c r="E322" s="236" t="e">
        <f>G319</f>
        <v>#N/A</v>
      </c>
      <c r="F322" s="236" t="e">
        <f>E322</f>
        <v>#N/A</v>
      </c>
      <c r="G322" s="236" t="e">
        <f>F322</f>
        <v>#N/A</v>
      </c>
    </row>
    <row r="323" spans="1:8" s="61" customFormat="1" ht="18" customHeight="1">
      <c r="A323" s="59"/>
      <c r="B323" s="66"/>
      <c r="C323" s="72" t="s">
        <v>413</v>
      </c>
      <c r="D323" s="233"/>
      <c r="E323" s="236">
        <v>1201</v>
      </c>
      <c r="F323" s="236">
        <f>E323</f>
        <v>1201</v>
      </c>
      <c r="G323" s="236">
        <f>F323</f>
        <v>1201</v>
      </c>
    </row>
    <row r="324" spans="1:8" s="61" customFormat="1" ht="18" customHeight="1">
      <c r="A324" s="59"/>
      <c r="B324" s="66"/>
      <c r="C324" s="72" t="s">
        <v>414</v>
      </c>
      <c r="D324" s="233"/>
      <c r="E324" s="236">
        <v>982</v>
      </c>
      <c r="F324" s="236">
        <v>1080</v>
      </c>
      <c r="G324" s="237">
        <v>1178</v>
      </c>
    </row>
    <row r="325" spans="1:8" s="61" customFormat="1" ht="18" customHeight="1">
      <c r="A325" s="59"/>
      <c r="B325" s="66"/>
      <c r="C325" s="72" t="s">
        <v>415</v>
      </c>
      <c r="D325" s="239" t="s">
        <v>416</v>
      </c>
      <c r="E325" s="236">
        <v>0</v>
      </c>
      <c r="F325" s="236">
        <f>(SUM(G312:G314)+E324)*D325</f>
        <v>174.80100000000002</v>
      </c>
      <c r="G325" s="237">
        <f>F325*2</f>
        <v>349.60200000000003</v>
      </c>
    </row>
    <row r="326" spans="1:8" s="238" customFormat="1" ht="18" customHeight="1">
      <c r="C326" s="73" t="s">
        <v>417</v>
      </c>
      <c r="D326" s="240">
        <v>0.14000000000000001</v>
      </c>
      <c r="E326" s="236" t="e">
        <f>ROUND(SUM(E322:E325)*D326,2)</f>
        <v>#N/A</v>
      </c>
      <c r="F326" s="236" t="e">
        <f>ROUND(SUM(F322:F325)*D326,2)</f>
        <v>#N/A</v>
      </c>
      <c r="G326" s="237" t="e">
        <f>ROUND(SUM(G322:G325)*D326,2)</f>
        <v>#N/A</v>
      </c>
    </row>
    <row r="327" spans="1:8" s="238" customFormat="1" ht="18" customHeight="1">
      <c r="C327" s="73" t="s">
        <v>418</v>
      </c>
      <c r="D327" s="240"/>
      <c r="E327" s="241" t="e">
        <f>ROUND(SUM(E322:E326),2)</f>
        <v>#N/A</v>
      </c>
      <c r="F327" s="241" t="e">
        <f>ROUND(SUM(F322:F326),2)</f>
        <v>#N/A</v>
      </c>
      <c r="G327" s="241" t="e">
        <f>ROUND(SUM(G322:G326),2)</f>
        <v>#N/A</v>
      </c>
    </row>
    <row r="328" spans="1:8" s="12" customFormat="1" ht="17.100000000000001" customHeight="1">
      <c r="A328" s="170"/>
      <c r="B328" s="14" t="s">
        <v>163</v>
      </c>
      <c r="C328" s="55" t="s">
        <v>300</v>
      </c>
      <c r="D328" s="48"/>
      <c r="E328" s="31"/>
      <c r="F328" s="31"/>
      <c r="G328" s="31"/>
      <c r="H328" s="45"/>
    </row>
    <row r="329" spans="1:8" s="61" customFormat="1" ht="18" customHeight="1">
      <c r="A329" s="59"/>
      <c r="B329" s="66"/>
      <c r="C329" s="72"/>
      <c r="D329" s="233"/>
      <c r="E329" s="234" t="s">
        <v>409</v>
      </c>
      <c r="F329" s="234" t="s">
        <v>410</v>
      </c>
      <c r="G329" s="235" t="s">
        <v>411</v>
      </c>
    </row>
    <row r="330" spans="1:8" s="61" customFormat="1" ht="18" customHeight="1">
      <c r="A330" s="59"/>
      <c r="B330" s="66"/>
      <c r="C330" s="72" t="s">
        <v>419</v>
      </c>
      <c r="D330" s="233"/>
      <c r="E330" s="236" t="e">
        <f>G319</f>
        <v>#N/A</v>
      </c>
      <c r="F330" s="236" t="e">
        <f>E330</f>
        <v>#N/A</v>
      </c>
      <c r="G330" s="236" t="e">
        <f>F330</f>
        <v>#N/A</v>
      </c>
    </row>
    <row r="331" spans="1:8" s="61" customFormat="1" ht="18" customHeight="1">
      <c r="A331" s="59"/>
      <c r="B331" s="66"/>
      <c r="C331" s="72" t="s">
        <v>420</v>
      </c>
      <c r="D331" s="233"/>
      <c r="E331" s="236" t="e">
        <f>0.125*E330</f>
        <v>#N/A</v>
      </c>
      <c r="F331" s="236" t="e">
        <f>0.125*F330</f>
        <v>#N/A</v>
      </c>
      <c r="G331" s="236" t="e">
        <f>0.125*G330</f>
        <v>#N/A</v>
      </c>
    </row>
    <row r="332" spans="1:8" s="61" customFormat="1" ht="18" customHeight="1">
      <c r="A332" s="59"/>
      <c r="B332" s="66"/>
      <c r="C332" s="72" t="s">
        <v>413</v>
      </c>
      <c r="D332" s="233"/>
      <c r="E332" s="236">
        <v>136</v>
      </c>
      <c r="F332" s="236">
        <f>E332</f>
        <v>136</v>
      </c>
      <c r="G332" s="236">
        <f>F332</f>
        <v>136</v>
      </c>
    </row>
    <row r="333" spans="1:8" s="61" customFormat="1" ht="18" customHeight="1">
      <c r="A333" s="59"/>
      <c r="B333" s="66"/>
      <c r="C333" s="72" t="s">
        <v>414</v>
      </c>
      <c r="D333" s="233"/>
      <c r="E333" s="236">
        <v>111</v>
      </c>
      <c r="F333" s="236">
        <v>122</v>
      </c>
      <c r="G333" s="237">
        <v>133</v>
      </c>
    </row>
    <row r="334" spans="1:8" s="61" customFormat="1" ht="18" customHeight="1">
      <c r="A334" s="59"/>
      <c r="B334" s="66"/>
      <c r="C334" s="72" t="s">
        <v>415</v>
      </c>
      <c r="D334" s="239" t="s">
        <v>416</v>
      </c>
      <c r="E334" s="236">
        <v>0</v>
      </c>
      <c r="F334" s="236">
        <f>(SUM(G312:G314)+E333)*D334</f>
        <v>87.701000000000008</v>
      </c>
      <c r="G334" s="237">
        <f>F334*2</f>
        <v>175.40200000000002</v>
      </c>
    </row>
    <row r="335" spans="1:8" s="238" customFormat="1" ht="18" customHeight="1">
      <c r="C335" s="73" t="s">
        <v>417</v>
      </c>
      <c r="D335" s="240">
        <v>0.14000000000000001</v>
      </c>
      <c r="E335" s="236" t="e">
        <f>ROUND(SUM(E331:E334)*$D$297,2)</f>
        <v>#N/A</v>
      </c>
      <c r="F335" s="236" t="e">
        <f>ROUND(SUM(F331:F334)*$D$297,2)</f>
        <v>#N/A</v>
      </c>
      <c r="G335" s="236" t="e">
        <f>ROUND(SUM(G331:G334)*$D$297,2)</f>
        <v>#N/A</v>
      </c>
    </row>
    <row r="336" spans="1:8" s="238" customFormat="1" ht="18" customHeight="1">
      <c r="C336" s="73" t="s">
        <v>421</v>
      </c>
      <c r="D336" s="240"/>
      <c r="E336" s="241" t="e">
        <f>ROUND(SUM(E331:E335),2)</f>
        <v>#N/A</v>
      </c>
      <c r="F336" s="241" t="e">
        <f>ROUND(SUM(F331:F335),2)</f>
        <v>#N/A</v>
      </c>
      <c r="G336" s="241" t="e">
        <f>ROUND(SUM(G331:G335),2)</f>
        <v>#N/A</v>
      </c>
    </row>
    <row r="337" spans="1:8" s="12" customFormat="1" ht="17.100000000000001" customHeight="1">
      <c r="A337" s="170"/>
      <c r="B337" s="14" t="s">
        <v>166</v>
      </c>
      <c r="C337" s="70" t="s">
        <v>301</v>
      </c>
      <c r="D337" s="48"/>
      <c r="E337" s="31"/>
      <c r="F337" s="31"/>
      <c r="G337" s="31"/>
      <c r="H337" s="31"/>
    </row>
    <row r="338" spans="1:8" s="61" customFormat="1" ht="18" customHeight="1">
      <c r="A338" s="59"/>
      <c r="B338" s="66"/>
      <c r="C338" s="72" t="s">
        <v>424</v>
      </c>
      <c r="D338" s="233" t="s">
        <v>302</v>
      </c>
      <c r="E338" s="242">
        <f>0.0625*0.6</f>
        <v>3.7499999999999999E-2</v>
      </c>
      <c r="F338" s="233" t="e">
        <f>G319</f>
        <v>#N/A</v>
      </c>
      <c r="G338" s="237" t="e">
        <f>ROUND(E338*F338,2)</f>
        <v>#N/A</v>
      </c>
    </row>
    <row r="339" spans="1:8" s="61" customFormat="1" ht="18" customHeight="1">
      <c r="A339" s="59"/>
      <c r="B339" s="66"/>
      <c r="C339" s="72"/>
      <c r="D339" s="233"/>
      <c r="E339" s="234" t="s">
        <v>409</v>
      </c>
      <c r="F339" s="234" t="s">
        <v>410</v>
      </c>
      <c r="G339" s="234" t="s">
        <v>411</v>
      </c>
    </row>
    <row r="340" spans="1:8" s="61" customFormat="1" ht="25.5" customHeight="1">
      <c r="A340" s="59"/>
      <c r="B340" s="66"/>
      <c r="C340" s="72" t="s">
        <v>422</v>
      </c>
      <c r="D340" s="233"/>
      <c r="E340" s="236" t="e">
        <f>G338</f>
        <v>#N/A</v>
      </c>
      <c r="F340" s="236" t="e">
        <f>E340</f>
        <v>#N/A</v>
      </c>
      <c r="G340" s="236" t="e">
        <f>F340</f>
        <v>#N/A</v>
      </c>
    </row>
    <row r="341" spans="1:8" s="61" customFormat="1" ht="18" customHeight="1">
      <c r="A341" s="59"/>
      <c r="B341" s="66"/>
      <c r="C341" s="72" t="s">
        <v>413</v>
      </c>
      <c r="D341" s="233"/>
      <c r="E341" s="236">
        <v>134</v>
      </c>
      <c r="F341" s="236">
        <f>E341</f>
        <v>134</v>
      </c>
      <c r="G341" s="236">
        <f>F341</f>
        <v>134</v>
      </c>
    </row>
    <row r="342" spans="1:8" s="61" customFormat="1" ht="18" customHeight="1">
      <c r="A342" s="59"/>
      <c r="B342" s="66"/>
      <c r="C342" s="72" t="s">
        <v>414</v>
      </c>
      <c r="D342" s="233"/>
      <c r="E342" s="236">
        <v>128</v>
      </c>
      <c r="F342" s="236">
        <v>141</v>
      </c>
      <c r="G342" s="237">
        <v>154</v>
      </c>
    </row>
    <row r="343" spans="1:8" s="61" customFormat="1" ht="18" customHeight="1">
      <c r="A343" s="59"/>
      <c r="B343" s="66"/>
      <c r="C343" s="72" t="s">
        <v>415</v>
      </c>
      <c r="D343" s="239" t="s">
        <v>416</v>
      </c>
      <c r="E343" s="236">
        <v>0</v>
      </c>
      <c r="F343" s="236">
        <f>(E342+SUM((G312:G314))*D343)</f>
        <v>204.601</v>
      </c>
      <c r="G343" s="237">
        <f>F343*2</f>
        <v>409.202</v>
      </c>
    </row>
    <row r="344" spans="1:8" s="238" customFormat="1" ht="18" customHeight="1">
      <c r="C344" s="73" t="s">
        <v>417</v>
      </c>
      <c r="D344" s="240">
        <v>0.14000000000000001</v>
      </c>
      <c r="E344" s="236" t="e">
        <f>ROUND(SUM(E340:E343)*D344,2)</f>
        <v>#N/A</v>
      </c>
      <c r="F344" s="236" t="e">
        <f>ROUND(SUM(F340:F343)*D344,2)</f>
        <v>#N/A</v>
      </c>
      <c r="G344" s="237" t="e">
        <f>ROUND(SUM(G340:G343)*D344,2)</f>
        <v>#N/A</v>
      </c>
    </row>
    <row r="345" spans="1:8" s="238" customFormat="1" ht="18" customHeight="1">
      <c r="C345" s="73" t="s">
        <v>423</v>
      </c>
      <c r="D345" s="240"/>
      <c r="E345" s="236" t="e">
        <f>SUM(E340:E344)</f>
        <v>#N/A</v>
      </c>
      <c r="F345" s="236" t="e">
        <f>SUM(F340:F344)</f>
        <v>#N/A</v>
      </c>
      <c r="G345" s="236" t="e">
        <f>SUM(G340:G344)</f>
        <v>#N/A</v>
      </c>
    </row>
    <row r="346" spans="1:8" ht="39.950000000000003" customHeight="1">
      <c r="A346" s="170" t="s">
        <v>303</v>
      </c>
      <c r="B346" s="71" t="s">
        <v>304</v>
      </c>
      <c r="C346" s="1370" t="s">
        <v>305</v>
      </c>
      <c r="D346" s="1370"/>
      <c r="E346" s="1370"/>
      <c r="F346" s="1370"/>
      <c r="G346" s="1370"/>
    </row>
    <row r="347" spans="1:8" s="12" customFormat="1" ht="17.100000000000001" customHeight="1">
      <c r="A347" s="170"/>
      <c r="B347" s="1376" t="s">
        <v>306</v>
      </c>
      <c r="C347" s="72" t="s">
        <v>307</v>
      </c>
      <c r="D347" s="45"/>
      <c r="E347" s="45"/>
      <c r="F347" s="31"/>
      <c r="G347" s="31"/>
      <c r="H347" s="45"/>
    </row>
    <row r="348" spans="1:8" s="12" customFormat="1" ht="17.100000000000001" customHeight="1">
      <c r="A348" s="170"/>
      <c r="B348" s="1376"/>
      <c r="C348" s="73" t="s">
        <v>308</v>
      </c>
      <c r="D348" s="45"/>
      <c r="E348" s="45"/>
      <c r="F348" s="31"/>
      <c r="G348" s="31"/>
      <c r="H348" s="45"/>
    </row>
    <row r="349" spans="1:8" s="12" customFormat="1" ht="24" customHeight="1">
      <c r="A349" s="170"/>
      <c r="B349" s="1376"/>
      <c r="C349" s="72" t="s">
        <v>309</v>
      </c>
      <c r="D349" s="45" t="s">
        <v>310</v>
      </c>
      <c r="E349" s="74">
        <v>1.05</v>
      </c>
      <c r="F349" s="31">
        <f>'lead(new)'!P8</f>
        <v>43000</v>
      </c>
      <c r="G349" s="31">
        <f>E349*F349</f>
        <v>45150</v>
      </c>
      <c r="H349" s="45"/>
    </row>
    <row r="350" spans="1:8" s="61" customFormat="1" ht="17.100000000000001" customHeight="1">
      <c r="A350" s="171"/>
      <c r="B350" s="75"/>
      <c r="C350" s="72" t="s">
        <v>311</v>
      </c>
      <c r="D350" s="59" t="s">
        <v>116</v>
      </c>
      <c r="E350" s="76">
        <v>6</v>
      </c>
      <c r="F350" s="49">
        <v>70</v>
      </c>
      <c r="G350" s="31">
        <f>E350*F350</f>
        <v>420</v>
      </c>
      <c r="H350" s="59"/>
    </row>
    <row r="351" spans="1:8" s="12" customFormat="1" ht="24" customHeight="1">
      <c r="A351" s="170"/>
      <c r="B351" s="77"/>
      <c r="C351" s="1377" t="s">
        <v>312</v>
      </c>
      <c r="D351" s="1377"/>
      <c r="E351" s="74"/>
      <c r="F351" s="31"/>
      <c r="G351" s="31"/>
      <c r="H351" s="45"/>
    </row>
    <row r="352" spans="1:8" s="12" customFormat="1" ht="17.100000000000001" customHeight="1">
      <c r="A352" s="170"/>
      <c r="B352" s="77"/>
      <c r="C352" s="72" t="s">
        <v>313</v>
      </c>
      <c r="D352" s="45" t="s">
        <v>186</v>
      </c>
      <c r="E352" s="74">
        <v>2</v>
      </c>
      <c r="F352" s="31">
        <v>320</v>
      </c>
      <c r="G352" s="31">
        <f>E352*F352</f>
        <v>640</v>
      </c>
      <c r="H352" s="45"/>
    </row>
    <row r="353" spans="1:8" s="12" customFormat="1" ht="17.100000000000001" customHeight="1">
      <c r="A353" s="170"/>
      <c r="B353" s="77"/>
      <c r="C353" s="72" t="s">
        <v>233</v>
      </c>
      <c r="D353" s="45" t="s">
        <v>186</v>
      </c>
      <c r="E353" s="74">
        <v>6.4</v>
      </c>
      <c r="F353" s="31">
        <v>280</v>
      </c>
      <c r="G353" s="31">
        <f>E353*F353</f>
        <v>1792</v>
      </c>
      <c r="H353" s="31"/>
    </row>
    <row r="354" spans="1:8" s="12" customFormat="1" ht="17.100000000000001" customHeight="1">
      <c r="A354" s="170"/>
      <c r="B354" s="45"/>
      <c r="C354" s="32" t="s">
        <v>162</v>
      </c>
      <c r="D354" s="29"/>
      <c r="E354" s="29"/>
      <c r="F354" s="29"/>
      <c r="G354" s="33"/>
      <c r="H354" s="31"/>
    </row>
    <row r="355" spans="1:8" s="12" customFormat="1" ht="17.100000000000001" customHeight="1">
      <c r="A355" s="170"/>
      <c r="B355" s="77"/>
      <c r="C355" s="72" t="s">
        <v>314</v>
      </c>
      <c r="D355" s="45"/>
      <c r="E355" s="74"/>
      <c r="F355" s="31"/>
      <c r="G355" s="31"/>
      <c r="H355" s="49"/>
    </row>
    <row r="356" spans="1:8" s="12" customFormat="1" ht="17.100000000000001" customHeight="1">
      <c r="A356" s="170"/>
      <c r="B356" s="77"/>
      <c r="C356" s="72" t="s">
        <v>315</v>
      </c>
      <c r="D356" s="45"/>
      <c r="E356" s="45"/>
      <c r="F356" s="31"/>
      <c r="G356" s="31"/>
      <c r="H356" s="31"/>
    </row>
    <row r="357" spans="1:8" s="12" customFormat="1" ht="17.100000000000001" customHeight="1">
      <c r="A357" s="170"/>
      <c r="B357" s="77"/>
      <c r="C357" s="72" t="s">
        <v>90</v>
      </c>
      <c r="D357" s="45"/>
      <c r="E357" s="45"/>
      <c r="F357" s="31"/>
      <c r="G357" s="31"/>
      <c r="H357" s="31"/>
    </row>
    <row r="358" spans="1:8" s="12" customFormat="1" ht="17.100000000000001" customHeight="1">
      <c r="A358" s="170"/>
      <c r="B358" s="77"/>
      <c r="C358" s="72" t="s">
        <v>316</v>
      </c>
      <c r="D358" s="45"/>
      <c r="E358" s="45"/>
      <c r="F358" s="31"/>
      <c r="G358" s="231">
        <f>SUM(G349:G357)</f>
        <v>48002</v>
      </c>
      <c r="H358" s="31"/>
    </row>
    <row r="359" spans="1:8" s="25" customFormat="1" ht="19.5" customHeight="1">
      <c r="A359" s="166"/>
      <c r="B359" s="54" t="s">
        <v>317</v>
      </c>
      <c r="C359" s="1369" t="s">
        <v>318</v>
      </c>
      <c r="D359" s="1369"/>
      <c r="E359" s="1369"/>
      <c r="F359" s="1369"/>
      <c r="G359" s="1369"/>
      <c r="H359" s="54"/>
    </row>
    <row r="360" spans="1:8" s="12" customFormat="1" ht="17.100000000000001" customHeight="1">
      <c r="A360" s="170"/>
      <c r="B360" s="45"/>
      <c r="C360" s="46" t="s">
        <v>225</v>
      </c>
      <c r="D360" s="31"/>
      <c r="E360" s="31"/>
      <c r="F360" s="31"/>
      <c r="G360" s="31"/>
      <c r="H360" s="45"/>
    </row>
    <row r="361" spans="1:8" s="12" customFormat="1" ht="17.100000000000001" customHeight="1">
      <c r="A361" s="170"/>
      <c r="B361" s="45"/>
      <c r="C361" s="47" t="s">
        <v>177</v>
      </c>
      <c r="D361" s="31"/>
      <c r="E361" s="31"/>
      <c r="F361" s="31"/>
      <c r="G361" s="31"/>
      <c r="H361" s="45"/>
    </row>
    <row r="362" spans="1:8" s="12" customFormat="1" ht="17.100000000000001" customHeight="1">
      <c r="A362" s="170"/>
      <c r="B362" s="45"/>
      <c r="C362" s="46" t="s">
        <v>104</v>
      </c>
      <c r="D362" s="31" t="s">
        <v>116</v>
      </c>
      <c r="E362" s="31">
        <v>48</v>
      </c>
      <c r="F362" s="31">
        <f>'lead(new)'!P7/1000</f>
        <v>5.2</v>
      </c>
      <c r="G362" s="31">
        <f t="shared" ref="G362:G368" si="5">E362*F362</f>
        <v>249.60000000000002</v>
      </c>
      <c r="H362" s="45"/>
    </row>
    <row r="363" spans="1:8" s="12" customFormat="1" ht="17.100000000000001" customHeight="1">
      <c r="A363" s="170"/>
      <c r="B363" s="45"/>
      <c r="C363" s="46" t="s">
        <v>319</v>
      </c>
      <c r="D363" s="31" t="s">
        <v>95</v>
      </c>
      <c r="E363" s="31">
        <v>512</v>
      </c>
      <c r="F363" s="31" t="e">
        <f>'lead(new)'!P12</f>
        <v>#N/A</v>
      </c>
      <c r="G363" s="31" t="e">
        <f>E363*F363/1000</f>
        <v>#N/A</v>
      </c>
      <c r="H363" s="45"/>
    </row>
    <row r="364" spans="1:8" s="12" customFormat="1" ht="17.100000000000001" customHeight="1">
      <c r="A364" s="170"/>
      <c r="B364" s="45"/>
      <c r="C364" s="46" t="s">
        <v>208</v>
      </c>
      <c r="D364" s="31" t="s">
        <v>112</v>
      </c>
      <c r="E364" s="31">
        <v>0.2</v>
      </c>
      <c r="F364" s="31" t="e">
        <f>'lead(new)'!P9</f>
        <v>#N/A</v>
      </c>
      <c r="G364" s="31" t="e">
        <f t="shared" si="5"/>
        <v>#N/A</v>
      </c>
      <c r="H364" s="45"/>
    </row>
    <row r="365" spans="1:8" s="12" customFormat="1" ht="17.100000000000001" customHeight="1">
      <c r="A365" s="170"/>
      <c r="B365" s="45"/>
      <c r="C365" s="47" t="s">
        <v>211</v>
      </c>
      <c r="D365" s="31"/>
      <c r="E365" s="31"/>
      <c r="F365" s="31"/>
      <c r="G365" s="31"/>
      <c r="H365" s="45"/>
    </row>
    <row r="366" spans="1:8" s="12" customFormat="1" ht="17.100000000000001" customHeight="1">
      <c r="A366" s="170"/>
      <c r="B366" s="45"/>
      <c r="C366" s="46" t="s">
        <v>212</v>
      </c>
      <c r="D366" s="31" t="s">
        <v>186</v>
      </c>
      <c r="E366" s="31">
        <v>0.24</v>
      </c>
      <c r="F366" s="31">
        <v>350</v>
      </c>
      <c r="G366" s="31">
        <f t="shared" si="5"/>
        <v>84</v>
      </c>
      <c r="H366" s="45"/>
    </row>
    <row r="367" spans="1:8" s="12" customFormat="1" ht="17.100000000000001" customHeight="1">
      <c r="A367" s="170"/>
      <c r="B367" s="45"/>
      <c r="C367" s="46" t="s">
        <v>320</v>
      </c>
      <c r="D367" s="31" t="s">
        <v>186</v>
      </c>
      <c r="E367" s="31">
        <v>0.56000000000000005</v>
      </c>
      <c r="F367" s="31">
        <v>320</v>
      </c>
      <c r="G367" s="31">
        <f t="shared" si="5"/>
        <v>179.20000000000002</v>
      </c>
      <c r="H367" s="45"/>
    </row>
    <row r="368" spans="1:8" s="12" customFormat="1" ht="17.100000000000001" customHeight="1">
      <c r="A368" s="170"/>
      <c r="B368" s="45"/>
      <c r="C368" s="46" t="s">
        <v>213</v>
      </c>
      <c r="D368" s="31" t="s">
        <v>186</v>
      </c>
      <c r="E368" s="31">
        <v>1.89</v>
      </c>
      <c r="F368" s="31">
        <v>280</v>
      </c>
      <c r="G368" s="31">
        <f t="shared" si="5"/>
        <v>529.19999999999993</v>
      </c>
      <c r="H368" s="31"/>
    </row>
    <row r="369" spans="1:8" s="12" customFormat="1" ht="17.100000000000001" customHeight="1">
      <c r="A369" s="170"/>
      <c r="B369" s="45"/>
      <c r="C369" s="72" t="s">
        <v>91</v>
      </c>
      <c r="D369" s="29"/>
      <c r="E369" s="29"/>
      <c r="F369" s="29"/>
      <c r="G369" s="33"/>
      <c r="H369" s="31"/>
    </row>
    <row r="370" spans="1:8" s="12" customFormat="1" ht="17.100000000000001" customHeight="1">
      <c r="A370" s="170"/>
      <c r="B370" s="45"/>
      <c r="C370" s="46" t="s">
        <v>187</v>
      </c>
      <c r="D370" s="31"/>
      <c r="E370" s="31"/>
      <c r="F370" s="31"/>
      <c r="G370" s="43" t="e">
        <f>SUM(G362:G369)</f>
        <v>#N/A</v>
      </c>
      <c r="H370" s="31"/>
    </row>
    <row r="371" spans="1:8" s="25" customFormat="1" ht="18" customHeight="1">
      <c r="A371" s="166"/>
      <c r="B371" s="54">
        <v>7</v>
      </c>
      <c r="C371" s="1369" t="s">
        <v>321</v>
      </c>
      <c r="D371" s="1369"/>
      <c r="E371" s="1369"/>
      <c r="F371" s="1369"/>
      <c r="G371" s="1369"/>
      <c r="H371" s="54"/>
    </row>
    <row r="372" spans="1:8" s="12" customFormat="1" ht="17.100000000000001" customHeight="1">
      <c r="A372" s="170"/>
      <c r="B372" s="45"/>
      <c r="C372" s="46" t="s">
        <v>225</v>
      </c>
      <c r="D372" s="31"/>
      <c r="E372" s="31"/>
      <c r="F372" s="31"/>
      <c r="G372" s="31"/>
      <c r="H372" s="45"/>
    </row>
    <row r="373" spans="1:8" s="12" customFormat="1" ht="17.100000000000001" customHeight="1">
      <c r="A373" s="170"/>
      <c r="B373" s="45"/>
      <c r="C373" s="47" t="s">
        <v>177</v>
      </c>
      <c r="D373" s="31"/>
      <c r="E373" s="31"/>
      <c r="F373" s="31"/>
      <c r="G373" s="31"/>
      <c r="H373" s="45"/>
    </row>
    <row r="374" spans="1:8" s="12" customFormat="1" ht="17.100000000000001" customHeight="1">
      <c r="A374" s="170"/>
      <c r="B374" s="45"/>
      <c r="C374" s="46" t="s">
        <v>104</v>
      </c>
      <c r="D374" s="31" t="s">
        <v>116</v>
      </c>
      <c r="E374" s="31">
        <v>36</v>
      </c>
      <c r="F374" s="31">
        <f>F362</f>
        <v>5.2</v>
      </c>
      <c r="G374" s="31">
        <f t="shared" ref="G374:G380" si="6">E374*F374</f>
        <v>187.20000000000002</v>
      </c>
      <c r="H374" s="45"/>
    </row>
    <row r="375" spans="1:8" s="12" customFormat="1" ht="17.100000000000001" customHeight="1">
      <c r="A375" s="170"/>
      <c r="B375" s="45"/>
      <c r="C375" s="46" t="s">
        <v>319</v>
      </c>
      <c r="D375" s="31" t="s">
        <v>95</v>
      </c>
      <c r="E375" s="31">
        <v>512</v>
      </c>
      <c r="F375" s="31" t="e">
        <f>F363</f>
        <v>#N/A</v>
      </c>
      <c r="G375" s="31" t="e">
        <f>E375*F375/1000</f>
        <v>#N/A</v>
      </c>
      <c r="H375" s="45"/>
    </row>
    <row r="376" spans="1:8" s="12" customFormat="1" ht="17.100000000000001" customHeight="1">
      <c r="A376" s="170"/>
      <c r="B376" s="45"/>
      <c r="C376" s="46" t="s">
        <v>208</v>
      </c>
      <c r="D376" s="31" t="s">
        <v>112</v>
      </c>
      <c r="E376" s="31">
        <v>0.2</v>
      </c>
      <c r="F376" s="31" t="e">
        <f>F364</f>
        <v>#N/A</v>
      </c>
      <c r="G376" s="31" t="e">
        <f t="shared" si="6"/>
        <v>#N/A</v>
      </c>
      <c r="H376" s="45"/>
    </row>
    <row r="377" spans="1:8" s="12" customFormat="1" ht="17.100000000000001" customHeight="1">
      <c r="A377" s="170"/>
      <c r="B377" s="45"/>
      <c r="C377" s="47" t="s">
        <v>211</v>
      </c>
      <c r="D377" s="31"/>
      <c r="E377" s="31"/>
      <c r="F377" s="31"/>
      <c r="G377" s="31"/>
      <c r="H377" s="45"/>
    </row>
    <row r="378" spans="1:8" s="12" customFormat="1" ht="17.100000000000001" customHeight="1">
      <c r="A378" s="170"/>
      <c r="B378" s="45"/>
      <c r="C378" s="46" t="s">
        <v>212</v>
      </c>
      <c r="D378" s="31" t="s">
        <v>186</v>
      </c>
      <c r="E378" s="31">
        <v>0.24</v>
      </c>
      <c r="F378" s="31">
        <f>F366</f>
        <v>350</v>
      </c>
      <c r="G378" s="31">
        <f t="shared" si="6"/>
        <v>84</v>
      </c>
      <c r="H378" s="45"/>
    </row>
    <row r="379" spans="1:8" s="12" customFormat="1" ht="17.100000000000001" customHeight="1">
      <c r="A379" s="170"/>
      <c r="B379" s="45"/>
      <c r="C379" s="46" t="s">
        <v>320</v>
      </c>
      <c r="D379" s="31" t="s">
        <v>186</v>
      </c>
      <c r="E379" s="31">
        <v>0.56000000000000005</v>
      </c>
      <c r="F379" s="31">
        <v>320</v>
      </c>
      <c r="G379" s="31">
        <f t="shared" si="6"/>
        <v>179.20000000000002</v>
      </c>
      <c r="H379" s="45"/>
    </row>
    <row r="380" spans="1:8" s="12" customFormat="1" ht="17.100000000000001" customHeight="1">
      <c r="A380" s="170"/>
      <c r="B380" s="45"/>
      <c r="C380" s="46" t="s">
        <v>213</v>
      </c>
      <c r="D380" s="31" t="s">
        <v>186</v>
      </c>
      <c r="E380" s="31">
        <v>1.89</v>
      </c>
      <c r="F380" s="31">
        <v>280</v>
      </c>
      <c r="G380" s="31">
        <f t="shared" si="6"/>
        <v>529.19999999999993</v>
      </c>
      <c r="H380" s="31"/>
    </row>
    <row r="381" spans="1:8" s="12" customFormat="1" ht="17.100000000000001" customHeight="1">
      <c r="A381" s="170"/>
      <c r="B381" s="45"/>
      <c r="C381" s="72" t="s">
        <v>91</v>
      </c>
      <c r="D381" s="29"/>
      <c r="E381" s="29"/>
      <c r="F381" s="29"/>
      <c r="G381" s="33"/>
      <c r="H381" s="31"/>
    </row>
    <row r="382" spans="1:8" s="12" customFormat="1" ht="17.100000000000001" customHeight="1">
      <c r="A382" s="170"/>
      <c r="B382" s="45"/>
      <c r="C382" s="46" t="s">
        <v>187</v>
      </c>
      <c r="D382" s="31"/>
      <c r="E382" s="31"/>
      <c r="F382" s="31"/>
      <c r="G382" s="43" t="e">
        <f>ROUND(SUM(G374:G381),2)</f>
        <v>#N/A</v>
      </c>
      <c r="H382" s="31"/>
    </row>
    <row r="383" spans="1:8" s="69" customFormat="1" ht="17.100000000000001" customHeight="1">
      <c r="A383" s="172" t="s">
        <v>322</v>
      </c>
      <c r="B383" s="66"/>
      <c r="C383" s="55" t="s">
        <v>323</v>
      </c>
      <c r="D383" s="66"/>
      <c r="E383" s="78"/>
      <c r="F383" s="67"/>
      <c r="G383" s="67"/>
      <c r="H383" s="66"/>
    </row>
    <row r="384" spans="1:8" s="44" customFormat="1" ht="18.75" customHeight="1">
      <c r="A384" s="166" t="s">
        <v>324</v>
      </c>
      <c r="B384" s="14">
        <v>8</v>
      </c>
      <c r="C384" s="79" t="s">
        <v>325</v>
      </c>
      <c r="D384" s="43"/>
      <c r="E384" s="43"/>
      <c r="F384" s="43"/>
      <c r="G384" s="43"/>
      <c r="H384" s="14"/>
    </row>
    <row r="385" spans="1:8" s="12" customFormat="1" ht="17.100000000000001" customHeight="1">
      <c r="A385" s="170"/>
      <c r="B385" s="45"/>
      <c r="C385" s="46" t="s">
        <v>326</v>
      </c>
      <c r="D385" s="31"/>
      <c r="E385" s="31"/>
      <c r="F385" s="31"/>
      <c r="G385" s="31"/>
      <c r="H385" s="45"/>
    </row>
    <row r="386" spans="1:8" s="12" customFormat="1" ht="17.100000000000001" customHeight="1">
      <c r="A386" s="170"/>
      <c r="B386" s="45"/>
      <c r="C386" s="47" t="s">
        <v>177</v>
      </c>
      <c r="D386" s="31"/>
      <c r="E386" s="31"/>
      <c r="F386" s="31"/>
      <c r="G386" s="31"/>
      <c r="H386" s="45"/>
    </row>
    <row r="387" spans="1:8" s="12" customFormat="1" ht="17.100000000000001" customHeight="1">
      <c r="A387" s="170"/>
      <c r="B387" s="45"/>
      <c r="C387" s="46" t="s">
        <v>327</v>
      </c>
      <c r="D387" s="31" t="s">
        <v>112</v>
      </c>
      <c r="E387" s="31">
        <v>0.15</v>
      </c>
      <c r="F387" s="49" t="e">
        <f>G49</f>
        <v>#N/A</v>
      </c>
      <c r="G387" s="31" t="e">
        <f>E387*F387</f>
        <v>#N/A</v>
      </c>
      <c r="H387" s="45"/>
    </row>
    <row r="388" spans="1:8" s="12" customFormat="1" ht="17.100000000000001" customHeight="1">
      <c r="A388" s="170"/>
      <c r="B388" s="45"/>
      <c r="C388" s="46" t="s">
        <v>210</v>
      </c>
      <c r="D388" s="31" t="s">
        <v>112</v>
      </c>
      <c r="E388" s="31">
        <v>0.15</v>
      </c>
      <c r="F388" s="31">
        <v>40</v>
      </c>
      <c r="G388" s="31"/>
      <c r="H388" s="45"/>
    </row>
    <row r="389" spans="1:8" s="12" customFormat="1" ht="17.100000000000001" customHeight="1">
      <c r="A389" s="170"/>
      <c r="B389" s="45"/>
      <c r="C389" s="47" t="s">
        <v>211</v>
      </c>
      <c r="D389" s="31"/>
      <c r="E389" s="31"/>
      <c r="F389" s="31"/>
      <c r="G389" s="31"/>
      <c r="H389" s="45"/>
    </row>
    <row r="390" spans="1:8" s="12" customFormat="1" ht="17.100000000000001" customHeight="1">
      <c r="A390" s="170"/>
      <c r="B390" s="45"/>
      <c r="C390" s="46" t="s">
        <v>212</v>
      </c>
      <c r="D390" s="31" t="s">
        <v>186</v>
      </c>
      <c r="E390" s="31">
        <v>0.6</v>
      </c>
      <c r="F390" s="49">
        <v>350</v>
      </c>
      <c r="G390" s="31">
        <f>E390*F390</f>
        <v>210</v>
      </c>
      <c r="H390" s="45"/>
    </row>
    <row r="391" spans="1:8" s="12" customFormat="1" ht="17.100000000000001" customHeight="1">
      <c r="A391" s="170"/>
      <c r="B391" s="45"/>
      <c r="C391" s="46" t="s">
        <v>213</v>
      </c>
      <c r="D391" s="31" t="s">
        <v>186</v>
      </c>
      <c r="E391" s="31">
        <v>0.96</v>
      </c>
      <c r="F391" s="49">
        <v>280</v>
      </c>
      <c r="G391" s="31">
        <f>E391*F391</f>
        <v>268.8</v>
      </c>
      <c r="H391" s="31"/>
    </row>
    <row r="392" spans="1:8" s="12" customFormat="1" ht="17.100000000000001" customHeight="1">
      <c r="A392" s="170"/>
      <c r="B392" s="45"/>
      <c r="C392" s="72" t="s">
        <v>91</v>
      </c>
      <c r="D392" s="29"/>
      <c r="E392" s="29"/>
      <c r="F392" s="29"/>
      <c r="G392" s="33"/>
      <c r="H392" s="31"/>
    </row>
    <row r="393" spans="1:8" s="12" customFormat="1" ht="17.100000000000001" customHeight="1">
      <c r="A393" s="170"/>
      <c r="B393" s="45"/>
      <c r="C393" s="46" t="s">
        <v>187</v>
      </c>
      <c r="D393" s="31"/>
      <c r="E393" s="31"/>
      <c r="F393" s="31"/>
      <c r="G393" s="202" t="e">
        <f>SUM(G387:G392)</f>
        <v>#N/A</v>
      </c>
      <c r="H393" s="31"/>
    </row>
    <row r="394" spans="1:8" ht="17.25" customHeight="1">
      <c r="A394" s="170" t="s">
        <v>328</v>
      </c>
      <c r="B394" s="38">
        <v>9</v>
      </c>
      <c r="C394" s="50" t="s">
        <v>329</v>
      </c>
      <c r="D394" s="51"/>
    </row>
    <row r="395" spans="1:8" ht="12.75" customHeight="1">
      <c r="C395" s="50" t="s">
        <v>326</v>
      </c>
      <c r="D395" s="51"/>
    </row>
    <row r="396" spans="1:8">
      <c r="C396" s="50" t="s">
        <v>177</v>
      </c>
      <c r="D396" s="51"/>
    </row>
    <row r="397" spans="1:8">
      <c r="C397" s="50" t="s">
        <v>330</v>
      </c>
      <c r="D397" s="51" t="s">
        <v>112</v>
      </c>
      <c r="E397" s="51">
        <v>0.15</v>
      </c>
      <c r="F397" s="52" t="e">
        <f>G61</f>
        <v>#N/A</v>
      </c>
      <c r="G397" s="52" t="e">
        <f>F397*E397</f>
        <v>#N/A</v>
      </c>
    </row>
    <row r="398" spans="1:8">
      <c r="C398" s="50" t="s">
        <v>211</v>
      </c>
      <c r="D398" s="51"/>
      <c r="G398" s="52"/>
    </row>
    <row r="399" spans="1:8" ht="14.25">
      <c r="C399" s="50" t="s">
        <v>212</v>
      </c>
      <c r="D399" s="51" t="s">
        <v>186</v>
      </c>
      <c r="E399" s="51">
        <v>0.6</v>
      </c>
      <c r="F399" s="52">
        <v>350</v>
      </c>
      <c r="G399" s="52">
        <f>F399*E399</f>
        <v>210</v>
      </c>
    </row>
    <row r="400" spans="1:8">
      <c r="C400" s="50" t="s">
        <v>213</v>
      </c>
      <c r="D400" s="51" t="s">
        <v>186</v>
      </c>
      <c r="E400" s="51">
        <v>0.96</v>
      </c>
      <c r="F400" s="52">
        <v>280</v>
      </c>
      <c r="G400" s="52">
        <f>F400*E400</f>
        <v>268.8</v>
      </c>
    </row>
    <row r="401" spans="1:8" ht="12.75" customHeight="1">
      <c r="C401" s="50" t="s">
        <v>187</v>
      </c>
      <c r="D401" s="51"/>
      <c r="G401" s="201" t="e">
        <f>SUM(G397:G400)</f>
        <v>#N/A</v>
      </c>
    </row>
    <row r="402" spans="1:8" ht="11.25" hidden="1" customHeight="1">
      <c r="A402" s="170" t="s">
        <v>339</v>
      </c>
      <c r="B402" s="38">
        <v>55</v>
      </c>
      <c r="C402" s="53" t="s">
        <v>340</v>
      </c>
      <c r="D402" s="51"/>
    </row>
    <row r="403" spans="1:8" ht="12.75" hidden="1" customHeight="1">
      <c r="C403" s="53" t="s">
        <v>326</v>
      </c>
      <c r="D403" s="51"/>
    </row>
    <row r="404" spans="1:8" hidden="1">
      <c r="C404" s="53" t="s">
        <v>177</v>
      </c>
      <c r="D404" s="51"/>
    </row>
    <row r="405" spans="1:8" s="82" customFormat="1" hidden="1">
      <c r="A405" s="171"/>
      <c r="B405" s="80"/>
      <c r="C405" s="53" t="s">
        <v>341</v>
      </c>
      <c r="D405" s="52" t="s">
        <v>112</v>
      </c>
      <c r="E405" s="81">
        <v>0.15</v>
      </c>
      <c r="F405" s="52"/>
      <c r="G405" s="52"/>
      <c r="H405" s="80"/>
    </row>
    <row r="406" spans="1:8" s="82" customFormat="1" hidden="1">
      <c r="A406" s="171"/>
      <c r="B406" s="80"/>
      <c r="C406" s="53" t="s">
        <v>210</v>
      </c>
      <c r="D406" s="52" t="s">
        <v>112</v>
      </c>
      <c r="E406" s="81">
        <v>0.15</v>
      </c>
      <c r="F406" s="52"/>
      <c r="G406" s="52"/>
      <c r="H406" s="80"/>
    </row>
    <row r="407" spans="1:8" hidden="1">
      <c r="C407" s="53" t="s">
        <v>211</v>
      </c>
      <c r="D407" s="51"/>
    </row>
    <row r="408" spans="1:8" ht="14.25" hidden="1">
      <c r="C408" s="53" t="s">
        <v>212</v>
      </c>
      <c r="D408" s="51" t="s">
        <v>186</v>
      </c>
      <c r="E408" s="51">
        <v>0.6</v>
      </c>
      <c r="F408" s="52"/>
      <c r="G408" s="52"/>
    </row>
    <row r="409" spans="1:8" hidden="1">
      <c r="C409" s="53" t="s">
        <v>213</v>
      </c>
      <c r="D409" s="51" t="s">
        <v>186</v>
      </c>
      <c r="E409" s="51">
        <v>0.96</v>
      </c>
      <c r="F409" s="52"/>
      <c r="G409" s="52"/>
    </row>
    <row r="410" spans="1:8" ht="12" hidden="1" customHeight="1">
      <c r="C410" s="53" t="s">
        <v>187</v>
      </c>
      <c r="D410" s="51"/>
    </row>
    <row r="411" spans="1:8" ht="12.75" hidden="1" customHeight="1">
      <c r="A411" s="170" t="s">
        <v>342</v>
      </c>
      <c r="B411" s="38">
        <v>56</v>
      </c>
      <c r="C411" s="53" t="s">
        <v>343</v>
      </c>
      <c r="D411" s="51"/>
    </row>
    <row r="412" spans="1:8" ht="12.75" hidden="1" customHeight="1">
      <c r="C412" s="53" t="s">
        <v>326</v>
      </c>
      <c r="D412" s="51"/>
    </row>
    <row r="413" spans="1:8" hidden="1">
      <c r="C413" s="53" t="s">
        <v>177</v>
      </c>
      <c r="D413" s="51"/>
    </row>
    <row r="414" spans="1:8" s="82" customFormat="1" hidden="1">
      <c r="A414" s="171"/>
      <c r="B414" s="80"/>
      <c r="C414" s="53" t="s">
        <v>344</v>
      </c>
      <c r="D414" s="52" t="s">
        <v>112</v>
      </c>
      <c r="E414" s="51">
        <v>0.15</v>
      </c>
      <c r="F414" s="52"/>
      <c r="G414" s="52"/>
      <c r="H414" s="80"/>
    </row>
    <row r="415" spans="1:8" s="82" customFormat="1" hidden="1">
      <c r="A415" s="171"/>
      <c r="B415" s="80"/>
      <c r="C415" s="53" t="s">
        <v>210</v>
      </c>
      <c r="D415" s="52" t="s">
        <v>112</v>
      </c>
      <c r="E415" s="51">
        <v>0.15</v>
      </c>
      <c r="F415" s="52"/>
      <c r="G415" s="52"/>
      <c r="H415" s="80"/>
    </row>
    <row r="416" spans="1:8" hidden="1">
      <c r="C416" s="53" t="s">
        <v>211</v>
      </c>
      <c r="D416" s="51"/>
    </row>
    <row r="417" spans="1:8" ht="14.25" hidden="1">
      <c r="C417" s="53" t="s">
        <v>212</v>
      </c>
      <c r="D417" s="51" t="s">
        <v>186</v>
      </c>
      <c r="E417" s="51">
        <v>0.6</v>
      </c>
      <c r="F417" s="52"/>
      <c r="G417" s="52"/>
    </row>
    <row r="418" spans="1:8" hidden="1">
      <c r="C418" s="53" t="s">
        <v>213</v>
      </c>
      <c r="D418" s="51" t="s">
        <v>186</v>
      </c>
      <c r="E418" s="51">
        <v>0.96</v>
      </c>
      <c r="F418" s="52"/>
      <c r="G418" s="52"/>
    </row>
    <row r="419" spans="1:8" ht="11.25" hidden="1" customHeight="1">
      <c r="C419" s="53" t="s">
        <v>187</v>
      </c>
      <c r="D419" s="51"/>
    </row>
    <row r="420" spans="1:8" ht="12" hidden="1" customHeight="1">
      <c r="A420" s="170" t="s">
        <v>345</v>
      </c>
      <c r="B420" s="38">
        <v>57</v>
      </c>
      <c r="C420" s="53" t="s">
        <v>346</v>
      </c>
      <c r="D420" s="51"/>
    </row>
    <row r="421" spans="1:8" ht="12.75" hidden="1" customHeight="1">
      <c r="C421" s="53" t="s">
        <v>326</v>
      </c>
      <c r="D421" s="51"/>
    </row>
    <row r="422" spans="1:8" hidden="1">
      <c r="C422" s="53" t="s">
        <v>177</v>
      </c>
      <c r="D422" s="51"/>
    </row>
    <row r="423" spans="1:8" s="82" customFormat="1" hidden="1">
      <c r="A423" s="171"/>
      <c r="B423" s="80"/>
      <c r="C423" s="53" t="s">
        <v>341</v>
      </c>
      <c r="D423" s="52" t="s">
        <v>112</v>
      </c>
      <c r="E423" s="51">
        <v>0.15</v>
      </c>
      <c r="F423" s="52"/>
      <c r="G423" s="52"/>
      <c r="H423" s="80"/>
    </row>
    <row r="424" spans="1:8" s="82" customFormat="1" hidden="1">
      <c r="A424" s="171"/>
      <c r="B424" s="80"/>
      <c r="C424" s="53" t="s">
        <v>210</v>
      </c>
      <c r="D424" s="52" t="s">
        <v>112</v>
      </c>
      <c r="E424" s="51">
        <v>0.15</v>
      </c>
      <c r="F424" s="52"/>
      <c r="G424" s="52"/>
      <c r="H424" s="80"/>
    </row>
    <row r="425" spans="1:8" hidden="1">
      <c r="C425" s="53" t="s">
        <v>211</v>
      </c>
      <c r="D425" s="51"/>
    </row>
    <row r="426" spans="1:8" ht="14.25" hidden="1">
      <c r="C426" s="53" t="s">
        <v>212</v>
      </c>
      <c r="D426" s="51" t="s">
        <v>186</v>
      </c>
      <c r="E426" s="51">
        <v>0.6</v>
      </c>
      <c r="F426" s="52"/>
      <c r="G426" s="52"/>
    </row>
    <row r="427" spans="1:8" hidden="1">
      <c r="C427" s="53" t="s">
        <v>213</v>
      </c>
      <c r="D427" s="51" t="s">
        <v>186</v>
      </c>
      <c r="E427" s="51">
        <v>0.96</v>
      </c>
      <c r="F427" s="52"/>
      <c r="G427" s="52"/>
    </row>
    <row r="428" spans="1:8" ht="12.75" hidden="1" customHeight="1">
      <c r="C428" s="53" t="s">
        <v>187</v>
      </c>
      <c r="D428" s="51"/>
    </row>
    <row r="429" spans="1:8" ht="14.25" hidden="1" customHeight="1">
      <c r="A429" s="170" t="s">
        <v>347</v>
      </c>
      <c r="B429" s="38">
        <v>58</v>
      </c>
      <c r="C429" s="50" t="s">
        <v>348</v>
      </c>
      <c r="D429" s="51"/>
    </row>
    <row r="430" spans="1:8" ht="12.75" hidden="1" customHeight="1">
      <c r="C430" s="50" t="s">
        <v>326</v>
      </c>
      <c r="D430" s="51"/>
    </row>
    <row r="431" spans="1:8" hidden="1">
      <c r="C431" s="50" t="s">
        <v>177</v>
      </c>
      <c r="D431" s="51"/>
    </row>
    <row r="432" spans="1:8" ht="12.75" hidden="1" customHeight="1">
      <c r="C432" s="50" t="s">
        <v>330</v>
      </c>
      <c r="D432" s="51" t="s">
        <v>112</v>
      </c>
      <c r="E432" s="51">
        <v>0.19</v>
      </c>
      <c r="F432" s="52"/>
      <c r="G432" s="52"/>
    </row>
    <row r="433" spans="1:7" hidden="1">
      <c r="C433" s="50" t="s">
        <v>210</v>
      </c>
      <c r="D433" s="51" t="s">
        <v>112</v>
      </c>
      <c r="E433" s="51">
        <v>0.19</v>
      </c>
    </row>
    <row r="434" spans="1:7" hidden="1">
      <c r="C434" s="50" t="s">
        <v>211</v>
      </c>
      <c r="D434" s="51"/>
    </row>
    <row r="435" spans="1:7" ht="14.25" hidden="1">
      <c r="C435" s="50" t="s">
        <v>320</v>
      </c>
      <c r="D435" s="51" t="s">
        <v>186</v>
      </c>
      <c r="E435" s="51">
        <v>0.6</v>
      </c>
      <c r="F435" s="52"/>
      <c r="G435" s="52"/>
    </row>
    <row r="436" spans="1:7" hidden="1">
      <c r="C436" s="50" t="s">
        <v>213</v>
      </c>
      <c r="D436" s="51" t="s">
        <v>186</v>
      </c>
      <c r="E436" s="51">
        <v>0.96</v>
      </c>
      <c r="F436" s="52"/>
      <c r="G436" s="52"/>
    </row>
    <row r="437" spans="1:7" ht="10.5" hidden="1" customHeight="1">
      <c r="C437" s="50" t="s">
        <v>187</v>
      </c>
      <c r="D437" s="51"/>
    </row>
    <row r="438" spans="1:7" ht="12" hidden="1" customHeight="1">
      <c r="A438" s="170" t="s">
        <v>349</v>
      </c>
      <c r="B438" s="38">
        <v>59</v>
      </c>
      <c r="C438" s="53" t="s">
        <v>350</v>
      </c>
      <c r="D438" s="51"/>
    </row>
    <row r="439" spans="1:7" hidden="1">
      <c r="C439" s="53" t="s">
        <v>326</v>
      </c>
      <c r="D439" s="51"/>
    </row>
    <row r="440" spans="1:7" hidden="1">
      <c r="C440" s="53" t="s">
        <v>177</v>
      </c>
      <c r="D440" s="51"/>
    </row>
    <row r="441" spans="1:7" ht="12.75" hidden="1" customHeight="1">
      <c r="C441" s="53" t="s">
        <v>330</v>
      </c>
      <c r="D441" s="51" t="s">
        <v>112</v>
      </c>
      <c r="E441" s="56">
        <v>0.21</v>
      </c>
      <c r="F441" s="52"/>
      <c r="G441" s="52"/>
    </row>
    <row r="442" spans="1:7" hidden="1">
      <c r="C442" s="53" t="s">
        <v>210</v>
      </c>
      <c r="D442" s="51" t="s">
        <v>112</v>
      </c>
      <c r="E442" s="51">
        <v>0.21</v>
      </c>
    </row>
    <row r="443" spans="1:7" hidden="1">
      <c r="C443" s="53" t="s">
        <v>211</v>
      </c>
      <c r="D443" s="51"/>
    </row>
    <row r="444" spans="1:7" ht="14.25" hidden="1">
      <c r="C444" s="53" t="s">
        <v>320</v>
      </c>
      <c r="D444" s="51" t="s">
        <v>186</v>
      </c>
      <c r="E444" s="51">
        <v>0.94</v>
      </c>
      <c r="F444" s="52"/>
      <c r="G444" s="52"/>
    </row>
    <row r="445" spans="1:7" hidden="1">
      <c r="C445" s="53" t="s">
        <v>213</v>
      </c>
      <c r="D445" s="51" t="s">
        <v>186</v>
      </c>
      <c r="E445" s="51">
        <v>1.6</v>
      </c>
      <c r="F445" s="52"/>
      <c r="G445" s="52"/>
    </row>
    <row r="446" spans="1:7" ht="12.75" hidden="1" customHeight="1">
      <c r="C446" s="53" t="s">
        <v>187</v>
      </c>
      <c r="D446" s="51"/>
    </row>
    <row r="447" spans="1:7" ht="12.75" hidden="1" customHeight="1">
      <c r="A447" s="170" t="s">
        <v>351</v>
      </c>
      <c r="B447" s="38">
        <v>60</v>
      </c>
      <c r="C447" s="50" t="s">
        <v>352</v>
      </c>
      <c r="D447" s="51"/>
    </row>
    <row r="448" spans="1:7" hidden="1">
      <c r="C448" s="50" t="s">
        <v>326</v>
      </c>
      <c r="D448" s="51"/>
    </row>
    <row r="449" spans="1:9" hidden="1">
      <c r="C449" s="50" t="s">
        <v>177</v>
      </c>
      <c r="D449" s="51"/>
    </row>
    <row r="450" spans="1:9" hidden="1">
      <c r="C450" s="50" t="s">
        <v>327</v>
      </c>
      <c r="D450" s="51" t="s">
        <v>112</v>
      </c>
      <c r="E450" s="56">
        <v>0.21</v>
      </c>
      <c r="F450" s="52"/>
      <c r="G450" s="52"/>
    </row>
    <row r="451" spans="1:9" hidden="1">
      <c r="C451" s="50" t="s">
        <v>210</v>
      </c>
      <c r="D451" s="51" t="s">
        <v>112</v>
      </c>
      <c r="E451" s="51">
        <v>0.21</v>
      </c>
    </row>
    <row r="452" spans="1:9" hidden="1">
      <c r="C452" s="50" t="s">
        <v>211</v>
      </c>
      <c r="D452" s="51"/>
    </row>
    <row r="453" spans="1:9" ht="14.25" hidden="1">
      <c r="C453" s="50" t="s">
        <v>320</v>
      </c>
      <c r="D453" s="51" t="s">
        <v>186</v>
      </c>
      <c r="E453" s="51">
        <v>0.94</v>
      </c>
      <c r="F453" s="52"/>
      <c r="G453" s="52"/>
    </row>
    <row r="454" spans="1:9" hidden="1">
      <c r="C454" s="50" t="s">
        <v>213</v>
      </c>
      <c r="D454" s="51" t="s">
        <v>186</v>
      </c>
      <c r="E454" s="51">
        <v>1.6</v>
      </c>
      <c r="F454" s="52"/>
      <c r="G454" s="52"/>
    </row>
    <row r="455" spans="1:9" ht="12" hidden="1" customHeight="1">
      <c r="C455" s="50" t="s">
        <v>187</v>
      </c>
      <c r="D455" s="51"/>
    </row>
    <row r="456" spans="1:9" ht="24" hidden="1" customHeight="1">
      <c r="C456" s="1374" t="s">
        <v>353</v>
      </c>
      <c r="D456" s="1374"/>
    </row>
    <row r="457" spans="1:9" s="44" customFormat="1" ht="17.100000000000001" customHeight="1">
      <c r="A457" s="166"/>
      <c r="B457" s="14">
        <v>54</v>
      </c>
      <c r="C457" s="79" t="s">
        <v>352</v>
      </c>
      <c r="D457" s="55"/>
      <c r="E457" s="43"/>
      <c r="F457" s="43"/>
      <c r="G457" s="43"/>
      <c r="H457" s="14"/>
    </row>
    <row r="458" spans="1:9" s="12" customFormat="1" ht="17.100000000000001" customHeight="1">
      <c r="A458" s="170"/>
      <c r="B458" s="45"/>
      <c r="C458" s="46" t="s">
        <v>326</v>
      </c>
      <c r="D458" s="31"/>
      <c r="E458" s="31"/>
      <c r="F458" s="31"/>
      <c r="G458" s="31"/>
      <c r="H458" s="45"/>
    </row>
    <row r="459" spans="1:9" s="12" customFormat="1" ht="17.100000000000001" customHeight="1">
      <c r="A459" s="170"/>
      <c r="B459" s="45"/>
      <c r="C459" s="47" t="s">
        <v>177</v>
      </c>
      <c r="D459" s="31"/>
      <c r="E459" s="31"/>
      <c r="F459" s="31"/>
      <c r="G459" s="31"/>
      <c r="H459" s="45"/>
    </row>
    <row r="460" spans="1:9" s="12" customFormat="1" ht="17.100000000000001" customHeight="1">
      <c r="A460" s="170"/>
      <c r="B460" s="45"/>
      <c r="C460" s="46" t="s">
        <v>327</v>
      </c>
      <c r="D460" s="31" t="s">
        <v>112</v>
      </c>
      <c r="E460" s="31">
        <v>0.21</v>
      </c>
      <c r="F460" s="49" t="e">
        <f>F387</f>
        <v>#N/A</v>
      </c>
      <c r="G460" s="31" t="e">
        <f t="shared" ref="G460:G465" si="7">E460*F460</f>
        <v>#N/A</v>
      </c>
      <c r="H460" s="45"/>
    </row>
    <row r="461" spans="1:9" s="12" customFormat="1" ht="17.100000000000001" customHeight="1">
      <c r="A461" s="170"/>
      <c r="B461" s="45"/>
      <c r="C461" s="46" t="s">
        <v>210</v>
      </c>
      <c r="D461" s="31" t="s">
        <v>112</v>
      </c>
      <c r="E461" s="31">
        <v>0.15</v>
      </c>
      <c r="F461" s="31">
        <v>40</v>
      </c>
      <c r="G461" s="31"/>
      <c r="H461" s="45"/>
      <c r="I461" s="83"/>
    </row>
    <row r="462" spans="1:9" s="12" customFormat="1" ht="17.100000000000001" customHeight="1">
      <c r="A462" s="170"/>
      <c r="B462" s="45"/>
      <c r="C462" s="47" t="s">
        <v>211</v>
      </c>
      <c r="D462" s="31"/>
      <c r="E462" s="31"/>
      <c r="F462" s="31"/>
      <c r="G462" s="31">
        <f t="shared" si="7"/>
        <v>0</v>
      </c>
      <c r="H462" s="45"/>
      <c r="I462" s="83"/>
    </row>
    <row r="463" spans="1:9" s="12" customFormat="1" ht="17.100000000000001" customHeight="1">
      <c r="A463" s="170"/>
      <c r="B463" s="45"/>
      <c r="C463" s="46" t="s">
        <v>212</v>
      </c>
      <c r="D463" s="31" t="s">
        <v>186</v>
      </c>
      <c r="E463" s="31">
        <v>0.66</v>
      </c>
      <c r="F463" s="49">
        <v>350</v>
      </c>
      <c r="G463" s="31">
        <f t="shared" si="7"/>
        <v>231</v>
      </c>
      <c r="H463" s="45"/>
      <c r="I463" s="31"/>
    </row>
    <row r="464" spans="1:9" s="12" customFormat="1" ht="17.100000000000001" customHeight="1">
      <c r="A464" s="170"/>
      <c r="B464" s="45"/>
      <c r="C464" s="46" t="s">
        <v>354</v>
      </c>
      <c r="D464" s="31" t="s">
        <v>186</v>
      </c>
      <c r="E464" s="31">
        <v>1.54</v>
      </c>
      <c r="F464" s="49">
        <v>320</v>
      </c>
      <c r="G464" s="31">
        <f t="shared" si="7"/>
        <v>492.8</v>
      </c>
      <c r="H464" s="31"/>
    </row>
    <row r="465" spans="1:8" s="12" customFormat="1" ht="17.100000000000001" customHeight="1">
      <c r="A465" s="170"/>
      <c r="B465" s="45"/>
      <c r="C465" s="46" t="s">
        <v>213</v>
      </c>
      <c r="D465" s="31" t="s">
        <v>186</v>
      </c>
      <c r="E465" s="31">
        <v>3.7</v>
      </c>
      <c r="F465" s="49">
        <v>280</v>
      </c>
      <c r="G465" s="31">
        <f t="shared" si="7"/>
        <v>1036</v>
      </c>
      <c r="H465" s="31"/>
    </row>
    <row r="466" spans="1:8" s="12" customFormat="1" ht="17.100000000000001" customHeight="1">
      <c r="A466" s="170"/>
      <c r="B466" s="45"/>
      <c r="C466" s="72" t="s">
        <v>91</v>
      </c>
      <c r="D466" s="29"/>
      <c r="E466" s="29"/>
      <c r="F466" s="29"/>
      <c r="G466" s="33"/>
      <c r="H466" s="31"/>
    </row>
    <row r="467" spans="1:8" s="12" customFormat="1" ht="17.100000000000001" customHeight="1">
      <c r="A467" s="170"/>
      <c r="B467" s="45"/>
      <c r="C467" s="46" t="s">
        <v>187</v>
      </c>
      <c r="D467" s="31"/>
      <c r="E467" s="31"/>
      <c r="F467" s="31"/>
      <c r="G467" s="31" t="e">
        <f>SUM(G460:G466)</f>
        <v>#N/A</v>
      </c>
      <c r="H467" s="31"/>
    </row>
    <row r="468" spans="1:8" s="25" customFormat="1" ht="30" hidden="1" customHeight="1">
      <c r="A468" s="166" t="s">
        <v>355</v>
      </c>
      <c r="B468" s="54">
        <v>61</v>
      </c>
      <c r="C468" s="1375" t="s">
        <v>356</v>
      </c>
      <c r="D468" s="1375"/>
      <c r="E468" s="1375"/>
      <c r="F468" s="1375"/>
      <c r="G468" s="1375"/>
      <c r="H468" s="54" t="s">
        <v>357</v>
      </c>
    </row>
    <row r="469" spans="1:8" s="12" customFormat="1" ht="17.100000000000001" hidden="1" customHeight="1">
      <c r="A469" s="170"/>
      <c r="B469" s="45"/>
      <c r="C469" s="48" t="s">
        <v>326</v>
      </c>
      <c r="D469" s="31"/>
      <c r="E469" s="31"/>
      <c r="F469" s="31"/>
      <c r="G469" s="31"/>
      <c r="H469" s="45"/>
    </row>
    <row r="470" spans="1:8" s="12" customFormat="1" ht="17.100000000000001" hidden="1" customHeight="1">
      <c r="A470" s="170"/>
      <c r="B470" s="45"/>
      <c r="C470" s="55" t="s">
        <v>177</v>
      </c>
      <c r="D470" s="31"/>
      <c r="E470" s="31"/>
      <c r="F470" s="31"/>
      <c r="G470" s="31"/>
      <c r="H470" s="45"/>
    </row>
    <row r="471" spans="1:8" s="12" customFormat="1" ht="17.100000000000001" hidden="1" customHeight="1">
      <c r="A471" s="170"/>
      <c r="B471" s="45"/>
      <c r="C471" s="48" t="s">
        <v>358</v>
      </c>
      <c r="D471" s="31"/>
      <c r="E471" s="31"/>
      <c r="F471" s="31"/>
      <c r="G471" s="31"/>
      <c r="H471" s="45"/>
    </row>
    <row r="472" spans="1:8" s="12" customFormat="1" ht="17.100000000000001" hidden="1" customHeight="1">
      <c r="A472" s="170"/>
      <c r="B472" s="45"/>
      <c r="C472" s="48" t="s">
        <v>104</v>
      </c>
      <c r="D472" s="31" t="s">
        <v>116</v>
      </c>
      <c r="E472" s="31">
        <v>43</v>
      </c>
      <c r="F472" s="49">
        <f>'lead(new)'!P7/1000</f>
        <v>5.2</v>
      </c>
      <c r="G472" s="31">
        <f t="shared" ref="G472:G481" si="8">E472*F472</f>
        <v>223.6</v>
      </c>
      <c r="H472" s="45"/>
    </row>
    <row r="473" spans="1:8" s="12" customFormat="1" ht="17.100000000000001" hidden="1" customHeight="1">
      <c r="A473" s="170"/>
      <c r="B473" s="45"/>
      <c r="C473" s="48" t="s">
        <v>208</v>
      </c>
      <c r="D473" s="31" t="s">
        <v>112</v>
      </c>
      <c r="E473" s="31">
        <v>0.11</v>
      </c>
      <c r="F473" s="49" t="e">
        <f>'lead(new)'!P9</f>
        <v>#N/A</v>
      </c>
      <c r="G473" s="31" t="e">
        <f t="shared" si="8"/>
        <v>#N/A</v>
      </c>
      <c r="H473" s="45"/>
    </row>
    <row r="474" spans="1:8" s="12" customFormat="1" ht="17.100000000000001" hidden="1" customHeight="1">
      <c r="A474" s="170"/>
      <c r="B474" s="45"/>
      <c r="C474" s="48" t="s">
        <v>359</v>
      </c>
      <c r="D474" s="31"/>
      <c r="E474" s="31"/>
      <c r="F474" s="31"/>
      <c r="G474" s="31"/>
      <c r="H474" s="45"/>
    </row>
    <row r="475" spans="1:8" s="12" customFormat="1" ht="17.100000000000001" hidden="1" customHeight="1">
      <c r="A475" s="170"/>
      <c r="B475" s="45"/>
      <c r="C475" s="48" t="s">
        <v>104</v>
      </c>
      <c r="D475" s="31" t="s">
        <v>116</v>
      </c>
      <c r="E475" s="31">
        <v>14.5</v>
      </c>
      <c r="F475" s="49">
        <f>F472</f>
        <v>5.2</v>
      </c>
      <c r="G475" s="31">
        <f t="shared" si="8"/>
        <v>75.400000000000006</v>
      </c>
      <c r="H475" s="45"/>
    </row>
    <row r="476" spans="1:8" s="12" customFormat="1" ht="17.100000000000001" hidden="1" customHeight="1">
      <c r="A476" s="170"/>
      <c r="B476" s="45"/>
      <c r="C476" s="48" t="s">
        <v>208</v>
      </c>
      <c r="D476" s="31" t="s">
        <v>112</v>
      </c>
      <c r="E476" s="31">
        <v>0.04</v>
      </c>
      <c r="F476" s="49" t="e">
        <f>F473</f>
        <v>#N/A</v>
      </c>
      <c r="G476" s="31" t="e">
        <f t="shared" si="8"/>
        <v>#N/A</v>
      </c>
      <c r="H476" s="45"/>
    </row>
    <row r="477" spans="1:8" s="12" customFormat="1" ht="17.100000000000001" hidden="1" customHeight="1">
      <c r="A477" s="170"/>
      <c r="B477" s="45"/>
      <c r="C477" s="48" t="s">
        <v>210</v>
      </c>
      <c r="D477" s="31" t="s">
        <v>112</v>
      </c>
      <c r="E477" s="31">
        <v>0.22</v>
      </c>
      <c r="F477" s="31">
        <v>40</v>
      </c>
      <c r="G477" s="31"/>
      <c r="H477" s="45"/>
    </row>
    <row r="478" spans="1:8" s="12" customFormat="1" ht="17.100000000000001" hidden="1" customHeight="1">
      <c r="A478" s="170"/>
      <c r="B478" s="45"/>
      <c r="C478" s="55" t="s">
        <v>211</v>
      </c>
      <c r="D478" s="31"/>
      <c r="E478" s="31"/>
      <c r="F478" s="31"/>
      <c r="G478" s="31"/>
      <c r="H478" s="45"/>
    </row>
    <row r="479" spans="1:8" s="12" customFormat="1" ht="17.100000000000001" hidden="1" customHeight="1">
      <c r="A479" s="170"/>
      <c r="B479" s="45"/>
      <c r="C479" s="48" t="s">
        <v>212</v>
      </c>
      <c r="D479" s="31" t="s">
        <v>186</v>
      </c>
      <c r="E479" s="31">
        <v>0.63</v>
      </c>
      <c r="F479" s="49">
        <v>350</v>
      </c>
      <c r="G479" s="31">
        <f t="shared" si="8"/>
        <v>220.5</v>
      </c>
      <c r="H479" s="45"/>
    </row>
    <row r="480" spans="1:8" s="12" customFormat="1" ht="17.100000000000001" hidden="1" customHeight="1">
      <c r="A480" s="170"/>
      <c r="B480" s="45"/>
      <c r="C480" s="48" t="s">
        <v>320</v>
      </c>
      <c r="D480" s="31" t="s">
        <v>186</v>
      </c>
      <c r="E480" s="31">
        <v>1.47</v>
      </c>
      <c r="F480" s="49">
        <v>320</v>
      </c>
      <c r="G480" s="31">
        <f t="shared" si="8"/>
        <v>470.4</v>
      </c>
      <c r="H480" s="45"/>
    </row>
    <row r="481" spans="1:8" s="12" customFormat="1" ht="17.100000000000001" hidden="1" customHeight="1">
      <c r="A481" s="170"/>
      <c r="B481" s="45"/>
      <c r="C481" s="48" t="s">
        <v>213</v>
      </c>
      <c r="D481" s="31" t="s">
        <v>186</v>
      </c>
      <c r="E481" s="31">
        <v>3.9</v>
      </c>
      <c r="F481" s="49">
        <v>280</v>
      </c>
      <c r="G481" s="31">
        <f t="shared" si="8"/>
        <v>1092</v>
      </c>
      <c r="H481" s="31"/>
    </row>
    <row r="482" spans="1:8" s="12" customFormat="1" ht="17.100000000000001" hidden="1" customHeight="1">
      <c r="A482" s="170"/>
      <c r="B482" s="45"/>
      <c r="C482" s="72" t="s">
        <v>91</v>
      </c>
      <c r="D482" s="29"/>
      <c r="E482" s="29"/>
      <c r="F482" s="29"/>
      <c r="G482" s="33"/>
      <c r="H482" s="31"/>
    </row>
    <row r="483" spans="1:8" s="12" customFormat="1" ht="17.100000000000001" hidden="1" customHeight="1">
      <c r="A483" s="170"/>
      <c r="B483" s="45"/>
      <c r="C483" s="48" t="s">
        <v>187</v>
      </c>
      <c r="D483" s="31"/>
      <c r="E483" s="31"/>
      <c r="F483" s="31"/>
      <c r="G483" s="31" t="e">
        <f>SUM(G472:G482)</f>
        <v>#N/A</v>
      </c>
      <c r="H483" s="31"/>
    </row>
    <row r="484" spans="1:8" ht="17.100000000000001" customHeight="1">
      <c r="C484" s="84" t="s">
        <v>353</v>
      </c>
      <c r="D484" s="84"/>
    </row>
    <row r="485" spans="1:8" s="25" customFormat="1" ht="30.75" customHeight="1">
      <c r="A485" s="166" t="s">
        <v>360</v>
      </c>
      <c r="B485" s="54">
        <v>62</v>
      </c>
      <c r="C485" s="1375" t="s">
        <v>361</v>
      </c>
      <c r="D485" s="1375"/>
      <c r="E485" s="1375"/>
      <c r="F485" s="1375"/>
      <c r="G485" s="1375"/>
      <c r="H485" s="54"/>
    </row>
    <row r="486" spans="1:8" s="12" customFormat="1" ht="17.100000000000001" customHeight="1">
      <c r="A486" s="170"/>
      <c r="B486" s="45"/>
      <c r="C486" s="48" t="s">
        <v>326</v>
      </c>
      <c r="D486" s="31"/>
      <c r="E486" s="31"/>
      <c r="F486" s="31"/>
      <c r="G486" s="31"/>
      <c r="H486" s="45"/>
    </row>
    <row r="487" spans="1:8" s="12" customFormat="1" ht="17.100000000000001" customHeight="1">
      <c r="A487" s="170"/>
      <c r="B487" s="45"/>
      <c r="C487" s="55" t="s">
        <v>177</v>
      </c>
      <c r="D487" s="31"/>
      <c r="E487" s="31"/>
      <c r="F487" s="31"/>
      <c r="G487" s="31"/>
      <c r="H487" s="45"/>
    </row>
    <row r="488" spans="1:8" s="12" customFormat="1" ht="17.100000000000001" customHeight="1">
      <c r="A488" s="170"/>
      <c r="B488" s="45"/>
      <c r="C488" s="48" t="s">
        <v>362</v>
      </c>
      <c r="D488" s="31"/>
      <c r="E488" s="31"/>
      <c r="F488" s="31"/>
      <c r="G488" s="31"/>
      <c r="H488" s="45"/>
    </row>
    <row r="489" spans="1:8" s="12" customFormat="1" ht="17.100000000000001" customHeight="1">
      <c r="A489" s="170"/>
      <c r="B489" s="45"/>
      <c r="C489" s="48" t="s">
        <v>104</v>
      </c>
      <c r="D489" s="31" t="s">
        <v>116</v>
      </c>
      <c r="E489" s="31">
        <v>31.7</v>
      </c>
      <c r="F489" s="49">
        <f>F472</f>
        <v>5.2</v>
      </c>
      <c r="G489" s="31">
        <f t="shared" ref="G489:G498" si="9">E489*F489</f>
        <v>164.84</v>
      </c>
      <c r="H489" s="45"/>
    </row>
    <row r="490" spans="1:8" s="12" customFormat="1" ht="17.100000000000001" customHeight="1">
      <c r="A490" s="170"/>
      <c r="B490" s="45"/>
      <c r="C490" s="48" t="s">
        <v>208</v>
      </c>
      <c r="D490" s="31" t="s">
        <v>112</v>
      </c>
      <c r="E490" s="31">
        <v>0.11</v>
      </c>
      <c r="F490" s="49" t="e">
        <f>F473</f>
        <v>#N/A</v>
      </c>
      <c r="G490" s="31" t="e">
        <f t="shared" si="9"/>
        <v>#N/A</v>
      </c>
      <c r="H490" s="45"/>
    </row>
    <row r="491" spans="1:8" s="12" customFormat="1" ht="17.100000000000001" customHeight="1">
      <c r="A491" s="170"/>
      <c r="B491" s="45"/>
      <c r="C491" s="48" t="s">
        <v>363</v>
      </c>
      <c r="D491" s="31"/>
      <c r="E491" s="31"/>
      <c r="F491" s="31"/>
      <c r="G491" s="31"/>
      <c r="H491" s="45"/>
    </row>
    <row r="492" spans="1:8" s="12" customFormat="1" ht="17.100000000000001" customHeight="1">
      <c r="A492" s="170"/>
      <c r="B492" s="45"/>
      <c r="C492" s="48" t="s">
        <v>104</v>
      </c>
      <c r="D492" s="31" t="s">
        <v>116</v>
      </c>
      <c r="E492" s="31">
        <v>19.2</v>
      </c>
      <c r="F492" s="49">
        <f>F489</f>
        <v>5.2</v>
      </c>
      <c r="G492" s="31">
        <f t="shared" si="9"/>
        <v>99.84</v>
      </c>
      <c r="H492" s="45"/>
    </row>
    <row r="493" spans="1:8" s="12" customFormat="1" ht="17.100000000000001" customHeight="1">
      <c r="A493" s="170"/>
      <c r="B493" s="45"/>
      <c r="C493" s="48" t="s">
        <v>208</v>
      </c>
      <c r="D493" s="31" t="s">
        <v>112</v>
      </c>
      <c r="E493" s="31">
        <v>0.04</v>
      </c>
      <c r="F493" s="49" t="e">
        <f>F490</f>
        <v>#N/A</v>
      </c>
      <c r="G493" s="31" t="e">
        <f t="shared" si="9"/>
        <v>#N/A</v>
      </c>
      <c r="H493" s="45"/>
    </row>
    <row r="494" spans="1:8" s="12" customFormat="1" ht="17.100000000000001" customHeight="1">
      <c r="A494" s="170"/>
      <c r="B494" s="45"/>
      <c r="C494" s="48" t="s">
        <v>210</v>
      </c>
      <c r="D494" s="31" t="s">
        <v>112</v>
      </c>
      <c r="E494" s="31">
        <v>0.15</v>
      </c>
      <c r="F494" s="31">
        <v>40</v>
      </c>
      <c r="G494" s="31"/>
      <c r="H494" s="45"/>
    </row>
    <row r="495" spans="1:8" s="12" customFormat="1" ht="17.100000000000001" customHeight="1">
      <c r="A495" s="170"/>
      <c r="B495" s="45"/>
      <c r="C495" s="55" t="s">
        <v>211</v>
      </c>
      <c r="D495" s="31"/>
      <c r="E495" s="31"/>
      <c r="F495" s="31"/>
      <c r="G495" s="31"/>
      <c r="H495" s="45"/>
    </row>
    <row r="496" spans="1:8" s="12" customFormat="1" ht="17.100000000000001" customHeight="1">
      <c r="A496" s="170"/>
      <c r="B496" s="45"/>
      <c r="C496" s="48" t="s">
        <v>212</v>
      </c>
      <c r="D496" s="31" t="s">
        <v>186</v>
      </c>
      <c r="E496" s="31">
        <v>0.63</v>
      </c>
      <c r="F496" s="49">
        <v>350</v>
      </c>
      <c r="G496" s="31">
        <f t="shared" si="9"/>
        <v>220.5</v>
      </c>
      <c r="H496" s="45"/>
    </row>
    <row r="497" spans="1:8" s="12" customFormat="1" ht="17.100000000000001" customHeight="1">
      <c r="A497" s="170"/>
      <c r="B497" s="45"/>
      <c r="C497" s="48" t="s">
        <v>320</v>
      </c>
      <c r="D497" s="31" t="s">
        <v>186</v>
      </c>
      <c r="E497" s="31">
        <v>1.47</v>
      </c>
      <c r="F497" s="49">
        <v>320</v>
      </c>
      <c r="G497" s="31">
        <f t="shared" si="9"/>
        <v>470.4</v>
      </c>
      <c r="H497" s="45"/>
    </row>
    <row r="498" spans="1:8" s="12" customFormat="1" ht="17.100000000000001" customHeight="1">
      <c r="A498" s="170"/>
      <c r="B498" s="45"/>
      <c r="C498" s="48" t="s">
        <v>213</v>
      </c>
      <c r="D498" s="31" t="s">
        <v>186</v>
      </c>
      <c r="E498" s="31">
        <v>3.9</v>
      </c>
      <c r="F498" s="49">
        <v>280</v>
      </c>
      <c r="G498" s="31">
        <f t="shared" si="9"/>
        <v>1092</v>
      </c>
      <c r="H498" s="31"/>
    </row>
    <row r="499" spans="1:8" s="12" customFormat="1" ht="17.100000000000001" customHeight="1">
      <c r="A499" s="170"/>
      <c r="B499" s="45"/>
      <c r="C499" s="72" t="s">
        <v>91</v>
      </c>
      <c r="D499" s="29"/>
      <c r="E499" s="29"/>
      <c r="F499" s="29"/>
      <c r="G499" s="33"/>
      <c r="H499" s="31"/>
    </row>
    <row r="500" spans="1:8" s="12" customFormat="1" ht="17.100000000000001" customHeight="1">
      <c r="A500" s="170"/>
      <c r="B500" s="45"/>
      <c r="C500" s="48" t="s">
        <v>187</v>
      </c>
      <c r="D500" s="31"/>
      <c r="E500" s="31"/>
      <c r="F500" s="31"/>
      <c r="G500" s="31" t="e">
        <f>SUM(G489:G499)</f>
        <v>#N/A</v>
      </c>
      <c r="H500" s="31"/>
    </row>
    <row r="501" spans="1:8" ht="17.100000000000001" customHeight="1">
      <c r="C501" s="84" t="s">
        <v>353</v>
      </c>
      <c r="D501" s="84"/>
    </row>
    <row r="502" spans="1:8" s="69" customFormat="1" ht="17.100000000000001" customHeight="1">
      <c r="A502" s="172" t="s">
        <v>364</v>
      </c>
      <c r="B502" s="66"/>
      <c r="C502" s="73" t="s">
        <v>365</v>
      </c>
      <c r="D502" s="66"/>
      <c r="E502" s="78"/>
      <c r="F502" s="67"/>
      <c r="G502" s="67"/>
      <c r="H502" s="66"/>
    </row>
    <row r="503" spans="1:8" ht="83.25" customHeight="1">
      <c r="A503" s="207" t="s">
        <v>376</v>
      </c>
      <c r="B503" s="38">
        <v>10</v>
      </c>
      <c r="C503" s="1370" t="s">
        <v>375</v>
      </c>
      <c r="D503" s="1370"/>
      <c r="E503" s="1370"/>
      <c r="F503" s="1370"/>
      <c r="G503" s="1370"/>
    </row>
    <row r="504" spans="1:8" s="12" customFormat="1" ht="17.100000000000001" customHeight="1">
      <c r="A504" s="170"/>
      <c r="B504" s="45"/>
      <c r="C504" s="208" t="s">
        <v>326</v>
      </c>
      <c r="D504" s="181"/>
      <c r="E504" s="181"/>
      <c r="F504" s="31"/>
      <c r="G504" s="31"/>
      <c r="H504" s="45"/>
    </row>
    <row r="505" spans="1:8" s="12" customFormat="1" ht="17.100000000000001" customHeight="1">
      <c r="A505" s="170"/>
      <c r="B505" s="45"/>
      <c r="C505" s="208" t="s">
        <v>177</v>
      </c>
      <c r="D505" s="181"/>
      <c r="E505" s="181"/>
      <c r="F505" s="31"/>
      <c r="G505" s="31"/>
      <c r="H505" s="45"/>
    </row>
    <row r="506" spans="1:8" s="12" customFormat="1" ht="17.25" customHeight="1">
      <c r="A506" s="170"/>
      <c r="B506" s="45"/>
      <c r="C506" s="187" t="s">
        <v>390</v>
      </c>
      <c r="D506" s="181" t="s">
        <v>114</v>
      </c>
      <c r="E506" s="181">
        <v>10.5</v>
      </c>
      <c r="F506" s="31">
        <f>'lead(new)'!P20</f>
        <v>934.35087719298247</v>
      </c>
      <c r="G506" s="31">
        <f>E506*F506/10</f>
        <v>981.06842105263172</v>
      </c>
      <c r="H506" s="45"/>
    </row>
    <row r="507" spans="1:8" s="61" customFormat="1" ht="17.100000000000001" customHeight="1">
      <c r="A507" s="171"/>
      <c r="B507" s="59"/>
      <c r="C507" s="209" t="s">
        <v>0</v>
      </c>
      <c r="D507" s="190" t="s">
        <v>178</v>
      </c>
      <c r="E507" s="190">
        <v>21.6</v>
      </c>
      <c r="F507" s="49">
        <f>'lead(new)'!P7/1000</f>
        <v>5.2</v>
      </c>
      <c r="G507" s="31">
        <f t="shared" ref="G507:G515" si="10">E507*F507</f>
        <v>112.32000000000001</v>
      </c>
      <c r="H507" s="59"/>
    </row>
    <row r="508" spans="1:8" s="61" customFormat="1" ht="17.25" customHeight="1">
      <c r="A508" s="171"/>
      <c r="B508" s="59"/>
      <c r="C508" s="185" t="s">
        <v>377</v>
      </c>
      <c r="D508" s="190" t="s">
        <v>178</v>
      </c>
      <c r="E508" s="190">
        <v>9.6</v>
      </c>
      <c r="F508" s="49">
        <f>F507</f>
        <v>5.2</v>
      </c>
      <c r="G508" s="31">
        <f t="shared" si="10"/>
        <v>49.92</v>
      </c>
      <c r="H508" s="59"/>
    </row>
    <row r="509" spans="1:8" s="61" customFormat="1" ht="17.100000000000001" customHeight="1">
      <c r="A509" s="171"/>
      <c r="B509" s="59"/>
      <c r="C509" s="187" t="s">
        <v>1</v>
      </c>
      <c r="D509" s="181" t="s">
        <v>112</v>
      </c>
      <c r="E509" s="181">
        <v>0.12</v>
      </c>
      <c r="F509" s="49" t="e">
        <f>'lead(new)'!P9</f>
        <v>#N/A</v>
      </c>
      <c r="G509" s="31" t="e">
        <f t="shared" si="10"/>
        <v>#N/A</v>
      </c>
      <c r="H509" s="59"/>
    </row>
    <row r="510" spans="1:8" s="61" customFormat="1" ht="17.100000000000001" customHeight="1">
      <c r="A510" s="171"/>
      <c r="B510" s="59"/>
      <c r="C510" s="187" t="s">
        <v>378</v>
      </c>
      <c r="D510" s="181" t="s">
        <v>112</v>
      </c>
      <c r="E510" s="181">
        <v>0.02</v>
      </c>
      <c r="F510" s="49" t="e">
        <f>'lead(new)'!P9</f>
        <v>#N/A</v>
      </c>
      <c r="G510" s="31" t="e">
        <f t="shared" si="10"/>
        <v>#N/A</v>
      </c>
      <c r="H510" s="59"/>
    </row>
    <row r="511" spans="1:8" s="12" customFormat="1" ht="17.100000000000001" customHeight="1">
      <c r="A511" s="170"/>
      <c r="B511" s="45"/>
      <c r="C511" s="187" t="s">
        <v>379</v>
      </c>
      <c r="D511" s="181" t="s">
        <v>112</v>
      </c>
      <c r="E511" s="181">
        <v>0.14000000000000001</v>
      </c>
      <c r="F511" s="31"/>
      <c r="G511" s="31"/>
      <c r="H511" s="45"/>
    </row>
    <row r="512" spans="1:8" s="12" customFormat="1" ht="17.100000000000001" customHeight="1">
      <c r="A512" s="170"/>
      <c r="B512" s="45"/>
      <c r="C512" s="208" t="s">
        <v>211</v>
      </c>
      <c r="D512" s="181"/>
      <c r="E512" s="181"/>
      <c r="F512" s="49"/>
      <c r="G512" s="31"/>
      <c r="H512" s="45"/>
    </row>
    <row r="513" spans="1:8" s="12" customFormat="1" ht="17.100000000000001" customHeight="1">
      <c r="A513" s="170"/>
      <c r="B513" s="45"/>
      <c r="C513" s="187" t="s">
        <v>258</v>
      </c>
      <c r="D513" s="181" t="s">
        <v>186</v>
      </c>
      <c r="E513" s="192">
        <v>0.96</v>
      </c>
      <c r="F513" s="49">
        <v>350</v>
      </c>
      <c r="G513" s="31">
        <f t="shared" si="10"/>
        <v>336</v>
      </c>
      <c r="H513" s="45"/>
    </row>
    <row r="514" spans="1:8" s="12" customFormat="1" ht="17.100000000000001" customHeight="1">
      <c r="A514" s="170"/>
      <c r="B514" s="45"/>
      <c r="C514" s="187" t="s">
        <v>259</v>
      </c>
      <c r="D514" s="181" t="s">
        <v>186</v>
      </c>
      <c r="E514" s="192">
        <v>2.2400000000000002</v>
      </c>
      <c r="F514" s="49">
        <v>320</v>
      </c>
      <c r="G514" s="31">
        <f t="shared" si="10"/>
        <v>716.80000000000007</v>
      </c>
      <c r="H514" s="31"/>
    </row>
    <row r="515" spans="1:8" s="12" customFormat="1" ht="17.100000000000001" customHeight="1">
      <c r="A515" s="170"/>
      <c r="B515" s="45"/>
      <c r="C515" s="187" t="s">
        <v>213</v>
      </c>
      <c r="D515" s="181" t="s">
        <v>186</v>
      </c>
      <c r="E515" s="181">
        <v>3.3</v>
      </c>
      <c r="F515" s="49">
        <v>280</v>
      </c>
      <c r="G515" s="31">
        <f t="shared" si="10"/>
        <v>924</v>
      </c>
      <c r="H515" s="31"/>
    </row>
    <row r="516" spans="1:8" s="12" customFormat="1" ht="17.100000000000001" customHeight="1">
      <c r="A516" s="170"/>
      <c r="B516" s="45"/>
      <c r="C516" s="185" t="s">
        <v>2</v>
      </c>
      <c r="D516" s="181"/>
      <c r="E516" s="181"/>
      <c r="F516" s="31"/>
      <c r="H516" s="31"/>
    </row>
    <row r="517" spans="1:8" s="12" customFormat="1" ht="17.100000000000001" customHeight="1">
      <c r="A517" s="170"/>
      <c r="B517" s="45"/>
      <c r="C517" s="210" t="s">
        <v>187</v>
      </c>
      <c r="D517" s="181"/>
      <c r="E517" s="182"/>
      <c r="F517" s="31"/>
      <c r="G517" s="43" t="e">
        <f>SUM(G506:G515)</f>
        <v>#N/A</v>
      </c>
      <c r="H517" s="45"/>
    </row>
    <row r="518" spans="1:8" s="12" customFormat="1" ht="17.100000000000001" customHeight="1">
      <c r="A518" s="170" t="s">
        <v>5</v>
      </c>
      <c r="B518" s="45"/>
      <c r="C518" s="47" t="s">
        <v>6</v>
      </c>
      <c r="D518" s="31"/>
      <c r="E518" s="31"/>
      <c r="F518" s="31"/>
      <c r="G518" s="31"/>
      <c r="H518" s="45"/>
    </row>
    <row r="519" spans="1:8" ht="78" customHeight="1">
      <c r="A519" s="170" t="s">
        <v>7</v>
      </c>
      <c r="B519" s="38">
        <v>120</v>
      </c>
      <c r="C519" s="1370" t="s">
        <v>8</v>
      </c>
      <c r="D519" s="1370"/>
      <c r="E519" s="1370"/>
      <c r="F519" s="1370"/>
      <c r="G519" s="1370"/>
    </row>
    <row r="520" spans="1:8" s="12" customFormat="1" ht="17.100000000000001" customHeight="1">
      <c r="A520" s="170"/>
      <c r="B520" s="45"/>
      <c r="C520" s="46" t="s">
        <v>326</v>
      </c>
      <c r="D520" s="31"/>
      <c r="E520" s="31"/>
      <c r="F520" s="31"/>
      <c r="G520" s="31"/>
      <c r="H520" s="45"/>
    </row>
    <row r="521" spans="1:8" s="12" customFormat="1" ht="17.100000000000001" customHeight="1">
      <c r="A521" s="170"/>
      <c r="B521" s="45"/>
      <c r="C521" s="47" t="s">
        <v>177</v>
      </c>
      <c r="D521" s="31"/>
      <c r="E521" s="31"/>
      <c r="F521" s="31"/>
      <c r="G521" s="31"/>
      <c r="H521" s="45"/>
    </row>
    <row r="522" spans="1:8" s="61" customFormat="1" ht="17.100000000000001" customHeight="1">
      <c r="A522" s="171"/>
      <c r="B522" s="59"/>
      <c r="C522" s="48" t="s">
        <v>9</v>
      </c>
      <c r="D522" s="49" t="s">
        <v>112</v>
      </c>
      <c r="E522" s="89">
        <v>0.21</v>
      </c>
      <c r="F522" s="49" t="e">
        <f>G49</f>
        <v>#N/A</v>
      </c>
      <c r="G522" s="31" t="e">
        <f>E522*F522</f>
        <v>#N/A</v>
      </c>
      <c r="H522" s="59"/>
    </row>
    <row r="523" spans="1:8" s="12" customFormat="1" ht="17.100000000000001" customHeight="1">
      <c r="A523" s="170"/>
      <c r="B523" s="45"/>
      <c r="C523" s="46" t="s">
        <v>392</v>
      </c>
      <c r="D523" s="31" t="s">
        <v>116</v>
      </c>
      <c r="E523" s="83">
        <v>2</v>
      </c>
      <c r="F523" s="31">
        <v>48</v>
      </c>
      <c r="G523" s="31">
        <f>E523*F523</f>
        <v>96</v>
      </c>
      <c r="H523" s="45"/>
    </row>
    <row r="524" spans="1:8" s="12" customFormat="1" ht="17.100000000000001" customHeight="1">
      <c r="A524" s="170"/>
      <c r="B524" s="45"/>
      <c r="C524" s="47" t="s">
        <v>3</v>
      </c>
      <c r="D524" s="31"/>
      <c r="E524" s="83"/>
      <c r="F524" s="31"/>
      <c r="G524" s="31"/>
      <c r="H524" s="45"/>
    </row>
    <row r="525" spans="1:8" s="12" customFormat="1" ht="17.100000000000001" customHeight="1">
      <c r="A525" s="170"/>
      <c r="B525" s="45"/>
      <c r="C525" s="46" t="s">
        <v>212</v>
      </c>
      <c r="D525" s="31" t="s">
        <v>186</v>
      </c>
      <c r="E525" s="83">
        <v>0.66</v>
      </c>
      <c r="F525" s="31">
        <v>350</v>
      </c>
      <c r="G525" s="31">
        <f>E525*F525</f>
        <v>231</v>
      </c>
      <c r="H525" s="45"/>
    </row>
    <row r="526" spans="1:8" s="12" customFormat="1" ht="17.100000000000001" customHeight="1">
      <c r="A526" s="170"/>
      <c r="B526" s="45"/>
      <c r="C526" s="46" t="s">
        <v>320</v>
      </c>
      <c r="D526" s="31" t="s">
        <v>186</v>
      </c>
      <c r="E526" s="83">
        <v>1.54</v>
      </c>
      <c r="F526" s="31">
        <v>320</v>
      </c>
      <c r="G526" s="31">
        <f>E526*F526</f>
        <v>492.8</v>
      </c>
      <c r="H526" s="45"/>
    </row>
    <row r="527" spans="1:8" s="12" customFormat="1" ht="17.100000000000001" customHeight="1">
      <c r="A527" s="170"/>
      <c r="B527" s="45"/>
      <c r="C527" s="46" t="s">
        <v>4</v>
      </c>
      <c r="D527" s="31" t="s">
        <v>186</v>
      </c>
      <c r="E527" s="31">
        <v>3.7</v>
      </c>
      <c r="F527" s="31">
        <v>280</v>
      </c>
      <c r="G527" s="31">
        <f>E527*F527</f>
        <v>1036</v>
      </c>
      <c r="H527" s="31"/>
    </row>
    <row r="528" spans="1:8" s="12" customFormat="1" ht="17.100000000000001" customHeight="1">
      <c r="A528" s="170"/>
      <c r="B528" s="45"/>
      <c r="C528" s="32" t="s">
        <v>92</v>
      </c>
      <c r="D528" s="29"/>
      <c r="E528" s="29"/>
      <c r="F528" s="29"/>
      <c r="G528" s="33"/>
      <c r="H528" s="31"/>
    </row>
    <row r="529" spans="1:8" s="12" customFormat="1" ht="17.100000000000001" customHeight="1">
      <c r="A529" s="170"/>
      <c r="B529" s="45"/>
      <c r="C529" s="46" t="s">
        <v>187</v>
      </c>
      <c r="D529" s="31"/>
      <c r="E529" s="31"/>
      <c r="F529" s="31"/>
      <c r="G529" s="202" t="e">
        <f>SUM(G522:G528)</f>
        <v>#N/A</v>
      </c>
      <c r="H529" s="87"/>
    </row>
    <row r="530" spans="1:8" ht="51.75" customHeight="1">
      <c r="A530" s="170" t="s">
        <v>10</v>
      </c>
      <c r="B530" s="38">
        <v>134</v>
      </c>
      <c r="C530" s="1370" t="s">
        <v>11</v>
      </c>
      <c r="D530" s="1370"/>
      <c r="E530" s="1370"/>
      <c r="F530" s="1370"/>
      <c r="G530" s="1370"/>
    </row>
    <row r="531" spans="1:8" s="12" customFormat="1" ht="17.100000000000001" customHeight="1">
      <c r="A531" s="170"/>
      <c r="B531" s="45"/>
      <c r="C531" s="90" t="s">
        <v>12</v>
      </c>
      <c r="D531" s="91"/>
      <c r="E531" s="92"/>
      <c r="F531" s="31"/>
      <c r="G531" s="31"/>
      <c r="H531" s="45"/>
    </row>
    <row r="532" spans="1:8" s="12" customFormat="1" ht="17.100000000000001" customHeight="1">
      <c r="A532" s="170"/>
      <c r="B532" s="45"/>
      <c r="C532" s="55" t="s">
        <v>13</v>
      </c>
      <c r="D532" s="91"/>
      <c r="E532" s="92"/>
      <c r="F532" s="31"/>
      <c r="G532" s="31"/>
      <c r="H532" s="45"/>
    </row>
    <row r="533" spans="1:8" s="61" customFormat="1" ht="21" customHeight="1">
      <c r="A533" s="171"/>
      <c r="B533" s="59"/>
      <c r="C533" s="72" t="s">
        <v>14</v>
      </c>
      <c r="D533" s="59" t="s">
        <v>15</v>
      </c>
      <c r="E533" s="31">
        <v>2</v>
      </c>
      <c r="F533" s="31">
        <v>30</v>
      </c>
      <c r="G533" s="31">
        <f>E533*F533</f>
        <v>60</v>
      </c>
      <c r="H533" s="59"/>
    </row>
    <row r="534" spans="1:8" s="12" customFormat="1" ht="24.95" customHeight="1">
      <c r="A534" s="170"/>
      <c r="B534" s="45"/>
      <c r="C534" s="48" t="s">
        <v>16</v>
      </c>
      <c r="D534" s="45"/>
      <c r="E534" s="31" t="s">
        <v>17</v>
      </c>
      <c r="F534" s="31">
        <v>0</v>
      </c>
      <c r="G534" s="31">
        <v>3.75</v>
      </c>
      <c r="H534" s="45"/>
    </row>
    <row r="535" spans="1:8" s="12" customFormat="1" ht="17.100000000000001" customHeight="1">
      <c r="A535" s="170"/>
      <c r="B535" s="45"/>
      <c r="C535" s="55" t="s">
        <v>3</v>
      </c>
      <c r="D535" s="91"/>
      <c r="E535" s="92"/>
      <c r="F535" s="31"/>
      <c r="G535" s="31">
        <f>E535*F535</f>
        <v>0</v>
      </c>
      <c r="H535" s="45"/>
    </row>
    <row r="536" spans="1:8" s="12" customFormat="1" ht="17.100000000000001" customHeight="1">
      <c r="A536" s="170"/>
      <c r="B536" s="45"/>
      <c r="C536" s="48" t="s">
        <v>18</v>
      </c>
      <c r="D536" s="45" t="s">
        <v>186</v>
      </c>
      <c r="E536" s="92">
        <v>0.21</v>
      </c>
      <c r="F536" s="31">
        <v>320</v>
      </c>
      <c r="G536" s="31">
        <f>E536*F536</f>
        <v>67.2</v>
      </c>
      <c r="H536" s="45"/>
    </row>
    <row r="537" spans="1:8" s="12" customFormat="1" ht="17.100000000000001" customHeight="1">
      <c r="A537" s="170"/>
      <c r="B537" s="45"/>
      <c r="C537" s="48" t="s">
        <v>213</v>
      </c>
      <c r="D537" s="45" t="s">
        <v>186</v>
      </c>
      <c r="E537" s="92">
        <v>0.32</v>
      </c>
      <c r="F537" s="31">
        <v>280</v>
      </c>
      <c r="G537" s="31">
        <f>E537*F537</f>
        <v>89.600000000000009</v>
      </c>
      <c r="H537" s="31"/>
    </row>
    <row r="538" spans="1:8" s="12" customFormat="1" ht="17.100000000000001" customHeight="1">
      <c r="A538" s="170"/>
      <c r="B538" s="45"/>
      <c r="C538" s="32" t="s">
        <v>92</v>
      </c>
      <c r="D538" s="29"/>
      <c r="E538" s="29"/>
      <c r="F538" s="29"/>
      <c r="G538" s="33"/>
      <c r="H538" s="31"/>
    </row>
    <row r="539" spans="1:8" s="12" customFormat="1" ht="17.100000000000001" customHeight="1">
      <c r="A539" s="170"/>
      <c r="B539" s="45"/>
      <c r="C539" s="48" t="s">
        <v>19</v>
      </c>
      <c r="D539" s="45"/>
      <c r="E539" s="93">
        <v>0.01</v>
      </c>
      <c r="F539" s="49"/>
      <c r="G539" s="31">
        <f>SUM(G533:G538)*1%</f>
        <v>2.2055000000000002</v>
      </c>
      <c r="H539" s="45"/>
    </row>
    <row r="540" spans="1:8" s="88" customFormat="1" ht="17.100000000000001" customHeight="1">
      <c r="A540" s="173"/>
      <c r="B540" s="85"/>
      <c r="C540" s="86" t="s">
        <v>20</v>
      </c>
      <c r="D540" s="94"/>
      <c r="E540" s="95"/>
      <c r="F540" s="87"/>
      <c r="G540" s="43">
        <f>SUM(G533:G539)</f>
        <v>222.75550000000001</v>
      </c>
      <c r="H540" s="87"/>
    </row>
    <row r="541" spans="1:8" ht="76.5" customHeight="1">
      <c r="A541" s="170" t="s">
        <v>21</v>
      </c>
      <c r="B541" s="38">
        <v>144</v>
      </c>
      <c r="C541" s="1370" t="s">
        <v>22</v>
      </c>
      <c r="D541" s="1370"/>
      <c r="E541" s="1370"/>
      <c r="F541" s="1370"/>
      <c r="G541" s="1370"/>
    </row>
    <row r="542" spans="1:8" s="12" customFormat="1" ht="17.100000000000001" customHeight="1">
      <c r="A542" s="170"/>
      <c r="B542" s="45"/>
      <c r="C542" s="90" t="s">
        <v>23</v>
      </c>
      <c r="D542" s="91" t="s">
        <v>116</v>
      </c>
      <c r="E542" s="31">
        <v>1</v>
      </c>
      <c r="F542" s="31">
        <v>134</v>
      </c>
      <c r="G542" s="31">
        <f t="shared" ref="G542:G548" si="11">E542*F542</f>
        <v>134</v>
      </c>
      <c r="H542" s="45"/>
    </row>
    <row r="543" spans="1:8" s="12" customFormat="1" ht="17.100000000000001" customHeight="1">
      <c r="A543" s="170"/>
      <c r="B543" s="45"/>
      <c r="C543" s="90" t="s">
        <v>24</v>
      </c>
      <c r="D543" s="45" t="s">
        <v>186</v>
      </c>
      <c r="E543" s="31">
        <v>0.21</v>
      </c>
      <c r="F543" s="31">
        <v>400</v>
      </c>
      <c r="G543" s="31">
        <f t="shared" si="11"/>
        <v>84</v>
      </c>
      <c r="H543" s="45"/>
    </row>
    <row r="544" spans="1:8" s="12" customFormat="1" ht="17.100000000000001" customHeight="1">
      <c r="A544" s="170"/>
      <c r="B544" s="45"/>
      <c r="C544" s="90" t="s">
        <v>25</v>
      </c>
      <c r="D544" s="45" t="s">
        <v>186</v>
      </c>
      <c r="E544" s="31">
        <v>0.49</v>
      </c>
      <c r="F544" s="31">
        <v>320</v>
      </c>
      <c r="G544" s="31">
        <f t="shared" si="11"/>
        <v>156.80000000000001</v>
      </c>
      <c r="H544" s="45"/>
    </row>
    <row r="545" spans="1:8" s="12" customFormat="1" ht="27" customHeight="1">
      <c r="A545" s="170"/>
      <c r="B545" s="45"/>
      <c r="C545" s="226" t="s">
        <v>393</v>
      </c>
      <c r="D545" s="91" t="s">
        <v>116</v>
      </c>
      <c r="E545" s="31">
        <v>3.5</v>
      </c>
      <c r="F545" s="31">
        <v>47</v>
      </c>
      <c r="G545" s="31">
        <f t="shared" si="11"/>
        <v>164.5</v>
      </c>
      <c r="H545" s="45"/>
    </row>
    <row r="546" spans="1:8" s="12" customFormat="1" ht="17.100000000000001" customHeight="1">
      <c r="A546" s="170"/>
      <c r="B546" s="45"/>
      <c r="C546" s="90" t="s">
        <v>26</v>
      </c>
      <c r="D546" s="45" t="s">
        <v>186</v>
      </c>
      <c r="E546" s="31">
        <v>0.15</v>
      </c>
      <c r="F546" s="31">
        <f>F543</f>
        <v>400</v>
      </c>
      <c r="G546" s="31">
        <f t="shared" si="11"/>
        <v>60</v>
      </c>
      <c r="H546" s="45"/>
    </row>
    <row r="547" spans="1:8" s="12" customFormat="1" ht="17.100000000000001" customHeight="1">
      <c r="A547" s="170"/>
      <c r="B547" s="45"/>
      <c r="C547" s="90" t="s">
        <v>25</v>
      </c>
      <c r="D547" s="45" t="s">
        <v>186</v>
      </c>
      <c r="E547" s="31">
        <v>0.35</v>
      </c>
      <c r="F547" s="31">
        <f>F544</f>
        <v>320</v>
      </c>
      <c r="G547" s="31">
        <f t="shared" si="11"/>
        <v>112</v>
      </c>
      <c r="H547" s="45"/>
    </row>
    <row r="548" spans="1:8" s="12" customFormat="1" ht="17.100000000000001" customHeight="1">
      <c r="A548" s="170"/>
      <c r="B548" s="45"/>
      <c r="C548" s="90" t="s">
        <v>213</v>
      </c>
      <c r="D548" s="45" t="s">
        <v>186</v>
      </c>
      <c r="E548" s="31">
        <v>1.5</v>
      </c>
      <c r="F548" s="31">
        <v>280</v>
      </c>
      <c r="G548" s="31">
        <f t="shared" si="11"/>
        <v>420</v>
      </c>
      <c r="H548" s="31"/>
    </row>
    <row r="549" spans="1:8" s="12" customFormat="1" ht="16.5" customHeight="1">
      <c r="A549" s="170"/>
      <c r="B549" s="45"/>
      <c r="C549" s="32" t="s">
        <v>92</v>
      </c>
      <c r="D549" s="29"/>
      <c r="E549" s="29"/>
      <c r="F549" s="29"/>
      <c r="G549" s="33"/>
      <c r="H549" s="31"/>
    </row>
    <row r="550" spans="1:8" s="12" customFormat="1" ht="16.5" customHeight="1">
      <c r="A550" s="170"/>
      <c r="B550" s="45"/>
      <c r="C550" s="48" t="s">
        <v>27</v>
      </c>
      <c r="D550" s="91"/>
      <c r="E550" s="31"/>
      <c r="F550" s="31"/>
      <c r="G550" s="43">
        <f>SUM(G542:G549)</f>
        <v>1131.3</v>
      </c>
      <c r="H550" s="31"/>
    </row>
    <row r="551" spans="1:8" s="25" customFormat="1" ht="20.100000000000001" customHeight="1">
      <c r="A551" s="166"/>
      <c r="B551" s="54">
        <v>11</v>
      </c>
      <c r="C551" s="1378" t="s">
        <v>28</v>
      </c>
      <c r="D551" s="1378"/>
      <c r="E551" s="1378"/>
      <c r="F551" s="1378"/>
      <c r="G551" s="1378"/>
      <c r="H551" s="54"/>
    </row>
    <row r="552" spans="1:8" ht="17.100000000000001" customHeight="1">
      <c r="C552" s="96" t="s">
        <v>13</v>
      </c>
      <c r="D552" s="97"/>
      <c r="E552" s="56"/>
    </row>
    <row r="553" spans="1:8" ht="27" customHeight="1">
      <c r="C553" s="50" t="s">
        <v>394</v>
      </c>
      <c r="D553" s="97" t="s">
        <v>97</v>
      </c>
      <c r="E553" s="56">
        <v>1.2</v>
      </c>
      <c r="F553" s="51">
        <v>230</v>
      </c>
      <c r="G553" s="51">
        <f>E553*F553</f>
        <v>276</v>
      </c>
    </row>
    <row r="554" spans="1:8" ht="17.100000000000001" customHeight="1">
      <c r="C554" s="96" t="s">
        <v>3</v>
      </c>
      <c r="D554" s="97"/>
      <c r="E554" s="56"/>
      <c r="G554" s="51">
        <f>E554*F554</f>
        <v>0</v>
      </c>
    </row>
    <row r="555" spans="1:8" ht="17.100000000000001" customHeight="1">
      <c r="C555" s="53" t="s">
        <v>29</v>
      </c>
      <c r="D555" s="38" t="s">
        <v>186</v>
      </c>
      <c r="E555" s="56">
        <v>1.2</v>
      </c>
      <c r="F555" s="51">
        <v>400</v>
      </c>
      <c r="G555" s="51">
        <f>E555*F555</f>
        <v>480</v>
      </c>
      <c r="H555" s="51"/>
    </row>
    <row r="556" spans="1:8" s="12" customFormat="1" ht="16.5" customHeight="1">
      <c r="A556" s="170"/>
      <c r="B556" s="45"/>
      <c r="C556" s="32" t="s">
        <v>92</v>
      </c>
      <c r="D556" s="29"/>
      <c r="E556" s="29"/>
      <c r="F556" s="29"/>
      <c r="G556" s="33"/>
      <c r="H556" s="31"/>
    </row>
    <row r="557" spans="1:8" ht="17.100000000000001" customHeight="1">
      <c r="C557" s="53" t="s">
        <v>30</v>
      </c>
      <c r="D557" s="97"/>
      <c r="E557" s="56"/>
      <c r="F557" s="51">
        <v>0</v>
      </c>
      <c r="G557" s="51">
        <f>E557*F557</f>
        <v>0</v>
      </c>
      <c r="H557" s="31"/>
    </row>
    <row r="558" spans="1:8" s="103" customFormat="1" ht="17.100000000000001" customHeight="1">
      <c r="A558" s="173"/>
      <c r="B558" s="98"/>
      <c r="C558" s="99" t="s">
        <v>20</v>
      </c>
      <c r="D558" s="100"/>
      <c r="E558" s="101"/>
      <c r="F558" s="102"/>
      <c r="G558" s="203">
        <f>SUM(G553:G557)</f>
        <v>756</v>
      </c>
      <c r="H558" s="87"/>
    </row>
    <row r="559" spans="1:8" s="106" customFormat="1" ht="20.100000000000001" customHeight="1">
      <c r="A559" s="174" t="s">
        <v>31</v>
      </c>
      <c r="B559" s="104">
        <v>166</v>
      </c>
      <c r="C559" s="1379" t="s">
        <v>32</v>
      </c>
      <c r="D559" s="1379"/>
      <c r="E559" s="1379"/>
      <c r="F559" s="1379"/>
      <c r="G559" s="1379"/>
      <c r="H559" s="104"/>
    </row>
    <row r="560" spans="1:8" s="88" customFormat="1" ht="21" customHeight="1">
      <c r="A560" s="173"/>
      <c r="B560" s="104">
        <v>12</v>
      </c>
      <c r="C560" s="105" t="s">
        <v>33</v>
      </c>
      <c r="D560" s="85"/>
      <c r="E560" s="107"/>
      <c r="F560" s="108"/>
      <c r="G560" s="109"/>
      <c r="H560" s="85"/>
    </row>
    <row r="561" spans="1:8" s="12" customFormat="1" ht="17.100000000000001" customHeight="1">
      <c r="A561" s="175"/>
      <c r="B561" s="14" t="s">
        <v>34</v>
      </c>
      <c r="C561" s="42" t="s">
        <v>367</v>
      </c>
      <c r="D561" s="45"/>
      <c r="E561" s="45"/>
      <c r="F561" s="110"/>
      <c r="G561" s="111"/>
      <c r="H561" s="45"/>
    </row>
    <row r="562" spans="1:8" s="12" customFormat="1" ht="17.100000000000001" customHeight="1">
      <c r="A562" s="175"/>
      <c r="B562" s="14"/>
      <c r="C562" s="90" t="s">
        <v>35</v>
      </c>
      <c r="D562" s="112">
        <v>5.1999999999999998E-2</v>
      </c>
      <c r="E562" s="113" t="s">
        <v>161</v>
      </c>
      <c r="F562" s="110">
        <v>56634</v>
      </c>
      <c r="G562" s="110">
        <f>F562*D562</f>
        <v>2944.9679999999998</v>
      </c>
      <c r="H562" s="45"/>
    </row>
    <row r="563" spans="1:8" s="12" customFormat="1" ht="29.25" customHeight="1">
      <c r="A563" s="175"/>
      <c r="B563" s="14"/>
      <c r="C563" s="90" t="s">
        <v>36</v>
      </c>
      <c r="D563" s="112">
        <v>5.1999999999999998E-2</v>
      </c>
      <c r="E563" s="114" t="s">
        <v>161</v>
      </c>
      <c r="F563" s="110">
        <f>G696</f>
        <v>8287.2999999999993</v>
      </c>
      <c r="G563" s="110">
        <f>F563*D563</f>
        <v>430.93959999999993</v>
      </c>
      <c r="H563" s="45"/>
    </row>
    <row r="564" spans="1:8" s="12" customFormat="1" ht="16.5" customHeight="1">
      <c r="A564" s="170"/>
      <c r="B564" s="45"/>
      <c r="C564" s="32" t="s">
        <v>162</v>
      </c>
      <c r="D564" s="29"/>
      <c r="E564" s="29"/>
      <c r="F564" s="29"/>
      <c r="G564" s="115"/>
      <c r="H564" s="31"/>
    </row>
    <row r="565" spans="1:8" s="12" customFormat="1" ht="17.100000000000001" customHeight="1">
      <c r="A565" s="175"/>
      <c r="B565" s="14"/>
      <c r="C565" s="90" t="s">
        <v>404</v>
      </c>
      <c r="D565" s="116">
        <v>20</v>
      </c>
      <c r="E565" s="114" t="s">
        <v>206</v>
      </c>
      <c r="F565" s="110">
        <f>ROUND('lead(new)'!P8/1000+20+4,2)</f>
        <v>67</v>
      </c>
      <c r="G565" s="110">
        <f>F565*D565</f>
        <v>1340</v>
      </c>
      <c r="H565" s="45"/>
    </row>
    <row r="566" spans="1:8" s="12" customFormat="1" ht="17.100000000000001" customHeight="1">
      <c r="A566" s="175"/>
      <c r="B566" s="14"/>
      <c r="C566" s="117" t="s">
        <v>37</v>
      </c>
      <c r="D566" s="112"/>
      <c r="E566" s="118"/>
      <c r="F566" s="110"/>
      <c r="G566" s="119"/>
      <c r="H566" s="45"/>
    </row>
    <row r="567" spans="1:8" s="12" customFormat="1" ht="17.100000000000001" customHeight="1">
      <c r="A567" s="175"/>
      <c r="B567" s="14"/>
      <c r="C567" s="120" t="s">
        <v>38</v>
      </c>
      <c r="D567" s="116">
        <v>4</v>
      </c>
      <c r="E567" s="113" t="s">
        <v>39</v>
      </c>
      <c r="F567" s="116">
        <v>15</v>
      </c>
      <c r="G567" s="110">
        <f>F567*D567</f>
        <v>60</v>
      </c>
      <c r="H567" s="45"/>
    </row>
    <row r="568" spans="1:8" s="12" customFormat="1" ht="17.100000000000001" customHeight="1">
      <c r="A568" s="175"/>
      <c r="B568" s="14"/>
      <c r="C568" s="120" t="s">
        <v>40</v>
      </c>
      <c r="D568" s="116">
        <v>6</v>
      </c>
      <c r="E568" s="113" t="s">
        <v>39</v>
      </c>
      <c r="F568" s="116">
        <v>23</v>
      </c>
      <c r="G568" s="116">
        <f>+F568*D568</f>
        <v>138</v>
      </c>
      <c r="H568" s="45"/>
    </row>
    <row r="569" spans="1:8" s="12" customFormat="1" ht="17.100000000000001" customHeight="1">
      <c r="A569" s="175"/>
      <c r="B569" s="14"/>
      <c r="C569" s="120" t="s">
        <v>41</v>
      </c>
      <c r="D569" s="116">
        <v>6</v>
      </c>
      <c r="E569" s="113" t="s">
        <v>39</v>
      </c>
      <c r="F569" s="116">
        <v>11</v>
      </c>
      <c r="G569" s="116">
        <f>+F569*D569</f>
        <v>66</v>
      </c>
      <c r="H569" s="45"/>
    </row>
    <row r="570" spans="1:8" s="12" customFormat="1" ht="17.100000000000001" customHeight="1">
      <c r="A570" s="175"/>
      <c r="B570" s="14"/>
      <c r="C570" s="120" t="s">
        <v>42</v>
      </c>
      <c r="D570" s="116">
        <v>2</v>
      </c>
      <c r="E570" s="113" t="s">
        <v>39</v>
      </c>
      <c r="F570" s="116">
        <v>31</v>
      </c>
      <c r="G570" s="116">
        <f>+F570*D570</f>
        <v>62</v>
      </c>
      <c r="H570" s="45"/>
    </row>
    <row r="571" spans="1:8" s="12" customFormat="1" ht="17.100000000000001" customHeight="1">
      <c r="A571" s="175"/>
      <c r="B571" s="14"/>
      <c r="C571" s="120" t="s">
        <v>43</v>
      </c>
      <c r="D571" s="116">
        <v>3</v>
      </c>
      <c r="E571" s="113" t="s">
        <v>39</v>
      </c>
      <c r="F571" s="116">
        <v>41</v>
      </c>
      <c r="G571" s="116">
        <f>+F571*D571</f>
        <v>123</v>
      </c>
      <c r="H571" s="45"/>
    </row>
    <row r="572" spans="1:8" s="12" customFormat="1" ht="17.100000000000001" customHeight="1">
      <c r="A572" s="175"/>
      <c r="B572" s="14"/>
      <c r="C572" s="120" t="s">
        <v>44</v>
      </c>
      <c r="D572" s="116">
        <v>1</v>
      </c>
      <c r="E572" s="113" t="s">
        <v>45</v>
      </c>
      <c r="F572" s="116">
        <v>135</v>
      </c>
      <c r="G572" s="116">
        <f>+F572*D572</f>
        <v>135</v>
      </c>
      <c r="H572" s="45"/>
    </row>
    <row r="573" spans="1:8" s="12" customFormat="1" ht="17.100000000000001" customHeight="1">
      <c r="A573" s="175"/>
      <c r="B573" s="14"/>
      <c r="C573" s="120" t="s">
        <v>92</v>
      </c>
      <c r="D573" s="116"/>
      <c r="E573" s="113"/>
      <c r="F573" s="116"/>
      <c r="G573" s="116"/>
      <c r="H573" s="45"/>
    </row>
    <row r="574" spans="1:8" s="12" customFormat="1" ht="17.100000000000001" customHeight="1">
      <c r="A574" s="175"/>
      <c r="B574" s="14"/>
      <c r="C574" s="90" t="s">
        <v>46</v>
      </c>
      <c r="D574" s="45"/>
      <c r="E574" s="118"/>
      <c r="F574" s="110"/>
      <c r="G574" s="119">
        <f>SUM(G562:G573)</f>
        <v>5299.9075999999995</v>
      </c>
      <c r="H574" s="45"/>
    </row>
    <row r="575" spans="1:8" s="12" customFormat="1" ht="17.100000000000001" customHeight="1">
      <c r="A575" s="175"/>
      <c r="B575" s="14"/>
      <c r="C575" s="90"/>
      <c r="D575" s="45"/>
      <c r="E575" s="110"/>
      <c r="F575" s="31" t="s">
        <v>47</v>
      </c>
      <c r="G575" s="121">
        <f>ROUND(SUM(G574:G574),1)</f>
        <v>5299.9</v>
      </c>
      <c r="H575" s="45"/>
    </row>
    <row r="576" spans="1:8" s="12" customFormat="1" ht="17.100000000000001" customHeight="1">
      <c r="A576" s="175"/>
      <c r="B576" s="14"/>
      <c r="C576" s="90" t="s">
        <v>408</v>
      </c>
      <c r="D576" s="45"/>
      <c r="E576" s="110"/>
      <c r="F576" s="31"/>
      <c r="G576" s="121">
        <f>ROUND(G575*(1.22*1.2)/(0.9*1.2),2)</f>
        <v>7184.31</v>
      </c>
      <c r="H576" s="45"/>
    </row>
    <row r="577" spans="1:10" s="12" customFormat="1" ht="17.100000000000001" customHeight="1">
      <c r="A577" s="175"/>
      <c r="B577" s="14"/>
      <c r="C577" s="90"/>
      <c r="D577" s="45"/>
      <c r="E577" s="110"/>
      <c r="F577" s="31"/>
      <c r="G577" s="121"/>
      <c r="H577" s="45"/>
    </row>
    <row r="578" spans="1:10" ht="125.1" customHeight="1">
      <c r="A578" s="175"/>
      <c r="B578" s="38">
        <v>20</v>
      </c>
      <c r="C578" s="1370" t="s">
        <v>48</v>
      </c>
      <c r="D578" s="1370"/>
      <c r="E578" s="1370"/>
      <c r="F578" s="1370"/>
      <c r="G578" s="1370"/>
      <c r="H578" s="54"/>
      <c r="I578" s="122"/>
      <c r="J578" s="122"/>
    </row>
    <row r="579" spans="1:10" s="12" customFormat="1" ht="17.100000000000001" customHeight="1">
      <c r="A579" s="175"/>
      <c r="B579" s="123"/>
      <c r="C579" s="117" t="s">
        <v>49</v>
      </c>
      <c r="D579" s="45"/>
      <c r="E579" s="112"/>
      <c r="F579" s="112"/>
      <c r="G579" s="112"/>
      <c r="H579" s="45"/>
      <c r="I579" s="120"/>
      <c r="J579" s="120"/>
    </row>
    <row r="580" spans="1:10" s="12" customFormat="1" ht="17.100000000000001" customHeight="1">
      <c r="A580" s="175"/>
      <c r="B580" s="123"/>
      <c r="C580" s="117" t="s">
        <v>50</v>
      </c>
      <c r="D580" s="45"/>
      <c r="E580" s="112"/>
      <c r="F580" s="112"/>
      <c r="G580" s="112"/>
      <c r="H580" s="45"/>
      <c r="I580" s="120"/>
      <c r="J580" s="120"/>
    </row>
    <row r="581" spans="1:10" s="12" customFormat="1" ht="17.100000000000001" customHeight="1">
      <c r="A581" s="175"/>
      <c r="B581" s="123"/>
      <c r="C581" s="120" t="s">
        <v>51</v>
      </c>
      <c r="D581" s="45">
        <v>2</v>
      </c>
      <c r="E581" s="116">
        <v>2.1</v>
      </c>
      <c r="F581" s="116">
        <v>0.1</v>
      </c>
      <c r="G581" s="112">
        <v>7.4999999999999997E-2</v>
      </c>
      <c r="H581" s="124">
        <f t="shared" ref="H581:H586" si="12">D581*E581*F581*G581</f>
        <v>3.15E-2</v>
      </c>
      <c r="I581" s="120"/>
      <c r="J581" s="125"/>
    </row>
    <row r="582" spans="1:10" s="12" customFormat="1" ht="17.100000000000001" customHeight="1">
      <c r="A582" s="175"/>
      <c r="B582" s="123"/>
      <c r="C582" s="120" t="s">
        <v>52</v>
      </c>
      <c r="D582" s="45">
        <v>1</v>
      </c>
      <c r="E582" s="116">
        <v>0.9</v>
      </c>
      <c r="F582" s="116">
        <v>0.1</v>
      </c>
      <c r="G582" s="112">
        <v>7.4999999999999997E-2</v>
      </c>
      <c r="H582" s="124">
        <f t="shared" si="12"/>
        <v>6.7500000000000008E-3</v>
      </c>
      <c r="I582" s="120"/>
      <c r="J582" s="125"/>
    </row>
    <row r="583" spans="1:10" s="12" customFormat="1" ht="17.100000000000001" customHeight="1">
      <c r="A583" s="175"/>
      <c r="B583" s="123"/>
      <c r="C583" s="120" t="s">
        <v>53</v>
      </c>
      <c r="D583" s="45">
        <v>1</v>
      </c>
      <c r="E583" s="112">
        <v>0.75</v>
      </c>
      <c r="F583" s="112">
        <v>7.4999999999999997E-2</v>
      </c>
      <c r="G583" s="112">
        <v>3.7999999999999999E-2</v>
      </c>
      <c r="H583" s="124">
        <f t="shared" si="12"/>
        <v>2.1374999999999996E-3</v>
      </c>
      <c r="I583" s="120"/>
      <c r="J583" s="125"/>
    </row>
    <row r="584" spans="1:10" s="12" customFormat="1" ht="17.100000000000001" customHeight="1">
      <c r="A584" s="175"/>
      <c r="B584" s="123"/>
      <c r="C584" s="117" t="s">
        <v>54</v>
      </c>
      <c r="D584" s="45">
        <v>2</v>
      </c>
      <c r="E584" s="112">
        <v>2.04</v>
      </c>
      <c r="F584" s="112">
        <v>0.125</v>
      </c>
      <c r="G584" s="112">
        <v>3.7999999999999999E-2</v>
      </c>
      <c r="H584" s="124">
        <f t="shared" si="12"/>
        <v>1.9380000000000001E-2</v>
      </c>
      <c r="I584" s="120"/>
      <c r="J584" s="125"/>
    </row>
    <row r="585" spans="1:10" s="12" customFormat="1" ht="17.100000000000001" customHeight="1">
      <c r="A585" s="175"/>
      <c r="B585" s="123"/>
      <c r="C585" s="117" t="s">
        <v>55</v>
      </c>
      <c r="D585" s="45">
        <v>5</v>
      </c>
      <c r="E585" s="112">
        <v>0.625</v>
      </c>
      <c r="F585" s="112">
        <v>0.125</v>
      </c>
      <c r="G585" s="112">
        <v>3.7999999999999999E-2</v>
      </c>
      <c r="H585" s="124">
        <f t="shared" si="12"/>
        <v>1.4843749999999999E-2</v>
      </c>
      <c r="I585" s="120"/>
      <c r="J585" s="125"/>
    </row>
    <row r="586" spans="1:10" s="12" customFormat="1" ht="17.100000000000001" customHeight="1">
      <c r="A586" s="175"/>
      <c r="B586" s="123"/>
      <c r="C586" s="117" t="s">
        <v>56</v>
      </c>
      <c r="D586" s="45">
        <v>4</v>
      </c>
      <c r="E586" s="112">
        <v>0.47499999999999998</v>
      </c>
      <c r="F586" s="112">
        <v>0.35</v>
      </c>
      <c r="G586" s="112">
        <v>2.5000000000000001E-2</v>
      </c>
      <c r="H586" s="124">
        <f t="shared" si="12"/>
        <v>1.6624999999999997E-2</v>
      </c>
      <c r="I586" s="120"/>
      <c r="J586" s="125"/>
    </row>
    <row r="587" spans="1:10" s="12" customFormat="1" ht="17.100000000000001" customHeight="1">
      <c r="A587" s="175"/>
      <c r="B587" s="123"/>
      <c r="C587" s="117"/>
      <c r="D587" s="45"/>
      <c r="E587" s="112"/>
      <c r="F587" s="112"/>
      <c r="G587" s="112"/>
      <c r="H587" s="126">
        <f>ROUND(SUM(H581:H586),4)</f>
        <v>9.1200000000000003E-2</v>
      </c>
      <c r="I587" s="120"/>
      <c r="J587" s="125"/>
    </row>
    <row r="588" spans="1:10" s="12" customFormat="1" ht="17.100000000000001" customHeight="1">
      <c r="A588" s="175"/>
      <c r="B588" s="123"/>
      <c r="C588" s="117" t="s">
        <v>37</v>
      </c>
      <c r="D588" s="45"/>
      <c r="E588" s="112"/>
      <c r="F588" s="112"/>
      <c r="G588" s="116"/>
      <c r="H588" s="123"/>
      <c r="I588" s="120"/>
      <c r="J588" s="120"/>
    </row>
    <row r="589" spans="1:10" s="12" customFormat="1" ht="17.100000000000001" customHeight="1">
      <c r="A589" s="175"/>
      <c r="B589" s="123"/>
      <c r="C589" s="117" t="s">
        <v>57</v>
      </c>
      <c r="D589" s="45" t="s">
        <v>161</v>
      </c>
      <c r="E589" s="127">
        <f>H587</f>
        <v>9.1200000000000003E-2</v>
      </c>
      <c r="F589" s="116">
        <v>56634</v>
      </c>
      <c r="G589" s="125">
        <f>ROUND(F589*E589,2)</f>
        <v>5165.0200000000004</v>
      </c>
      <c r="H589" s="123"/>
      <c r="I589" s="120"/>
      <c r="J589" s="120"/>
    </row>
    <row r="590" spans="1:10" s="12" customFormat="1" ht="17.100000000000001" customHeight="1">
      <c r="A590" s="175"/>
      <c r="B590" s="123"/>
      <c r="C590" s="120" t="s">
        <v>105</v>
      </c>
      <c r="D590" s="45" t="s">
        <v>112</v>
      </c>
      <c r="E590" s="127">
        <v>9.1200000000000003E-2</v>
      </c>
      <c r="F590" s="128">
        <f>G696</f>
        <v>8287.2999999999993</v>
      </c>
      <c r="G590" s="125">
        <f>+F590*E590</f>
        <v>755.80175999999994</v>
      </c>
      <c r="H590" s="123"/>
      <c r="I590" s="120"/>
      <c r="J590" s="120"/>
    </row>
    <row r="591" spans="1:10" s="12" customFormat="1" ht="16.5" customHeight="1">
      <c r="A591" s="170"/>
      <c r="B591" s="45"/>
      <c r="C591" s="32" t="s">
        <v>162</v>
      </c>
      <c r="D591" s="29"/>
      <c r="E591" s="29"/>
      <c r="F591" s="29"/>
      <c r="G591" s="115"/>
      <c r="H591" s="31"/>
    </row>
    <row r="592" spans="1:10" s="12" customFormat="1" ht="17.100000000000001" customHeight="1">
      <c r="A592" s="175"/>
      <c r="B592" s="123"/>
      <c r="C592" s="117" t="s">
        <v>37</v>
      </c>
      <c r="D592" s="45"/>
      <c r="E592" s="112"/>
      <c r="F592" s="112"/>
      <c r="G592" s="112"/>
      <c r="H592" s="45"/>
      <c r="I592" s="120"/>
      <c r="J592" s="120"/>
    </row>
    <row r="593" spans="1:10" s="12" customFormat="1" ht="17.100000000000001" customHeight="1">
      <c r="A593" s="175"/>
      <c r="B593" s="123"/>
      <c r="C593" s="120" t="s">
        <v>38</v>
      </c>
      <c r="D593" s="112" t="s">
        <v>39</v>
      </c>
      <c r="E593" s="45">
        <v>6</v>
      </c>
      <c r="F593" s="116">
        <v>12</v>
      </c>
      <c r="G593" s="125">
        <f t="shared" ref="G593:G600" si="13">E593*F593</f>
        <v>72</v>
      </c>
      <c r="H593" s="18"/>
      <c r="I593" s="120"/>
      <c r="J593" s="125"/>
    </row>
    <row r="594" spans="1:10" s="12" customFormat="1" ht="17.100000000000001" customHeight="1">
      <c r="A594" s="175"/>
      <c r="B594" s="123"/>
      <c r="C594" s="120" t="s">
        <v>58</v>
      </c>
      <c r="D594" s="112" t="s">
        <v>39</v>
      </c>
      <c r="E594" s="45">
        <v>1</v>
      </c>
      <c r="F594" s="116">
        <v>341</v>
      </c>
      <c r="G594" s="125">
        <f t="shared" si="13"/>
        <v>341</v>
      </c>
      <c r="H594" s="18"/>
      <c r="I594" s="120"/>
      <c r="J594" s="125"/>
    </row>
    <row r="595" spans="1:10" s="12" customFormat="1" ht="17.100000000000001" customHeight="1">
      <c r="A595" s="175"/>
      <c r="B595" s="123"/>
      <c r="C595" s="120" t="s">
        <v>59</v>
      </c>
      <c r="D595" s="112" t="s">
        <v>39</v>
      </c>
      <c r="E595" s="45">
        <v>1</v>
      </c>
      <c r="F595" s="116">
        <v>92</v>
      </c>
      <c r="G595" s="125">
        <f t="shared" si="13"/>
        <v>92</v>
      </c>
      <c r="H595" s="18"/>
      <c r="I595" s="120"/>
      <c r="J595" s="125"/>
    </row>
    <row r="596" spans="1:10" s="12" customFormat="1" ht="17.100000000000001" customHeight="1">
      <c r="A596" s="175"/>
      <c r="B596" s="123"/>
      <c r="C596" s="120" t="s">
        <v>60</v>
      </c>
      <c r="D596" s="112" t="s">
        <v>39</v>
      </c>
      <c r="E596" s="45">
        <v>1</v>
      </c>
      <c r="F596" s="116">
        <v>113</v>
      </c>
      <c r="G596" s="125">
        <f t="shared" si="13"/>
        <v>113</v>
      </c>
      <c r="H596" s="18"/>
      <c r="I596" s="120"/>
      <c r="J596" s="125"/>
    </row>
    <row r="597" spans="1:10" s="12" customFormat="1" ht="17.100000000000001" customHeight="1">
      <c r="A597" s="175"/>
      <c r="B597" s="123"/>
      <c r="C597" s="120" t="s">
        <v>61</v>
      </c>
      <c r="D597" s="112" t="s">
        <v>39</v>
      </c>
      <c r="E597" s="45">
        <v>4</v>
      </c>
      <c r="F597" s="116">
        <v>127</v>
      </c>
      <c r="G597" s="125">
        <f t="shared" si="13"/>
        <v>508</v>
      </c>
      <c r="H597" s="18"/>
      <c r="I597" s="120"/>
      <c r="J597" s="125"/>
    </row>
    <row r="598" spans="1:10" s="12" customFormat="1" ht="17.100000000000001" customHeight="1">
      <c r="A598" s="175"/>
      <c r="B598" s="123"/>
      <c r="C598" s="120" t="s">
        <v>395</v>
      </c>
      <c r="D598" s="112" t="s">
        <v>39</v>
      </c>
      <c r="E598" s="45">
        <v>1</v>
      </c>
      <c r="F598" s="116">
        <v>46</v>
      </c>
      <c r="G598" s="125">
        <f t="shared" si="13"/>
        <v>46</v>
      </c>
      <c r="H598" s="18"/>
      <c r="I598" s="120"/>
      <c r="J598" s="125"/>
    </row>
    <row r="599" spans="1:10" s="12" customFormat="1" ht="17.100000000000001" customHeight="1">
      <c r="A599" s="175"/>
      <c r="B599" s="123"/>
      <c r="C599" s="120" t="s">
        <v>62</v>
      </c>
      <c r="D599" s="112" t="s">
        <v>39</v>
      </c>
      <c r="E599" s="45">
        <v>1</v>
      </c>
      <c r="F599" s="116">
        <v>112</v>
      </c>
      <c r="G599" s="125">
        <f t="shared" si="13"/>
        <v>112</v>
      </c>
      <c r="H599" s="18"/>
      <c r="I599" s="120"/>
      <c r="J599" s="125"/>
    </row>
    <row r="600" spans="1:10" s="12" customFormat="1" ht="17.100000000000001" customHeight="1">
      <c r="A600" s="175"/>
      <c r="B600" s="123"/>
      <c r="C600" s="120" t="s">
        <v>44</v>
      </c>
      <c r="D600" s="112" t="s">
        <v>45</v>
      </c>
      <c r="E600" s="45">
        <v>1</v>
      </c>
      <c r="F600" s="116">
        <v>135</v>
      </c>
      <c r="G600" s="125">
        <f t="shared" si="13"/>
        <v>135</v>
      </c>
      <c r="H600" s="18"/>
      <c r="I600" s="120"/>
      <c r="J600" s="125"/>
    </row>
    <row r="601" spans="1:10" s="12" customFormat="1" ht="17.100000000000001" customHeight="1">
      <c r="A601" s="175"/>
      <c r="B601" s="123"/>
      <c r="C601" s="120" t="s">
        <v>92</v>
      </c>
      <c r="D601" s="112"/>
      <c r="E601" s="45"/>
      <c r="F601" s="116"/>
      <c r="G601" s="125"/>
      <c r="H601" s="18"/>
      <c r="I601" s="120"/>
      <c r="J601" s="125"/>
    </row>
    <row r="602" spans="1:10" s="12" customFormat="1" ht="17.100000000000001" customHeight="1">
      <c r="A602" s="175"/>
      <c r="B602" s="123"/>
      <c r="C602" s="117"/>
      <c r="D602" s="45"/>
      <c r="E602" s="112"/>
      <c r="F602" s="129" t="s">
        <v>274</v>
      </c>
      <c r="G602" s="130">
        <f>SUM(G589:G601)</f>
        <v>7339.8217600000007</v>
      </c>
      <c r="H602" s="18"/>
      <c r="I602" s="120"/>
      <c r="J602" s="130"/>
    </row>
    <row r="603" spans="1:10" ht="115.5" customHeight="1">
      <c r="A603" s="175"/>
      <c r="B603" s="38">
        <v>21</v>
      </c>
      <c r="C603" s="1370" t="s">
        <v>64</v>
      </c>
      <c r="D603" s="1370"/>
      <c r="E603" s="1370"/>
      <c r="F603" s="1370"/>
      <c r="G603" s="1370"/>
      <c r="H603" s="54"/>
      <c r="I603" s="122"/>
      <c r="J603" s="122"/>
    </row>
    <row r="604" spans="1:10" s="12" customFormat="1" ht="17.100000000000001" customHeight="1">
      <c r="A604" s="175"/>
      <c r="B604" s="61"/>
      <c r="C604" s="123"/>
      <c r="D604" s="1382" t="s">
        <v>65</v>
      </c>
      <c r="E604" s="1382"/>
      <c r="F604" s="1382"/>
      <c r="G604" s="112"/>
      <c r="H604" s="45"/>
      <c r="I604" s="61"/>
      <c r="J604" s="61"/>
    </row>
    <row r="605" spans="1:10" s="12" customFormat="1" ht="17.100000000000001" customHeight="1">
      <c r="A605" s="175"/>
      <c r="B605" s="123"/>
      <c r="C605" s="117" t="s">
        <v>50</v>
      </c>
      <c r="D605" s="45"/>
      <c r="E605" s="112"/>
      <c r="F605" s="112"/>
      <c r="G605" s="112"/>
      <c r="H605" s="45"/>
      <c r="I605" s="120"/>
      <c r="J605" s="120"/>
    </row>
    <row r="606" spans="1:10" s="12" customFormat="1" ht="17.100000000000001" customHeight="1">
      <c r="A606" s="175"/>
      <c r="B606" s="123"/>
      <c r="C606" s="120" t="s">
        <v>51</v>
      </c>
      <c r="D606" s="45">
        <v>2</v>
      </c>
      <c r="E606" s="116">
        <v>2.1</v>
      </c>
      <c r="F606" s="116">
        <v>0.1</v>
      </c>
      <c r="G606" s="112">
        <v>7.4999999999999997E-2</v>
      </c>
      <c r="H606" s="124">
        <f>D606*E606*F606*G606</f>
        <v>3.15E-2</v>
      </c>
      <c r="I606" s="120"/>
      <c r="J606" s="125"/>
    </row>
    <row r="607" spans="1:10" s="12" customFormat="1" ht="17.100000000000001" customHeight="1">
      <c r="A607" s="175"/>
      <c r="B607" s="123"/>
      <c r="C607" s="120" t="s">
        <v>52</v>
      </c>
      <c r="D607" s="45">
        <v>2</v>
      </c>
      <c r="E607" s="116">
        <v>1.2</v>
      </c>
      <c r="F607" s="116">
        <v>0.1</v>
      </c>
      <c r="G607" s="112">
        <v>7.4999999999999997E-2</v>
      </c>
      <c r="H607" s="124">
        <f>D607*E607*F607*G607</f>
        <v>1.7999999999999999E-2</v>
      </c>
      <c r="I607" s="120"/>
      <c r="J607" s="125"/>
    </row>
    <row r="608" spans="1:10" s="12" customFormat="1" ht="17.100000000000001" customHeight="1">
      <c r="A608" s="175"/>
      <c r="B608" s="123"/>
      <c r="C608" s="117" t="s">
        <v>54</v>
      </c>
      <c r="D608" s="45">
        <v>4</v>
      </c>
      <c r="E608" s="112">
        <v>2.04</v>
      </c>
      <c r="F608" s="112">
        <v>0.125</v>
      </c>
      <c r="G608" s="112">
        <v>3.7999999999999999E-2</v>
      </c>
      <c r="H608" s="124">
        <f>D608*E608*F608*G608</f>
        <v>3.8760000000000003E-2</v>
      </c>
      <c r="I608" s="120"/>
      <c r="J608" s="125"/>
    </row>
    <row r="609" spans="1:10" s="12" customFormat="1" ht="17.100000000000001" customHeight="1">
      <c r="A609" s="175"/>
      <c r="B609" s="123"/>
      <c r="C609" s="117" t="s">
        <v>66</v>
      </c>
      <c r="D609" s="45">
        <v>5</v>
      </c>
      <c r="E609" s="112">
        <f>1.2-0.125</f>
        <v>1.075</v>
      </c>
      <c r="F609" s="112">
        <v>0.128</v>
      </c>
      <c r="G609" s="112">
        <v>3.7999999999999999E-2</v>
      </c>
      <c r="H609" s="124">
        <f>D609*E609*F609*G609</f>
        <v>2.6144000000000001E-2</v>
      </c>
      <c r="I609" s="120"/>
      <c r="J609" s="125"/>
    </row>
    <row r="610" spans="1:10" s="12" customFormat="1" ht="17.100000000000001" customHeight="1">
      <c r="A610" s="175"/>
      <c r="B610" s="123"/>
      <c r="C610" s="117" t="s">
        <v>56</v>
      </c>
      <c r="D610" s="45">
        <v>8</v>
      </c>
      <c r="E610" s="112">
        <v>0.45</v>
      </c>
      <c r="F610" s="112">
        <v>0.45</v>
      </c>
      <c r="G610" s="112">
        <v>2.5000000000000001E-2</v>
      </c>
      <c r="H610" s="124">
        <f>D610*E610*F610*G610</f>
        <v>4.0500000000000008E-2</v>
      </c>
      <c r="I610" s="120"/>
      <c r="J610" s="125"/>
    </row>
    <row r="611" spans="1:10" s="12" customFormat="1" ht="17.100000000000001" customHeight="1">
      <c r="A611" s="175"/>
      <c r="B611" s="123"/>
      <c r="C611" s="117"/>
      <c r="D611" s="45"/>
      <c r="E611" s="112"/>
      <c r="F611" s="112"/>
      <c r="G611" s="112"/>
      <c r="H611" s="126">
        <f>SUM(H606:H610)</f>
        <v>0.15490400000000001</v>
      </c>
      <c r="I611" s="120"/>
      <c r="J611" s="125"/>
    </row>
    <row r="612" spans="1:10" s="12" customFormat="1" ht="17.100000000000001" customHeight="1">
      <c r="A612" s="175"/>
      <c r="B612" s="123"/>
      <c r="C612" s="120" t="s">
        <v>57</v>
      </c>
      <c r="D612" s="45" t="s">
        <v>161</v>
      </c>
      <c r="E612" s="127">
        <f>+H611</f>
        <v>0.15490400000000001</v>
      </c>
      <c r="F612" s="116">
        <v>56634</v>
      </c>
      <c r="G612" s="125">
        <f>+F612*E612</f>
        <v>8772.8331360000011</v>
      </c>
      <c r="H612" s="123"/>
      <c r="I612" s="120"/>
      <c r="J612" s="120"/>
    </row>
    <row r="613" spans="1:10" s="12" customFormat="1" ht="17.100000000000001" customHeight="1">
      <c r="A613" s="175"/>
      <c r="B613" s="123"/>
      <c r="C613" s="120" t="s">
        <v>105</v>
      </c>
      <c r="D613" s="45" t="s">
        <v>112</v>
      </c>
      <c r="E613" s="127">
        <v>0.15490000000000001</v>
      </c>
      <c r="F613" s="116">
        <f>G696</f>
        <v>8287.2999999999993</v>
      </c>
      <c r="G613" s="125">
        <f>+F613*E613</f>
        <v>1283.7027699999999</v>
      </c>
      <c r="H613" s="123"/>
      <c r="I613" s="120"/>
      <c r="J613" s="120"/>
    </row>
    <row r="614" spans="1:10" s="12" customFormat="1" ht="16.5" customHeight="1">
      <c r="A614" s="170"/>
      <c r="B614" s="45"/>
      <c r="C614" s="32" t="s">
        <v>162</v>
      </c>
      <c r="D614" s="29"/>
      <c r="E614" s="29"/>
      <c r="F614" s="29"/>
      <c r="G614" s="115"/>
      <c r="H614" s="31"/>
    </row>
    <row r="615" spans="1:10" s="12" customFormat="1" ht="17.100000000000001" customHeight="1">
      <c r="A615" s="175"/>
      <c r="B615" s="123"/>
      <c r="C615" s="117" t="s">
        <v>37</v>
      </c>
      <c r="D615" s="45"/>
      <c r="E615" s="112"/>
      <c r="F615" s="112"/>
      <c r="G615" s="112"/>
      <c r="H615" s="45"/>
      <c r="I615" s="120"/>
      <c r="J615" s="120"/>
    </row>
    <row r="616" spans="1:10" s="12" customFormat="1" ht="17.100000000000001" customHeight="1">
      <c r="A616" s="175"/>
      <c r="B616" s="123"/>
      <c r="C616" s="120" t="s">
        <v>67</v>
      </c>
      <c r="D616" s="112" t="s">
        <v>39</v>
      </c>
      <c r="E616" s="45">
        <v>6</v>
      </c>
      <c r="F616" s="116">
        <v>15</v>
      </c>
      <c r="G616" s="116">
        <f t="shared" ref="G616:G623" si="14">+F616*E616</f>
        <v>90</v>
      </c>
      <c r="H616" s="18"/>
      <c r="I616" s="120"/>
      <c r="J616" s="125"/>
    </row>
    <row r="617" spans="1:10" s="12" customFormat="1" ht="17.100000000000001" customHeight="1">
      <c r="A617" s="175"/>
      <c r="B617" s="123"/>
      <c r="C617" s="120" t="s">
        <v>68</v>
      </c>
      <c r="D617" s="112" t="s">
        <v>39</v>
      </c>
      <c r="E617" s="45">
        <v>1</v>
      </c>
      <c r="F617" s="116">
        <v>341</v>
      </c>
      <c r="G617" s="116">
        <f t="shared" si="14"/>
        <v>341</v>
      </c>
      <c r="H617" s="18"/>
      <c r="I617" s="120"/>
      <c r="J617" s="125"/>
    </row>
    <row r="618" spans="1:10" s="12" customFormat="1" ht="17.100000000000001" customHeight="1">
      <c r="A618" s="175"/>
      <c r="B618" s="123"/>
      <c r="C618" s="120" t="s">
        <v>69</v>
      </c>
      <c r="D618" s="112" t="s">
        <v>39</v>
      </c>
      <c r="E618" s="45">
        <v>1</v>
      </c>
      <c r="F618" s="116">
        <v>92</v>
      </c>
      <c r="G618" s="116">
        <f t="shared" si="14"/>
        <v>92</v>
      </c>
      <c r="H618" s="18"/>
      <c r="I618" s="120"/>
      <c r="J618" s="125"/>
    </row>
    <row r="619" spans="1:10" s="12" customFormat="1" ht="17.100000000000001" customHeight="1">
      <c r="A619" s="175"/>
      <c r="B619" s="123"/>
      <c r="C619" s="120" t="s">
        <v>70</v>
      </c>
      <c r="D619" s="112" t="s">
        <v>39</v>
      </c>
      <c r="E619" s="45">
        <v>1</v>
      </c>
      <c r="F619" s="116">
        <v>113</v>
      </c>
      <c r="G619" s="116">
        <f t="shared" si="14"/>
        <v>113</v>
      </c>
      <c r="H619" s="18"/>
      <c r="I619" s="120"/>
      <c r="J619" s="125"/>
    </row>
    <row r="620" spans="1:10" s="12" customFormat="1" ht="17.100000000000001" customHeight="1">
      <c r="A620" s="175"/>
      <c r="B620" s="123"/>
      <c r="C620" s="120" t="s">
        <v>373</v>
      </c>
      <c r="D620" s="112" t="s">
        <v>39</v>
      </c>
      <c r="E620" s="45">
        <v>4</v>
      </c>
      <c r="F620" s="116">
        <v>127</v>
      </c>
      <c r="G620" s="116">
        <f t="shared" si="14"/>
        <v>508</v>
      </c>
      <c r="H620" s="18"/>
      <c r="I620" s="120"/>
      <c r="J620" s="125"/>
    </row>
    <row r="621" spans="1:10" s="12" customFormat="1" ht="17.100000000000001" customHeight="1">
      <c r="A621" s="175"/>
      <c r="B621" s="123"/>
      <c r="C621" s="120" t="s">
        <v>374</v>
      </c>
      <c r="D621" s="112" t="s">
        <v>39</v>
      </c>
      <c r="E621" s="45">
        <v>1</v>
      </c>
      <c r="F621" s="116">
        <v>46</v>
      </c>
      <c r="G621" s="116">
        <f t="shared" si="14"/>
        <v>46</v>
      </c>
      <c r="H621" s="18"/>
      <c r="I621" s="120"/>
      <c r="J621" s="125"/>
    </row>
    <row r="622" spans="1:10" s="12" customFormat="1" ht="17.100000000000001" customHeight="1">
      <c r="A622" s="175"/>
      <c r="B622" s="123"/>
      <c r="C622" s="120" t="s">
        <v>71</v>
      </c>
      <c r="D622" s="112" t="s">
        <v>39</v>
      </c>
      <c r="E622" s="45">
        <v>4</v>
      </c>
      <c r="F622" s="116">
        <v>112</v>
      </c>
      <c r="G622" s="116">
        <f t="shared" si="14"/>
        <v>448</v>
      </c>
      <c r="H622" s="18"/>
      <c r="I622" s="120"/>
      <c r="J622" s="125"/>
    </row>
    <row r="623" spans="1:10" s="12" customFormat="1" ht="17.100000000000001" customHeight="1">
      <c r="A623" s="175"/>
      <c r="B623" s="123"/>
      <c r="C623" s="120" t="s">
        <v>44</v>
      </c>
      <c r="D623" s="112" t="s">
        <v>45</v>
      </c>
      <c r="E623" s="45">
        <v>1</v>
      </c>
      <c r="F623" s="116">
        <v>135</v>
      </c>
      <c r="G623" s="116">
        <f t="shared" si="14"/>
        <v>135</v>
      </c>
      <c r="H623" s="18"/>
      <c r="I623" s="120"/>
      <c r="J623" s="125"/>
    </row>
    <row r="624" spans="1:10" s="12" customFormat="1" ht="17.100000000000001" customHeight="1">
      <c r="A624" s="175"/>
      <c r="B624" s="123"/>
      <c r="C624" s="120" t="s">
        <v>92</v>
      </c>
      <c r="D624" s="112"/>
      <c r="E624" s="45"/>
      <c r="F624" s="116"/>
      <c r="G624" s="116"/>
      <c r="H624" s="18"/>
      <c r="I624" s="120"/>
      <c r="J624" s="125"/>
    </row>
    <row r="625" spans="1:10" s="12" customFormat="1" ht="17.100000000000001" customHeight="1">
      <c r="A625" s="175"/>
      <c r="B625" s="123"/>
      <c r="C625" s="117"/>
      <c r="D625" s="45"/>
      <c r="E625" s="112"/>
      <c r="F625" s="112"/>
      <c r="G625" s="116">
        <f>SUM(G612:G624)</f>
        <v>11829.535906000001</v>
      </c>
      <c r="H625" s="45"/>
      <c r="I625" s="120"/>
      <c r="J625" s="131"/>
    </row>
    <row r="626" spans="1:10" s="12" customFormat="1" ht="17.100000000000001" customHeight="1">
      <c r="A626" s="175"/>
      <c r="B626" s="61"/>
      <c r="C626" s="117" t="s">
        <v>72</v>
      </c>
      <c r="D626" s="14"/>
      <c r="E626" s="132"/>
      <c r="F626" s="129" t="s">
        <v>202</v>
      </c>
      <c r="G626" s="121">
        <f>ROUND(SUM(G625:G625),1)</f>
        <v>11829.5</v>
      </c>
      <c r="H626" s="18"/>
      <c r="I626" s="133"/>
      <c r="J626" s="121"/>
    </row>
    <row r="627" spans="1:10" s="12" customFormat="1" ht="17.100000000000001" customHeight="1">
      <c r="A627" s="175"/>
      <c r="B627" s="61"/>
      <c r="C627" s="117" t="s">
        <v>406</v>
      </c>
      <c r="D627" s="1383" t="s">
        <v>407</v>
      </c>
      <c r="E627" s="1383"/>
      <c r="F627" s="1383"/>
      <c r="G627" s="121">
        <f>ROUND(G626*((1.5*2.1)/(1.2*2.1)),2)</f>
        <v>14786.88</v>
      </c>
      <c r="H627" s="18"/>
      <c r="I627" s="133"/>
      <c r="J627" s="121"/>
    </row>
    <row r="628" spans="1:10" s="12" customFormat="1" ht="17.100000000000001" customHeight="1">
      <c r="A628" s="175"/>
      <c r="B628" s="61"/>
      <c r="C628" s="117"/>
      <c r="D628" s="14"/>
      <c r="E628" s="132"/>
      <c r="F628" s="129"/>
      <c r="G628" s="121"/>
      <c r="H628" s="18"/>
      <c r="I628" s="133"/>
      <c r="J628" s="121"/>
    </row>
    <row r="629" spans="1:10" ht="114.75" customHeight="1">
      <c r="B629" s="38">
        <v>2</v>
      </c>
      <c r="C629" s="1370" t="s">
        <v>74</v>
      </c>
      <c r="D629" s="1370"/>
      <c r="E629" s="1370"/>
      <c r="F629" s="1370"/>
      <c r="G629" s="1370"/>
      <c r="H629" s="134"/>
      <c r="I629" s="135"/>
    </row>
    <row r="630" spans="1:10" s="12" customFormat="1" ht="17.100000000000001" customHeight="1">
      <c r="A630" s="175"/>
      <c r="B630" s="123"/>
      <c r="C630" s="1381" t="s">
        <v>75</v>
      </c>
      <c r="D630" s="1381"/>
      <c r="E630" s="1381"/>
      <c r="F630" s="112"/>
      <c r="G630" s="112"/>
      <c r="H630" s="45"/>
      <c r="I630" s="120"/>
      <c r="J630" s="120"/>
    </row>
    <row r="631" spans="1:10" s="12" customFormat="1" ht="17.100000000000001" customHeight="1">
      <c r="A631" s="175"/>
      <c r="B631" s="123"/>
      <c r="C631" s="117" t="s">
        <v>50</v>
      </c>
      <c r="D631" s="45"/>
      <c r="E631" s="112"/>
      <c r="F631" s="112"/>
      <c r="G631" s="112"/>
      <c r="H631" s="45"/>
      <c r="I631" s="120"/>
      <c r="J631" s="120"/>
    </row>
    <row r="632" spans="1:10" s="12" customFormat="1" ht="17.100000000000001" customHeight="1">
      <c r="A632" s="175"/>
      <c r="B632" s="123"/>
      <c r="C632" s="120" t="s">
        <v>51</v>
      </c>
      <c r="D632" s="45">
        <v>2</v>
      </c>
      <c r="E632" s="116">
        <v>2.1</v>
      </c>
      <c r="F632" s="116">
        <v>0.1</v>
      </c>
      <c r="G632" s="112">
        <v>7.4999999999999997E-2</v>
      </c>
      <c r="H632" s="124">
        <f>D632*E632*F632*G632</f>
        <v>3.15E-2</v>
      </c>
      <c r="I632" s="120"/>
      <c r="J632" s="125"/>
    </row>
    <row r="633" spans="1:10" s="12" customFormat="1" ht="17.100000000000001" customHeight="1">
      <c r="A633" s="175"/>
      <c r="B633" s="123"/>
      <c r="C633" s="120" t="s">
        <v>52</v>
      </c>
      <c r="D633" s="45">
        <v>2</v>
      </c>
      <c r="E633" s="116">
        <v>0.9</v>
      </c>
      <c r="F633" s="116">
        <v>7.4999999999999997E-2</v>
      </c>
      <c r="G633" s="112">
        <v>3.7999999999999999E-2</v>
      </c>
      <c r="H633" s="124">
        <f>D633*E633*F633*G633</f>
        <v>5.13E-3</v>
      </c>
      <c r="I633" s="120"/>
      <c r="J633" s="125"/>
    </row>
    <row r="634" spans="1:10" s="12" customFormat="1" ht="17.100000000000001" customHeight="1">
      <c r="A634" s="175"/>
      <c r="B634" s="123"/>
      <c r="C634" s="120" t="s">
        <v>76</v>
      </c>
      <c r="D634" s="45">
        <v>2</v>
      </c>
      <c r="E634" s="116">
        <v>1.95</v>
      </c>
      <c r="F634" s="128">
        <v>0.125</v>
      </c>
      <c r="G634" s="112">
        <v>3.7999999999999999E-2</v>
      </c>
      <c r="H634" s="124">
        <f>D634*E634*F634*G634</f>
        <v>1.8525E-2</v>
      </c>
      <c r="I634" s="120"/>
      <c r="J634" s="125"/>
    </row>
    <row r="635" spans="1:10" s="12" customFormat="1" ht="17.100000000000001" customHeight="1">
      <c r="A635" s="175"/>
      <c r="B635" s="123"/>
      <c r="C635" s="120" t="s">
        <v>77</v>
      </c>
      <c r="D635" s="45">
        <v>5</v>
      </c>
      <c r="E635" s="116">
        <v>0.75</v>
      </c>
      <c r="F635" s="128">
        <v>0.125</v>
      </c>
      <c r="G635" s="112">
        <v>3.7999999999999999E-2</v>
      </c>
      <c r="H635" s="124">
        <f>D635*E635*F635*G635</f>
        <v>1.7812499999999998E-2</v>
      </c>
      <c r="I635" s="120"/>
      <c r="J635" s="125"/>
    </row>
    <row r="636" spans="1:10" s="12" customFormat="1" ht="17.100000000000001" customHeight="1">
      <c r="A636" s="175"/>
      <c r="B636" s="123"/>
      <c r="C636" s="120" t="s">
        <v>56</v>
      </c>
      <c r="D636" s="45">
        <v>4</v>
      </c>
      <c r="E636" s="116">
        <v>0.68</v>
      </c>
      <c r="F636" s="116">
        <v>0.45</v>
      </c>
      <c r="G636" s="112">
        <v>2.5000000000000001E-2</v>
      </c>
      <c r="H636" s="124">
        <f>D636*E636*F636*G636</f>
        <v>3.0600000000000006E-2</v>
      </c>
      <c r="I636" s="120"/>
      <c r="J636" s="120"/>
    </row>
    <row r="637" spans="1:10" s="12" customFormat="1" ht="17.100000000000001" customHeight="1">
      <c r="A637" s="175"/>
      <c r="B637" s="123"/>
      <c r="C637" s="120"/>
      <c r="D637" s="45"/>
      <c r="E637" s="112"/>
      <c r="F637" s="112"/>
      <c r="G637" s="112"/>
      <c r="H637" s="126">
        <f>ROUND(SUM(H632:H636),4)</f>
        <v>0.1036</v>
      </c>
      <c r="I637" s="120"/>
      <c r="J637" s="120"/>
    </row>
    <row r="638" spans="1:10" s="12" customFormat="1" ht="17.100000000000001" customHeight="1">
      <c r="A638" s="175"/>
      <c r="B638" s="123"/>
      <c r="C638" s="120" t="s">
        <v>57</v>
      </c>
      <c r="D638" s="45" t="s">
        <v>161</v>
      </c>
      <c r="E638" s="127">
        <f>+H637</f>
        <v>0.1036</v>
      </c>
      <c r="F638" s="116">
        <v>56634</v>
      </c>
      <c r="G638" s="125">
        <f>+F638*E638</f>
        <v>5867.2824000000001</v>
      </c>
      <c r="H638" s="123"/>
      <c r="I638" s="120"/>
      <c r="J638" s="120"/>
    </row>
    <row r="639" spans="1:10" s="12" customFormat="1" ht="17.100000000000001" customHeight="1">
      <c r="A639" s="175"/>
      <c r="B639" s="123"/>
      <c r="C639" s="120" t="s">
        <v>105</v>
      </c>
      <c r="D639" s="45" t="s">
        <v>112</v>
      </c>
      <c r="E639" s="116">
        <v>0.1036</v>
      </c>
      <c r="F639" s="116">
        <f>G696</f>
        <v>8287.2999999999993</v>
      </c>
      <c r="G639" s="125">
        <f>+F639*E639</f>
        <v>858.56427999999994</v>
      </c>
      <c r="H639" s="123"/>
      <c r="I639" s="120"/>
      <c r="J639" s="120"/>
    </row>
    <row r="640" spans="1:10" s="12" customFormat="1" ht="17.100000000000001" customHeight="1">
      <c r="A640" s="175"/>
      <c r="B640" s="123"/>
      <c r="C640" s="32" t="s">
        <v>162</v>
      </c>
      <c r="D640" s="29"/>
      <c r="E640" s="29"/>
      <c r="F640" s="29"/>
      <c r="G640" s="115"/>
      <c r="H640" s="123"/>
      <c r="I640" s="120"/>
      <c r="J640" s="120"/>
    </row>
    <row r="641" spans="1:10" s="12" customFormat="1" ht="17.100000000000001" customHeight="1">
      <c r="A641" s="175"/>
      <c r="B641" s="123"/>
      <c r="C641" s="117" t="s">
        <v>37</v>
      </c>
      <c r="D641" s="45"/>
      <c r="E641" s="112"/>
      <c r="F641" s="112"/>
      <c r="G641" s="112"/>
      <c r="H641" s="45"/>
      <c r="I641" s="120"/>
      <c r="J641" s="120"/>
    </row>
    <row r="642" spans="1:10" s="12" customFormat="1" ht="17.100000000000001" customHeight="1">
      <c r="A642" s="175"/>
      <c r="B642" s="123"/>
      <c r="C642" s="120" t="s">
        <v>38</v>
      </c>
      <c r="D642" s="45">
        <v>6</v>
      </c>
      <c r="E642" s="112" t="s">
        <v>39</v>
      </c>
      <c r="F642" s="116">
        <v>15</v>
      </c>
      <c r="G642" s="116">
        <f t="shared" ref="G642:G649" si="15">+F642*D642</f>
        <v>90</v>
      </c>
      <c r="H642" s="45"/>
      <c r="I642" s="120"/>
      <c r="J642" s="125"/>
    </row>
    <row r="643" spans="1:10" s="12" customFormat="1" ht="17.100000000000001" customHeight="1">
      <c r="A643" s="175"/>
      <c r="B643" s="123"/>
      <c r="C643" s="120" t="s">
        <v>58</v>
      </c>
      <c r="D643" s="45">
        <v>1</v>
      </c>
      <c r="E643" s="112" t="s">
        <v>39</v>
      </c>
      <c r="F643" s="116">
        <v>341</v>
      </c>
      <c r="G643" s="116">
        <f t="shared" si="15"/>
        <v>341</v>
      </c>
      <c r="H643" s="45"/>
      <c r="I643" s="120"/>
      <c r="J643" s="125"/>
    </row>
    <row r="644" spans="1:10" s="12" customFormat="1" ht="17.100000000000001" customHeight="1">
      <c r="A644" s="175"/>
      <c r="B644" s="123"/>
      <c r="C644" s="120" t="s">
        <v>59</v>
      </c>
      <c r="D644" s="45">
        <v>1</v>
      </c>
      <c r="E644" s="112" t="s">
        <v>39</v>
      </c>
      <c r="F644" s="116">
        <v>92</v>
      </c>
      <c r="G644" s="116">
        <f t="shared" si="15"/>
        <v>92</v>
      </c>
      <c r="H644" s="45"/>
      <c r="I644" s="120"/>
      <c r="J644" s="125"/>
    </row>
    <row r="645" spans="1:10" s="12" customFormat="1" ht="17.100000000000001" customHeight="1">
      <c r="A645" s="175"/>
      <c r="B645" s="123"/>
      <c r="C645" s="120" t="s">
        <v>60</v>
      </c>
      <c r="D645" s="45">
        <v>1</v>
      </c>
      <c r="E645" s="112" t="s">
        <v>39</v>
      </c>
      <c r="F645" s="116">
        <v>113</v>
      </c>
      <c r="G645" s="116">
        <f t="shared" si="15"/>
        <v>113</v>
      </c>
      <c r="H645" s="45"/>
      <c r="I645" s="120"/>
      <c r="J645" s="125"/>
    </row>
    <row r="646" spans="1:10" s="12" customFormat="1" ht="17.100000000000001" customHeight="1">
      <c r="A646" s="175"/>
      <c r="B646" s="123"/>
      <c r="C646" s="120" t="s">
        <v>396</v>
      </c>
      <c r="D646" s="45">
        <v>4</v>
      </c>
      <c r="E646" s="112" t="s">
        <v>39</v>
      </c>
      <c r="F646" s="116">
        <v>31</v>
      </c>
      <c r="G646" s="116">
        <f t="shared" si="15"/>
        <v>124</v>
      </c>
      <c r="H646" s="45"/>
      <c r="I646" s="120"/>
      <c r="J646" s="125"/>
    </row>
    <row r="647" spans="1:10" s="12" customFormat="1" ht="17.100000000000001" customHeight="1">
      <c r="A647" s="175"/>
      <c r="B647" s="123"/>
      <c r="C647" s="120" t="s">
        <v>374</v>
      </c>
      <c r="D647" s="45">
        <v>1</v>
      </c>
      <c r="E647" s="112" t="s">
        <v>39</v>
      </c>
      <c r="F647" s="116">
        <v>46</v>
      </c>
      <c r="G647" s="116">
        <f t="shared" si="15"/>
        <v>46</v>
      </c>
      <c r="H647" s="45"/>
      <c r="I647" s="120"/>
      <c r="J647" s="125"/>
    </row>
    <row r="648" spans="1:10" s="12" customFormat="1" ht="17.100000000000001" customHeight="1">
      <c r="A648" s="175"/>
      <c r="B648" s="123"/>
      <c r="C648" s="120" t="s">
        <v>62</v>
      </c>
      <c r="D648" s="45">
        <v>1</v>
      </c>
      <c r="E648" s="112" t="s">
        <v>39</v>
      </c>
      <c r="F648" s="116">
        <v>112</v>
      </c>
      <c r="G648" s="116">
        <f t="shared" si="15"/>
        <v>112</v>
      </c>
      <c r="H648" s="45"/>
      <c r="I648" s="120"/>
      <c r="J648" s="125"/>
    </row>
    <row r="649" spans="1:10" s="12" customFormat="1" ht="17.100000000000001" customHeight="1">
      <c r="A649" s="175"/>
      <c r="B649" s="123"/>
      <c r="C649" s="120" t="s">
        <v>44</v>
      </c>
      <c r="D649" s="45">
        <v>1</v>
      </c>
      <c r="E649" s="112" t="s">
        <v>45</v>
      </c>
      <c r="F649" s="116">
        <v>135</v>
      </c>
      <c r="G649" s="116">
        <f t="shared" si="15"/>
        <v>135</v>
      </c>
      <c r="H649" s="45"/>
      <c r="I649" s="120"/>
      <c r="J649" s="125"/>
    </row>
    <row r="650" spans="1:10" s="12" customFormat="1" ht="17.100000000000001" customHeight="1">
      <c r="A650" s="175"/>
      <c r="B650" s="123"/>
      <c r="C650" s="120" t="s">
        <v>92</v>
      </c>
      <c r="D650" s="45"/>
      <c r="E650" s="112"/>
      <c r="F650" s="116"/>
      <c r="G650" s="116"/>
      <c r="H650" s="45"/>
      <c r="I650" s="120"/>
      <c r="J650" s="125"/>
    </row>
    <row r="651" spans="1:10" s="12" customFormat="1" ht="17.100000000000001" customHeight="1">
      <c r="A651" s="175"/>
      <c r="B651" s="123"/>
      <c r="C651" s="117"/>
      <c r="D651" s="45"/>
      <c r="E651" s="112"/>
      <c r="F651" s="112"/>
      <c r="G651" s="136">
        <f>SUM(G638:G650)</f>
        <v>7778.8466799999997</v>
      </c>
      <c r="H651" s="45"/>
      <c r="I651" s="120"/>
      <c r="J651" s="130"/>
    </row>
    <row r="652" spans="1:10" s="12" customFormat="1" ht="17.100000000000001" customHeight="1">
      <c r="A652" s="175"/>
      <c r="B652" s="123"/>
      <c r="C652" s="117"/>
      <c r="D652" s="137"/>
      <c r="E652" s="129"/>
      <c r="F652" s="129" t="s">
        <v>63</v>
      </c>
      <c r="G652" s="121">
        <f>ROUND(SUM(G651:G651),1)</f>
        <v>7778.8</v>
      </c>
      <c r="H652" s="18"/>
      <c r="I652" s="133"/>
      <c r="J652" s="121"/>
    </row>
    <row r="653" spans="1:10" ht="53.25" customHeight="1">
      <c r="A653" s="176"/>
      <c r="B653" s="139"/>
      <c r="C653" s="140" t="s">
        <v>405</v>
      </c>
      <c r="D653" s="141"/>
      <c r="E653" s="142"/>
      <c r="F653" s="141"/>
      <c r="G653" s="142"/>
    </row>
    <row r="654" spans="1:10">
      <c r="A654" s="176">
        <v>0.79</v>
      </c>
      <c r="B654" s="139">
        <v>5.5</v>
      </c>
      <c r="C654" s="140" t="s">
        <v>83</v>
      </c>
      <c r="D654" s="141" t="s">
        <v>107</v>
      </c>
      <c r="E654" s="145">
        <v>280</v>
      </c>
      <c r="F654" s="141" t="s">
        <v>78</v>
      </c>
      <c r="G654" s="145">
        <f>ROUND(E654*A654*B654,2)</f>
        <v>1216.5999999999999</v>
      </c>
    </row>
    <row r="655" spans="1:10">
      <c r="A655" s="176">
        <v>0.56000000000000005</v>
      </c>
      <c r="B655" s="139">
        <v>2</v>
      </c>
      <c r="C655" s="140" t="s">
        <v>403</v>
      </c>
      <c r="D655" s="141"/>
      <c r="E655" s="142">
        <v>280</v>
      </c>
      <c r="F655" s="141"/>
      <c r="G655" s="145">
        <f>ROUND(E655*A655*B655,2)</f>
        <v>313.60000000000002</v>
      </c>
    </row>
    <row r="656" spans="1:10">
      <c r="A656" s="176"/>
      <c r="B656" s="139"/>
      <c r="C656" s="140"/>
      <c r="D656" s="141"/>
      <c r="E656" s="142"/>
      <c r="F656" s="141"/>
      <c r="G656" s="145">
        <f>SUM(G654:G655)</f>
        <v>1530.1999999999998</v>
      </c>
    </row>
    <row r="657" spans="1:8" ht="51.75" customHeight="1">
      <c r="A657" s="176"/>
      <c r="B657" s="139"/>
      <c r="C657" s="140" t="s">
        <v>84</v>
      </c>
      <c r="D657" s="141"/>
      <c r="E657" s="142"/>
      <c r="F657" s="141"/>
      <c r="G657" s="142"/>
    </row>
    <row r="658" spans="1:8">
      <c r="A658" s="176">
        <v>0.52600000000000002</v>
      </c>
      <c r="B658" s="139">
        <v>3.66</v>
      </c>
      <c r="C658" s="140" t="s">
        <v>402</v>
      </c>
      <c r="D658" s="141" t="s">
        <v>107</v>
      </c>
      <c r="E658" s="145">
        <v>280</v>
      </c>
      <c r="F658" s="141" t="s">
        <v>78</v>
      </c>
      <c r="G658" s="145">
        <f>ROUND(E658*A658*B658,2)</f>
        <v>539.04</v>
      </c>
    </row>
    <row r="659" spans="1:8">
      <c r="A659" s="176">
        <v>0.56000000000000005</v>
      </c>
      <c r="B659" s="139">
        <v>2</v>
      </c>
      <c r="C659" s="140" t="s">
        <v>403</v>
      </c>
      <c r="D659" s="141"/>
      <c r="E659" s="142">
        <v>280</v>
      </c>
      <c r="F659" s="141"/>
      <c r="G659" s="145">
        <f>ROUND(E659*A659*B659,2)</f>
        <v>313.60000000000002</v>
      </c>
    </row>
    <row r="660" spans="1:8">
      <c r="A660" s="176"/>
      <c r="B660" s="139"/>
      <c r="C660" s="140"/>
      <c r="D660" s="141"/>
      <c r="E660" s="142"/>
      <c r="F660" s="141"/>
      <c r="G660" s="145">
        <f>SUM(G658:G659)</f>
        <v>852.64</v>
      </c>
    </row>
    <row r="661" spans="1:8" ht="54" customHeight="1">
      <c r="A661" s="176"/>
      <c r="B661" s="139"/>
      <c r="C661" s="140" t="s">
        <v>85</v>
      </c>
      <c r="D661" s="141"/>
      <c r="E661" s="142"/>
      <c r="F661" s="141"/>
      <c r="G661" s="142"/>
    </row>
    <row r="662" spans="1:8">
      <c r="A662" s="176">
        <f>ROUND(25.5/8,2)</f>
        <v>3.19</v>
      </c>
      <c r="B662" s="139" t="s">
        <v>78</v>
      </c>
      <c r="C662" s="140" t="s">
        <v>86</v>
      </c>
      <c r="D662" s="141" t="s">
        <v>107</v>
      </c>
      <c r="E662" s="145">
        <v>280</v>
      </c>
      <c r="F662" s="141" t="s">
        <v>78</v>
      </c>
      <c r="G662" s="145">
        <f>E662*A662</f>
        <v>893.19999999999993</v>
      </c>
    </row>
    <row r="663" spans="1:8">
      <c r="A663" s="176"/>
      <c r="B663" s="139"/>
      <c r="C663" s="138" t="s">
        <v>92</v>
      </c>
      <c r="D663" s="141"/>
      <c r="E663" s="145"/>
      <c r="F663" s="141"/>
      <c r="G663" s="145"/>
    </row>
    <row r="664" spans="1:8">
      <c r="A664" s="176"/>
      <c r="B664" s="139"/>
      <c r="C664" s="140"/>
      <c r="D664" s="141"/>
      <c r="E664" s="142"/>
      <c r="F664" s="141"/>
      <c r="G664" s="145">
        <f>SUM(G662:G663)</f>
        <v>893.19999999999993</v>
      </c>
    </row>
    <row r="665" spans="1:8" ht="36.75" customHeight="1">
      <c r="A665" s="45" t="s">
        <v>256</v>
      </c>
      <c r="B665" s="180">
        <v>84</v>
      </c>
      <c r="C665" s="187" t="s">
        <v>203</v>
      </c>
      <c r="D665" s="181"/>
      <c r="E665" s="182"/>
      <c r="F665" s="183"/>
      <c r="G665" s="183"/>
      <c r="H665" s="183"/>
    </row>
    <row r="666" spans="1:8">
      <c r="A666" s="184"/>
      <c r="B666" s="180"/>
      <c r="C666" s="185" t="s">
        <v>326</v>
      </c>
      <c r="D666" s="181"/>
      <c r="E666" s="182"/>
      <c r="F666" s="183"/>
      <c r="G666" s="183"/>
      <c r="H666" s="183"/>
    </row>
    <row r="667" spans="1:8">
      <c r="A667" s="186"/>
      <c r="B667" s="180"/>
      <c r="C667" s="187" t="s">
        <v>177</v>
      </c>
      <c r="D667" s="181"/>
      <c r="E667" s="181"/>
      <c r="F667" s="183"/>
      <c r="G667" s="183"/>
      <c r="H667" s="183"/>
    </row>
    <row r="668" spans="1:8">
      <c r="A668" s="188"/>
      <c r="B668" s="189"/>
      <c r="C668" s="185" t="s">
        <v>269</v>
      </c>
      <c r="D668" s="190" t="s">
        <v>112</v>
      </c>
      <c r="E668" s="191">
        <v>1</v>
      </c>
      <c r="F668" s="198" t="e">
        <f>G205</f>
        <v>#N/A</v>
      </c>
      <c r="G668" s="199" t="e">
        <f>F668*E668</f>
        <v>#N/A</v>
      </c>
      <c r="H668" s="183"/>
    </row>
    <row r="669" spans="1:8">
      <c r="A669" s="18"/>
      <c r="B669" s="180"/>
      <c r="C669" s="185" t="s">
        <v>257</v>
      </c>
      <c r="D669" s="181" t="s">
        <v>112</v>
      </c>
      <c r="E669" s="192">
        <v>0.25</v>
      </c>
      <c r="F669" s="198" t="e">
        <f>'lead(new)'!Q21</f>
        <v>#N/A</v>
      </c>
      <c r="G669" s="199" t="e">
        <f>F669*E669</f>
        <v>#N/A</v>
      </c>
      <c r="H669" s="183"/>
    </row>
    <row r="670" spans="1:8">
      <c r="A670" s="18"/>
      <c r="B670" s="180"/>
      <c r="C670" s="185" t="s">
        <v>104</v>
      </c>
      <c r="D670" s="181" t="s">
        <v>116</v>
      </c>
      <c r="E670" s="192">
        <v>120</v>
      </c>
      <c r="F670" s="199">
        <f>'lead(new)'!P7</f>
        <v>5200</v>
      </c>
      <c r="G670" s="199">
        <f>F670*E670/1000</f>
        <v>624</v>
      </c>
      <c r="H670" s="183"/>
    </row>
    <row r="671" spans="1:8">
      <c r="A671" s="186"/>
      <c r="B671" s="180"/>
      <c r="C671" s="185" t="s">
        <v>3</v>
      </c>
      <c r="D671" s="181"/>
      <c r="E671" s="192"/>
      <c r="F671" s="183"/>
      <c r="G671" s="183"/>
      <c r="H671" s="183"/>
    </row>
    <row r="672" spans="1:8" ht="13.5">
      <c r="A672" s="186"/>
      <c r="B672" s="180"/>
      <c r="C672" s="185" t="s">
        <v>258</v>
      </c>
      <c r="D672" s="181" t="s">
        <v>186</v>
      </c>
      <c r="E672" s="192">
        <v>0.15</v>
      </c>
      <c r="F672" s="199">
        <v>350</v>
      </c>
      <c r="G672" s="183">
        <f>F672*E672</f>
        <v>52.5</v>
      </c>
      <c r="H672" s="183"/>
    </row>
    <row r="673" spans="1:8" ht="13.5">
      <c r="A673" s="186"/>
      <c r="B673" s="180"/>
      <c r="C673" s="185" t="s">
        <v>259</v>
      </c>
      <c r="D673" s="181" t="s">
        <v>186</v>
      </c>
      <c r="E673" s="192">
        <v>0.35</v>
      </c>
      <c r="F673" s="199">
        <v>320</v>
      </c>
      <c r="G673" s="183">
        <f>F673*E673</f>
        <v>112</v>
      </c>
      <c r="H673" s="183"/>
    </row>
    <row r="674" spans="1:8">
      <c r="A674" s="186"/>
      <c r="B674" s="180"/>
      <c r="C674" s="185" t="s">
        <v>4</v>
      </c>
      <c r="D674" s="181" t="s">
        <v>186</v>
      </c>
      <c r="E674" s="181">
        <v>5.4</v>
      </c>
      <c r="F674" s="199">
        <v>280</v>
      </c>
      <c r="G674" s="183">
        <f>F674*E674</f>
        <v>1512</v>
      </c>
      <c r="H674" s="183"/>
    </row>
    <row r="675" spans="1:8">
      <c r="A675" s="188"/>
      <c r="B675" s="189"/>
      <c r="C675" s="138" t="s">
        <v>92</v>
      </c>
      <c r="D675" s="190"/>
      <c r="E675" s="193"/>
      <c r="F675" s="199"/>
      <c r="G675" s="199"/>
      <c r="H675" s="183"/>
    </row>
    <row r="676" spans="1:8">
      <c r="A676" s="184"/>
      <c r="B676" s="180"/>
      <c r="C676" s="194" t="s">
        <v>187</v>
      </c>
      <c r="D676" s="181"/>
      <c r="E676" s="182"/>
      <c r="F676" s="183"/>
      <c r="G676" s="199" t="e">
        <f>SUM(G668:G675)</f>
        <v>#N/A</v>
      </c>
      <c r="H676" s="183"/>
    </row>
    <row r="677" spans="1:8" ht="97.5" customHeight="1">
      <c r="A677" s="45" t="s">
        <v>260</v>
      </c>
      <c r="B677" s="180">
        <v>70</v>
      </c>
      <c r="C677" s="185" t="s">
        <v>275</v>
      </c>
      <c r="D677" s="195"/>
      <c r="E677" s="181"/>
      <c r="F677" s="183"/>
      <c r="G677" s="183"/>
      <c r="H677" s="183"/>
    </row>
    <row r="678" spans="1:8">
      <c r="A678" s="186"/>
      <c r="B678" s="180"/>
      <c r="C678" s="185" t="s">
        <v>261</v>
      </c>
      <c r="D678" s="195"/>
      <c r="E678" s="181"/>
      <c r="F678" s="183"/>
      <c r="G678" s="183"/>
      <c r="H678" s="183"/>
    </row>
    <row r="679" spans="1:8">
      <c r="A679" s="186"/>
      <c r="B679" s="180"/>
      <c r="C679" s="185" t="s">
        <v>262</v>
      </c>
      <c r="D679" s="195"/>
      <c r="E679" s="181"/>
      <c r="F679" s="183"/>
      <c r="G679" s="183"/>
      <c r="H679" s="183"/>
    </row>
    <row r="680" spans="1:8">
      <c r="A680" s="186"/>
      <c r="B680" s="180"/>
      <c r="C680" s="185" t="s">
        <v>177</v>
      </c>
      <c r="D680" s="195"/>
      <c r="E680" s="181"/>
      <c r="F680" s="183"/>
      <c r="G680" s="183"/>
      <c r="H680" s="183"/>
    </row>
    <row r="681" spans="1:8">
      <c r="A681" s="186"/>
      <c r="B681" s="180"/>
      <c r="C681" s="185" t="s">
        <v>263</v>
      </c>
      <c r="D681" s="195" t="s">
        <v>186</v>
      </c>
      <c r="E681" s="196">
        <v>110</v>
      </c>
      <c r="F681" s="199">
        <f>'lead(new)'!P17</f>
        <v>19.136228070175438</v>
      </c>
      <c r="G681" s="199">
        <f>F681*E681</f>
        <v>2104.985087719298</v>
      </c>
      <c r="H681" s="183"/>
    </row>
    <row r="682" spans="1:8">
      <c r="A682" s="186"/>
      <c r="B682" s="180"/>
      <c r="C682" s="185" t="s">
        <v>264</v>
      </c>
      <c r="D682" s="195" t="s">
        <v>112</v>
      </c>
      <c r="E682" s="196">
        <v>0.1</v>
      </c>
      <c r="F682" s="198" t="e">
        <f>G85</f>
        <v>#N/A</v>
      </c>
      <c r="G682" s="199" t="e">
        <f t="shared" ref="G682:G687" si="16">F682*E682</f>
        <v>#N/A</v>
      </c>
      <c r="H682" s="183"/>
    </row>
    <row r="683" spans="1:8">
      <c r="A683" s="186"/>
      <c r="B683" s="180"/>
      <c r="C683" s="185" t="s">
        <v>3</v>
      </c>
      <c r="D683" s="195"/>
      <c r="E683" s="196"/>
      <c r="F683" s="183"/>
      <c r="G683" s="199"/>
      <c r="H683" s="183"/>
    </row>
    <row r="684" spans="1:8">
      <c r="A684" s="186"/>
      <c r="B684" s="180"/>
      <c r="C684" s="185" t="s">
        <v>265</v>
      </c>
      <c r="D684" s="195" t="s">
        <v>186</v>
      </c>
      <c r="E684" s="227">
        <v>0.42</v>
      </c>
      <c r="F684" s="199">
        <v>350</v>
      </c>
      <c r="G684" s="199">
        <f t="shared" si="16"/>
        <v>147</v>
      </c>
      <c r="H684" s="183"/>
    </row>
    <row r="685" spans="1:8">
      <c r="A685" s="186"/>
      <c r="B685" s="180"/>
      <c r="C685" s="185" t="s">
        <v>266</v>
      </c>
      <c r="D685" s="195" t="s">
        <v>186</v>
      </c>
      <c r="E685" s="196">
        <v>0.92</v>
      </c>
      <c r="F685" s="199">
        <v>320</v>
      </c>
      <c r="G685" s="199">
        <f t="shared" si="16"/>
        <v>294.40000000000003</v>
      </c>
      <c r="H685" s="183"/>
    </row>
    <row r="686" spans="1:8">
      <c r="A686" s="186"/>
      <c r="B686" s="180"/>
      <c r="C686" s="185" t="s">
        <v>267</v>
      </c>
      <c r="D686" s="195" t="s">
        <v>186</v>
      </c>
      <c r="E686" s="196">
        <v>0.7</v>
      </c>
      <c r="F686" s="199">
        <v>280</v>
      </c>
      <c r="G686" s="199">
        <f t="shared" si="16"/>
        <v>196</v>
      </c>
      <c r="H686" s="183"/>
    </row>
    <row r="687" spans="1:8">
      <c r="A687" s="186"/>
      <c r="B687" s="180"/>
      <c r="C687" s="185" t="s">
        <v>268</v>
      </c>
      <c r="D687" s="195" t="s">
        <v>186</v>
      </c>
      <c r="E687" s="196">
        <v>2.1</v>
      </c>
      <c r="F687" s="228">
        <v>280</v>
      </c>
      <c r="G687" s="199">
        <f t="shared" si="16"/>
        <v>588</v>
      </c>
      <c r="H687" s="183"/>
    </row>
    <row r="688" spans="1:8">
      <c r="A688" s="186"/>
      <c r="B688" s="180"/>
      <c r="C688" s="138" t="s">
        <v>92</v>
      </c>
      <c r="D688" s="195"/>
      <c r="E688" s="196"/>
      <c r="F688" s="200"/>
      <c r="G688" s="199"/>
      <c r="H688" s="183"/>
    </row>
    <row r="689" spans="1:8">
      <c r="A689" s="184"/>
      <c r="B689" s="180"/>
      <c r="C689" s="194" t="s">
        <v>136</v>
      </c>
      <c r="D689" s="195"/>
      <c r="E689" s="197"/>
      <c r="F689" s="183"/>
      <c r="G689" s="199" t="e">
        <f>SUM(G681:G688)</f>
        <v>#N/A</v>
      </c>
      <c r="H689" s="183"/>
    </row>
    <row r="690" spans="1:8">
      <c r="A690" s="176"/>
      <c r="B690" s="139"/>
      <c r="C690" s="140"/>
      <c r="D690" s="141"/>
      <c r="E690" s="142"/>
      <c r="F690" s="141"/>
      <c r="G690" s="145"/>
    </row>
    <row r="691" spans="1:8" ht="25.5">
      <c r="A691" s="176"/>
      <c r="B691" s="139"/>
      <c r="C691" s="140" t="s">
        <v>397</v>
      </c>
      <c r="D691" s="141"/>
      <c r="E691" s="142"/>
      <c r="F691" s="141"/>
      <c r="G691" s="145"/>
    </row>
    <row r="692" spans="1:8">
      <c r="A692" s="176"/>
      <c r="B692" s="139"/>
      <c r="C692" s="140" t="s">
        <v>401</v>
      </c>
      <c r="D692" s="141"/>
      <c r="E692" s="142"/>
      <c r="F692" s="141"/>
      <c r="G692" s="145"/>
    </row>
    <row r="693" spans="1:8">
      <c r="A693" s="176"/>
      <c r="B693" s="139"/>
      <c r="C693" s="140" t="s">
        <v>398</v>
      </c>
      <c r="D693" s="141" t="s">
        <v>186</v>
      </c>
      <c r="E693" s="142">
        <v>5.31</v>
      </c>
      <c r="F693" s="141">
        <v>350</v>
      </c>
      <c r="G693" s="145">
        <f>ROUND(F693*E693,2)</f>
        <v>1858.5</v>
      </c>
    </row>
    <row r="694" spans="1:8">
      <c r="A694" s="176"/>
      <c r="B694" s="139"/>
      <c r="C694" s="140" t="s">
        <v>399</v>
      </c>
      <c r="D694" s="141" t="s">
        <v>186</v>
      </c>
      <c r="E694" s="142">
        <v>12.39</v>
      </c>
      <c r="F694" s="141">
        <v>320</v>
      </c>
      <c r="G694" s="145">
        <f>ROUND(F694*E694,2)</f>
        <v>3964.8</v>
      </c>
    </row>
    <row r="695" spans="1:8">
      <c r="A695" s="176"/>
      <c r="B695" s="139"/>
      <c r="C695" s="140" t="s">
        <v>400</v>
      </c>
      <c r="D695" s="141" t="s">
        <v>186</v>
      </c>
      <c r="E695" s="142">
        <v>8.8000000000000007</v>
      </c>
      <c r="F695" s="141">
        <v>280</v>
      </c>
      <c r="G695" s="145">
        <f>ROUND(F695*E695,2)</f>
        <v>2464</v>
      </c>
    </row>
    <row r="696" spans="1:8">
      <c r="A696" s="176"/>
      <c r="B696" s="139"/>
      <c r="C696" s="140"/>
      <c r="D696" s="141"/>
      <c r="E696" s="142"/>
      <c r="F696" s="141"/>
      <c r="G696" s="145">
        <f>SUM(G693:G695)</f>
        <v>8287.2999999999993</v>
      </c>
    </row>
    <row r="697" spans="1:8">
      <c r="A697" s="176"/>
      <c r="B697" s="139"/>
      <c r="C697" s="140"/>
      <c r="D697" s="141"/>
      <c r="E697" s="142"/>
      <c r="F697" s="141"/>
      <c r="G697" s="145"/>
    </row>
    <row r="698" spans="1:8">
      <c r="A698" s="176"/>
      <c r="B698" s="139"/>
      <c r="C698" s="140"/>
      <c r="D698" s="141"/>
      <c r="E698" s="142"/>
      <c r="F698" s="141"/>
      <c r="G698" s="145"/>
    </row>
    <row r="699" spans="1:8">
      <c r="A699" s="176"/>
      <c r="B699" s="139"/>
      <c r="C699" s="140"/>
      <c r="D699" s="141"/>
      <c r="E699" s="142"/>
      <c r="F699" s="141"/>
      <c r="G699" s="145"/>
    </row>
    <row r="700" spans="1:8" ht="15.75" customHeight="1">
      <c r="A700" s="176"/>
      <c r="B700" s="139"/>
      <c r="C700" s="143"/>
      <c r="D700" s="144"/>
      <c r="E700" s="144"/>
      <c r="F700" s="144"/>
      <c r="G700" s="145"/>
    </row>
    <row r="701" spans="1:8" ht="24.95" customHeight="1">
      <c r="A701" s="177"/>
      <c r="B701" s="39"/>
      <c r="C701" s="229"/>
      <c r="D701" s="230"/>
      <c r="E701" s="1380"/>
      <c r="F701" s="1380"/>
      <c r="G701" s="1380"/>
      <c r="H701" s="39"/>
    </row>
    <row r="702" spans="1:8">
      <c r="A702" s="176"/>
      <c r="B702" s="139"/>
      <c r="C702" s="146"/>
      <c r="D702" s="144"/>
      <c r="E702" s="144"/>
      <c r="F702" s="144"/>
      <c r="G702" s="145"/>
    </row>
    <row r="703" spans="1:8">
      <c r="A703" s="176"/>
      <c r="B703" s="139"/>
      <c r="C703" s="147"/>
      <c r="D703" s="144"/>
      <c r="E703" s="144"/>
      <c r="F703" s="144"/>
      <c r="G703" s="145"/>
    </row>
    <row r="704" spans="1:8">
      <c r="A704" s="176"/>
      <c r="B704" s="146"/>
      <c r="C704" s="146"/>
      <c r="D704" s="148"/>
      <c r="E704" s="148"/>
      <c r="F704" s="149"/>
      <c r="G704" s="80"/>
    </row>
    <row r="705" spans="1:7">
      <c r="A705" s="178"/>
      <c r="B705" s="150"/>
      <c r="C705" s="139"/>
      <c r="D705" s="139"/>
      <c r="E705" s="151"/>
      <c r="F705" s="151"/>
      <c r="G705" s="151"/>
    </row>
  </sheetData>
  <mergeCells count="34">
    <mergeCell ref="C551:G551"/>
    <mergeCell ref="C559:G559"/>
    <mergeCell ref="E701:G701"/>
    <mergeCell ref="C630:E630"/>
    <mergeCell ref="C578:G578"/>
    <mergeCell ref="C603:G603"/>
    <mergeCell ref="D604:F604"/>
    <mergeCell ref="C629:G629"/>
    <mergeCell ref="D627:F627"/>
    <mergeCell ref="C530:G530"/>
    <mergeCell ref="C541:G541"/>
    <mergeCell ref="B347:B349"/>
    <mergeCell ref="C351:D351"/>
    <mergeCell ref="C519:G519"/>
    <mergeCell ref="C485:G485"/>
    <mergeCell ref="C274:G274"/>
    <mergeCell ref="C346:G346"/>
    <mergeCell ref="C503:G503"/>
    <mergeCell ref="C206:G206"/>
    <mergeCell ref="C238:G238"/>
    <mergeCell ref="C239:G239"/>
    <mergeCell ref="C456:D456"/>
    <mergeCell ref="C468:G468"/>
    <mergeCell ref="C359:G359"/>
    <mergeCell ref="C371:G371"/>
    <mergeCell ref="C156:G156"/>
    <mergeCell ref="C15:G15"/>
    <mergeCell ref="C20:G20"/>
    <mergeCell ref="B1:H1"/>
    <mergeCell ref="C6:G6"/>
    <mergeCell ref="C11:G11"/>
    <mergeCell ref="C98:G98"/>
    <mergeCell ref="A2:H2"/>
    <mergeCell ref="C113:D113"/>
  </mergeCells>
  <phoneticPr fontId="4" type="noConversion"/>
  <printOptions gridLines="1"/>
  <pageMargins left="0.74" right="0.45" top="0.5" bottom="0.5" header="0.3" footer="0.3"/>
  <pageSetup paperSize="9" scale="85" orientation="portrait" verticalDpi="0" r:id="rId1"/>
  <rowBreaks count="3" manualBreakCount="3">
    <brk id="67" max="16383" man="1"/>
    <brk id="550" max="16383" man="1"/>
    <brk id="630" max="16383" man="1"/>
  </rowBreaks>
</worksheet>
</file>

<file path=xl/worksheets/sheet17.xml><?xml version="1.0" encoding="utf-8"?>
<worksheet xmlns="http://schemas.openxmlformats.org/spreadsheetml/2006/main" xmlns:r="http://schemas.openxmlformats.org/officeDocument/2006/relationships">
  <sheetPr>
    <tabColor rgb="FF00B0F0"/>
  </sheetPr>
  <dimension ref="A1:P111"/>
  <sheetViews>
    <sheetView tabSelected="1" view="pageBreakPreview" zoomScale="115" zoomScaleNormal="130" zoomScaleSheetLayoutView="115" workbookViewId="0">
      <selection activeCell="N2" sqref="N2"/>
    </sheetView>
  </sheetViews>
  <sheetFormatPr defaultRowHeight="13.5"/>
  <cols>
    <col min="1" max="1" width="5.7109375" style="267" customWidth="1"/>
    <col min="2" max="2" width="31.5703125" style="260" customWidth="1"/>
    <col min="3" max="3" width="5.7109375" style="267" customWidth="1"/>
    <col min="4" max="4" width="14.140625" style="267" customWidth="1"/>
    <col min="5" max="5" width="6.7109375" style="260" bestFit="1" customWidth="1"/>
    <col min="6" max="6" width="6.5703125" style="260" customWidth="1"/>
    <col min="7" max="7" width="8.140625" style="260" customWidth="1"/>
    <col min="8" max="8" width="7.5703125" style="260" customWidth="1"/>
    <col min="9" max="9" width="8.140625" style="260" customWidth="1"/>
    <col min="10" max="10" width="12.7109375" style="260" customWidth="1"/>
    <col min="11" max="11" width="5.85546875" style="260" customWidth="1"/>
    <col min="12" max="12" width="7" style="260" customWidth="1"/>
    <col min="13" max="13" width="8.7109375" style="260" customWidth="1"/>
    <col min="14" max="18" width="9.140625" style="260" customWidth="1"/>
    <col min="19" max="16384" width="9.140625" style="260"/>
  </cols>
  <sheetData>
    <row r="1" spans="1:16" s="253" customFormat="1" ht="20.100000000000001" customHeight="1">
      <c r="A1" s="1391" t="s">
        <v>598</v>
      </c>
      <c r="B1" s="1392"/>
      <c r="C1" s="1392"/>
      <c r="D1" s="1392"/>
      <c r="E1" s="1392"/>
      <c r="F1" s="1392"/>
      <c r="G1" s="1392"/>
      <c r="H1" s="1392"/>
      <c r="I1" s="1392"/>
      <c r="J1" s="1392"/>
      <c r="K1" s="1392"/>
      <c r="L1" s="1392"/>
      <c r="M1" s="1392"/>
    </row>
    <row r="2" spans="1:16" s="253" customFormat="1" ht="27.75" customHeight="1">
      <c r="A2" s="269"/>
      <c r="B2" s="801" t="s">
        <v>1913</v>
      </c>
      <c r="C2" s="1384" t="s">
        <v>2093</v>
      </c>
      <c r="D2" s="1384"/>
      <c r="E2" s="1384"/>
      <c r="F2" s="1384"/>
      <c r="G2" s="1384"/>
      <c r="H2" s="1384"/>
      <c r="I2" s="1384"/>
      <c r="J2" s="1384"/>
      <c r="K2" s="1384"/>
      <c r="L2" s="1384"/>
      <c r="M2" s="1384"/>
    </row>
    <row r="3" spans="1:16" s="253" customFormat="1" ht="20.100000000000001" customHeight="1">
      <c r="A3" s="255"/>
      <c r="B3" s="268"/>
      <c r="C3" s="270" t="s">
        <v>1002</v>
      </c>
      <c r="D3" s="255"/>
      <c r="E3" s="254"/>
      <c r="F3" s="254"/>
      <c r="G3" s="254"/>
      <c r="H3" s="254"/>
      <c r="I3" s="254"/>
      <c r="J3" s="268"/>
      <c r="K3" s="268"/>
      <c r="L3" s="268"/>
      <c r="M3" s="254"/>
      <c r="N3" s="253" t="s">
        <v>119</v>
      </c>
      <c r="O3" s="253">
        <v>94</v>
      </c>
    </row>
    <row r="4" spans="1:16" ht="15" customHeight="1">
      <c r="A4" s="257"/>
      <c r="B4" s="1021"/>
      <c r="C4" s="258"/>
      <c r="D4" s="257"/>
      <c r="E4" s="259"/>
      <c r="F4" s="257"/>
      <c r="G4" s="259"/>
      <c r="H4" s="259"/>
      <c r="I4" s="259"/>
      <c r="J4" s="799" t="s">
        <v>1840</v>
      </c>
      <c r="K4" s="798" t="s">
        <v>2063</v>
      </c>
      <c r="L4" s="259"/>
      <c r="M4" s="257"/>
      <c r="N4" s="260" t="s">
        <v>118</v>
      </c>
      <c r="O4" s="260">
        <v>61</v>
      </c>
    </row>
    <row r="5" spans="1:16" s="262" customFormat="1" ht="31.5" customHeight="1">
      <c r="A5" s="1390" t="s">
        <v>599</v>
      </c>
      <c r="B5" s="1390" t="s">
        <v>426</v>
      </c>
      <c r="C5" s="1390" t="s">
        <v>788</v>
      </c>
      <c r="D5" s="1390" t="s">
        <v>600</v>
      </c>
      <c r="E5" s="1390" t="s">
        <v>127</v>
      </c>
      <c r="F5" s="1390" t="s">
        <v>601</v>
      </c>
      <c r="G5" s="1390" t="s">
        <v>688</v>
      </c>
      <c r="H5" s="1390" t="s">
        <v>602</v>
      </c>
      <c r="I5" s="1390" t="s">
        <v>603</v>
      </c>
      <c r="J5" s="1390" t="s">
        <v>712</v>
      </c>
      <c r="K5" s="1393" t="s">
        <v>713</v>
      </c>
      <c r="L5" s="1390" t="s">
        <v>331</v>
      </c>
      <c r="M5" s="1393" t="s">
        <v>136</v>
      </c>
      <c r="N5" s="262" t="s">
        <v>1864</v>
      </c>
      <c r="O5" s="262">
        <v>58</v>
      </c>
    </row>
    <row r="6" spans="1:16" s="262" customFormat="1" ht="71.25" customHeight="1">
      <c r="A6" s="1390"/>
      <c r="B6" s="1390"/>
      <c r="C6" s="1390"/>
      <c r="D6" s="1390"/>
      <c r="E6" s="1390"/>
      <c r="F6" s="1390"/>
      <c r="G6" s="1390"/>
      <c r="H6" s="1390"/>
      <c r="I6" s="1390"/>
      <c r="J6" s="1390"/>
      <c r="K6" s="1393"/>
      <c r="L6" s="1390"/>
      <c r="M6" s="1393"/>
      <c r="N6" s="262">
        <v>215.74</v>
      </c>
      <c r="O6" s="262">
        <v>180</v>
      </c>
      <c r="P6" s="1073">
        <f>abstract!D21</f>
        <v>13862</v>
      </c>
    </row>
    <row r="7" spans="1:16" s="261" customFormat="1" ht="15" customHeight="1">
      <c r="A7" s="514">
        <v>1</v>
      </c>
      <c r="B7" s="514">
        <v>2</v>
      </c>
      <c r="C7" s="514">
        <v>3</v>
      </c>
      <c r="D7" s="514">
        <v>4</v>
      </c>
      <c r="E7" s="514">
        <v>5</v>
      </c>
      <c r="F7" s="514">
        <v>6</v>
      </c>
      <c r="G7" s="514">
        <v>7</v>
      </c>
      <c r="H7" s="514">
        <v>8</v>
      </c>
      <c r="I7" s="514">
        <v>9</v>
      </c>
      <c r="J7" s="514">
        <v>10</v>
      </c>
      <c r="K7" s="514">
        <v>11</v>
      </c>
      <c r="L7" s="514">
        <v>12</v>
      </c>
      <c r="M7" s="514">
        <v>13</v>
      </c>
    </row>
    <row r="8" spans="1:16" s="485" customFormat="1" ht="15" customHeight="1">
      <c r="A8" s="515">
        <v>1</v>
      </c>
      <c r="B8" s="516" t="s">
        <v>104</v>
      </c>
      <c r="C8" s="517" t="s">
        <v>604</v>
      </c>
      <c r="D8" s="518" t="s">
        <v>121</v>
      </c>
      <c r="E8" s="519" t="s">
        <v>183</v>
      </c>
      <c r="F8" s="519">
        <v>0</v>
      </c>
      <c r="G8" s="519">
        <v>4300</v>
      </c>
      <c r="H8" s="519"/>
      <c r="I8" s="519"/>
      <c r="J8" s="519"/>
      <c r="K8" s="519"/>
      <c r="L8" s="519"/>
      <c r="M8" s="520">
        <f t="shared" ref="M8:M27" si="0">ROUND(F8+G8+H8+I8+J8+K8-J8,2)</f>
        <v>4300</v>
      </c>
    </row>
    <row r="9" spans="1:16" s="485" customFormat="1" ht="15" customHeight="1">
      <c r="A9" s="515">
        <v>2</v>
      </c>
      <c r="B9" s="516" t="s">
        <v>1143</v>
      </c>
      <c r="C9" s="517" t="s">
        <v>604</v>
      </c>
      <c r="D9" s="518" t="s">
        <v>121</v>
      </c>
      <c r="E9" s="519" t="s">
        <v>183</v>
      </c>
      <c r="F9" s="519">
        <v>0</v>
      </c>
      <c r="G9" s="519">
        <v>38500</v>
      </c>
      <c r="H9" s="519" t="s">
        <v>2009</v>
      </c>
      <c r="I9" s="519"/>
      <c r="J9" s="519"/>
      <c r="K9" s="519"/>
      <c r="L9" s="519"/>
      <c r="M9" s="520">
        <f>ROUND(F9+G9+I9+J9+K9-J9,2)</f>
        <v>38500</v>
      </c>
    </row>
    <row r="10" spans="1:16" s="485" customFormat="1" ht="15" customHeight="1">
      <c r="A10" s="515">
        <v>3</v>
      </c>
      <c r="B10" s="521" t="s">
        <v>687</v>
      </c>
      <c r="C10" s="517" t="s">
        <v>604</v>
      </c>
      <c r="D10" s="518" t="s">
        <v>121</v>
      </c>
      <c r="E10" s="519"/>
      <c r="F10" s="519"/>
      <c r="G10" s="519">
        <v>40000</v>
      </c>
      <c r="H10" s="519" t="s">
        <v>2009</v>
      </c>
      <c r="I10" s="519"/>
      <c r="J10" s="519"/>
      <c r="K10" s="519"/>
      <c r="L10" s="519"/>
      <c r="M10" s="520">
        <f>ROUND(F10+G10+I10+J10+K10-J10,2)</f>
        <v>40000</v>
      </c>
    </row>
    <row r="11" spans="1:16" s="485" customFormat="1" ht="15" customHeight="1">
      <c r="A11" s="515">
        <v>4</v>
      </c>
      <c r="B11" s="521" t="s">
        <v>605</v>
      </c>
      <c r="C11" s="517" t="s">
        <v>604</v>
      </c>
      <c r="D11" s="518" t="s">
        <v>121</v>
      </c>
      <c r="E11" s="519"/>
      <c r="F11" s="519"/>
      <c r="G11" s="519">
        <v>40000</v>
      </c>
      <c r="H11" s="519" t="s">
        <v>2009</v>
      </c>
      <c r="I11" s="519"/>
      <c r="J11" s="519"/>
      <c r="K11" s="519"/>
      <c r="L11" s="519"/>
      <c r="M11" s="520">
        <f>ROUND(F11+G11+I11+J11+K11-J11,2)</f>
        <v>40000</v>
      </c>
    </row>
    <row r="12" spans="1:16" s="485" customFormat="1" ht="15" customHeight="1">
      <c r="A12" s="515">
        <v>5</v>
      </c>
      <c r="B12" s="521" t="s">
        <v>944</v>
      </c>
      <c r="C12" s="517" t="s">
        <v>161</v>
      </c>
      <c r="D12" s="522" t="s">
        <v>1932</v>
      </c>
      <c r="E12" s="523">
        <f>O3</f>
        <v>94</v>
      </c>
      <c r="F12" s="523">
        <f>LOOKUP(E12,SSR!A5:F104,SSR!B5:B104)</f>
        <v>959.39999999999873</v>
      </c>
      <c r="G12" s="519">
        <v>590</v>
      </c>
      <c r="H12" s="519"/>
      <c r="I12" s="519"/>
      <c r="J12" s="519"/>
      <c r="K12" s="519"/>
      <c r="L12" s="519">
        <f>ROUND(SSR!B107,2)</f>
        <v>9.9</v>
      </c>
      <c r="M12" s="520">
        <f t="shared" si="0"/>
        <v>1549.4</v>
      </c>
    </row>
    <row r="13" spans="1:16" s="485" customFormat="1" ht="15" customHeight="1">
      <c r="A13" s="515">
        <v>5</v>
      </c>
      <c r="B13" s="521" t="s">
        <v>1159</v>
      </c>
      <c r="C13" s="517" t="s">
        <v>161</v>
      </c>
      <c r="D13" s="522" t="str">
        <f>D12</f>
        <v>K.Bitragunta</v>
      </c>
      <c r="E13" s="523">
        <f>E12</f>
        <v>94</v>
      </c>
      <c r="F13" s="523">
        <f>LOOKUP(E13,SSR!A6:F105,SSR!B6:B105)</f>
        <v>959.39999999999873</v>
      </c>
      <c r="G13" s="519">
        <v>510</v>
      </c>
      <c r="H13" s="519"/>
      <c r="I13" s="519"/>
      <c r="J13" s="519"/>
      <c r="K13" s="519"/>
      <c r="L13" s="519">
        <f>ROUND(SSR!B107,2)</f>
        <v>9.9</v>
      </c>
      <c r="M13" s="520">
        <f>ROUND(F13+G13+H13+I13+J13+K13-J13,2)</f>
        <v>1469.4</v>
      </c>
      <c r="O13" s="485">
        <f>O14+80</f>
        <v>590</v>
      </c>
    </row>
    <row r="14" spans="1:16" s="485" customFormat="1" ht="15" customHeight="1">
      <c r="A14" s="515">
        <v>6</v>
      </c>
      <c r="B14" s="521" t="s">
        <v>606</v>
      </c>
      <c r="C14" s="517" t="s">
        <v>161</v>
      </c>
      <c r="D14" s="522" t="str">
        <f>D13</f>
        <v>K.Bitragunta</v>
      </c>
      <c r="E14" s="523">
        <f>E13</f>
        <v>94</v>
      </c>
      <c r="F14" s="523">
        <f>LOOKUP(E14,SSR!A5:F104,SSR!B5:B104)</f>
        <v>959.39999999999873</v>
      </c>
      <c r="G14" s="519">
        <v>375</v>
      </c>
      <c r="H14" s="519"/>
      <c r="I14" s="519"/>
      <c r="J14" s="519"/>
      <c r="K14" s="519"/>
      <c r="L14" s="519">
        <f>ROUND(SSR!B107,2)</f>
        <v>9.9</v>
      </c>
      <c r="M14" s="520">
        <f t="shared" si="0"/>
        <v>1334.4</v>
      </c>
      <c r="O14" s="485">
        <v>510</v>
      </c>
    </row>
    <row r="15" spans="1:16" s="485" customFormat="1" ht="23.25" customHeight="1">
      <c r="A15" s="515">
        <v>7</v>
      </c>
      <c r="B15" s="521" t="s">
        <v>607</v>
      </c>
      <c r="C15" s="517" t="s">
        <v>679</v>
      </c>
      <c r="D15" s="522" t="s">
        <v>1825</v>
      </c>
      <c r="E15" s="523">
        <f>O5</f>
        <v>58</v>
      </c>
      <c r="F15" s="523">
        <f>LOOKUP(E15,SSR!A5:F104,SSR!D5:D104)</f>
        <v>1005.0000000000014</v>
      </c>
      <c r="G15" s="519">
        <f>H71</f>
        <v>6000</v>
      </c>
      <c r="H15" s="519"/>
      <c r="I15" s="519"/>
      <c r="J15" s="519">
        <f>ROUND(SSR!D106,2)</f>
        <v>54.8</v>
      </c>
      <c r="K15" s="519">
        <f>ROUND(SSR!D107,2)</f>
        <v>54.8</v>
      </c>
      <c r="L15" s="519"/>
      <c r="M15" s="520">
        <f>ROUND(F15+G15+H15+I15+J15+K15,2)</f>
        <v>7114.6</v>
      </c>
    </row>
    <row r="16" spans="1:16" s="485" customFormat="1" ht="15" customHeight="1">
      <c r="A16" s="515">
        <v>9</v>
      </c>
      <c r="B16" s="521" t="s">
        <v>608</v>
      </c>
      <c r="C16" s="517" t="s">
        <v>161</v>
      </c>
      <c r="D16" s="522" t="s">
        <v>1144</v>
      </c>
      <c r="E16" s="523">
        <f>O4</f>
        <v>61</v>
      </c>
      <c r="F16" s="523">
        <f>LOOKUP(E16,SSR!A4:F104,SSR!C4:C104)</f>
        <v>649.19999999999948</v>
      </c>
      <c r="G16" s="519">
        <f>H52</f>
        <v>608</v>
      </c>
      <c r="H16" s="519">
        <v>70</v>
      </c>
      <c r="I16" s="519">
        <f>ROUND(G16*0.25,2)</f>
        <v>152</v>
      </c>
      <c r="J16" s="519"/>
      <c r="K16" s="519"/>
      <c r="L16" s="519">
        <f>ROUND(SSR!C107,2)</f>
        <v>19.95</v>
      </c>
      <c r="M16" s="520">
        <f t="shared" si="0"/>
        <v>1479.2</v>
      </c>
    </row>
    <row r="17" spans="1:13" s="506" customFormat="1" ht="15" customHeight="1">
      <c r="A17" s="515">
        <v>10</v>
      </c>
      <c r="B17" s="521" t="s">
        <v>609</v>
      </c>
      <c r="C17" s="517" t="s">
        <v>161</v>
      </c>
      <c r="D17" s="522" t="s">
        <v>1144</v>
      </c>
      <c r="E17" s="523">
        <f>E16</f>
        <v>61</v>
      </c>
      <c r="F17" s="523">
        <f>LOOKUP(E17,SSR!A4:F104,SSR!C4:C104)</f>
        <v>649.19999999999948</v>
      </c>
      <c r="G17" s="519">
        <f>H56</f>
        <v>1016</v>
      </c>
      <c r="H17" s="519">
        <v>70</v>
      </c>
      <c r="I17" s="519">
        <f>ROUND(G17*0.25,2)</f>
        <v>254</v>
      </c>
      <c r="J17" s="519"/>
      <c r="K17" s="519"/>
      <c r="L17" s="519">
        <f>ROUND(SSR!$C$107,2)</f>
        <v>19.95</v>
      </c>
      <c r="M17" s="520">
        <f t="shared" si="0"/>
        <v>1989.2</v>
      </c>
    </row>
    <row r="18" spans="1:13" s="506" customFormat="1" ht="15" customHeight="1">
      <c r="A18" s="515">
        <v>11</v>
      </c>
      <c r="B18" s="521" t="s">
        <v>1027</v>
      </c>
      <c r="C18" s="517" t="s">
        <v>161</v>
      </c>
      <c r="D18" s="522" t="s">
        <v>1144</v>
      </c>
      <c r="E18" s="523">
        <f>E17</f>
        <v>61</v>
      </c>
      <c r="F18" s="523">
        <f>LOOKUP(E18,SSR!A4:F104,SSR!C4:C104)</f>
        <v>649.19999999999948</v>
      </c>
      <c r="G18" s="519">
        <f>H61</f>
        <v>808</v>
      </c>
      <c r="H18" s="519">
        <v>70</v>
      </c>
      <c r="I18" s="519">
        <f>ROUND(G18*0.25,2)</f>
        <v>202</v>
      </c>
      <c r="J18" s="519"/>
      <c r="K18" s="519"/>
      <c r="L18" s="519">
        <f>ROUND(SSR!$C$107,2)</f>
        <v>19.95</v>
      </c>
      <c r="M18" s="520">
        <f>ROUND(F18+G18+H18+I18+J18+K18-J18,2)</f>
        <v>1729.2</v>
      </c>
    </row>
    <row r="19" spans="1:13" s="506" customFormat="1" ht="15" customHeight="1">
      <c r="A19" s="515">
        <v>12</v>
      </c>
      <c r="B19" s="521" t="s">
        <v>610</v>
      </c>
      <c r="C19" s="517" t="s">
        <v>161</v>
      </c>
      <c r="D19" s="522" t="s">
        <v>1144</v>
      </c>
      <c r="E19" s="523">
        <f>E18</f>
        <v>61</v>
      </c>
      <c r="F19" s="523">
        <f>LOOKUP(E19,SSR!A4:F104,SSR!C4:C104)</f>
        <v>649.19999999999948</v>
      </c>
      <c r="G19" s="519">
        <f>H58</f>
        <v>680</v>
      </c>
      <c r="H19" s="519">
        <v>70</v>
      </c>
      <c r="I19" s="519">
        <f>ROUND(G19*0.25,2)</f>
        <v>170</v>
      </c>
      <c r="J19" s="519"/>
      <c r="K19" s="519"/>
      <c r="L19" s="519">
        <f>ROUND(SSR!$C$107,2)</f>
        <v>19.95</v>
      </c>
      <c r="M19" s="520">
        <f t="shared" si="0"/>
        <v>1569.2</v>
      </c>
    </row>
    <row r="20" spans="1:13" s="506" customFormat="1" ht="15" customHeight="1">
      <c r="A20" s="515">
        <v>13</v>
      </c>
      <c r="B20" s="521" t="s">
        <v>611</v>
      </c>
      <c r="C20" s="517" t="s">
        <v>161</v>
      </c>
      <c r="D20" s="522" t="s">
        <v>1144</v>
      </c>
      <c r="E20" s="523">
        <f>E19</f>
        <v>61</v>
      </c>
      <c r="F20" s="523">
        <f>LOOKUP(E20,SSR!A4:F104,SSR!C4:C104)</f>
        <v>649.19999999999948</v>
      </c>
      <c r="G20" s="519">
        <f>H64</f>
        <v>524</v>
      </c>
      <c r="H20" s="519">
        <v>70</v>
      </c>
      <c r="I20" s="519">
        <f>ROUND(G20*0.25,2)</f>
        <v>131</v>
      </c>
      <c r="J20" s="519"/>
      <c r="K20" s="519"/>
      <c r="L20" s="519">
        <f>ROUND(SSR!$C$107,2)</f>
        <v>19.95</v>
      </c>
      <c r="M20" s="520">
        <f t="shared" si="0"/>
        <v>1374.2</v>
      </c>
    </row>
    <row r="21" spans="1:13" s="506" customFormat="1" ht="15" customHeight="1">
      <c r="A21" s="515"/>
      <c r="B21" s="521" t="s">
        <v>711</v>
      </c>
      <c r="C21" s="517" t="s">
        <v>161</v>
      </c>
      <c r="D21" s="522" t="s">
        <v>1144</v>
      </c>
      <c r="E21" s="523">
        <f>E20</f>
        <v>61</v>
      </c>
      <c r="F21" s="523">
        <f>LOOKUP(E21,SSR!A4:F104,SSR!C4:C104)</f>
        <v>649.19999999999948</v>
      </c>
      <c r="G21" s="519">
        <f>H67</f>
        <v>350</v>
      </c>
      <c r="H21" s="519"/>
      <c r="I21" s="519"/>
      <c r="J21" s="519"/>
      <c r="K21" s="519"/>
      <c r="L21" s="519">
        <f>ROUND(SSR!$C$107,2)</f>
        <v>19.95</v>
      </c>
      <c r="M21" s="520">
        <f t="shared" si="0"/>
        <v>999.2</v>
      </c>
    </row>
    <row r="22" spans="1:13" s="485" customFormat="1" ht="15" customHeight="1">
      <c r="A22" s="515">
        <v>14</v>
      </c>
      <c r="B22" s="521" t="s">
        <v>612</v>
      </c>
      <c r="C22" s="517" t="s">
        <v>161</v>
      </c>
      <c r="D22" s="522" t="s">
        <v>121</v>
      </c>
      <c r="E22" s="523">
        <v>5</v>
      </c>
      <c r="F22" s="523">
        <f>LOOKUP(E22,SSR!A4:F104,SSR!B4:B104)</f>
        <v>75.3</v>
      </c>
      <c r="G22" s="519">
        <f>H68</f>
        <v>113</v>
      </c>
      <c r="H22" s="519"/>
      <c r="I22" s="519"/>
      <c r="J22" s="519"/>
      <c r="K22" s="519"/>
      <c r="L22" s="519">
        <f>ROUND(SSR!B107,2)</f>
        <v>9.9</v>
      </c>
      <c r="M22" s="520">
        <f t="shared" si="0"/>
        <v>188.3</v>
      </c>
    </row>
    <row r="23" spans="1:13" s="485" customFormat="1" ht="24.95" hidden="1" customHeight="1">
      <c r="A23" s="515">
        <v>15</v>
      </c>
      <c r="B23" s="521" t="s">
        <v>613</v>
      </c>
      <c r="C23" s="517" t="s">
        <v>510</v>
      </c>
      <c r="D23" s="518"/>
      <c r="E23" s="519"/>
      <c r="F23" s="519"/>
      <c r="G23" s="519">
        <v>3834</v>
      </c>
      <c r="H23" s="519"/>
      <c r="I23" s="519"/>
      <c r="J23" s="519"/>
      <c r="K23" s="519"/>
      <c r="L23" s="519"/>
      <c r="M23" s="520">
        <f t="shared" si="0"/>
        <v>3834</v>
      </c>
    </row>
    <row r="24" spans="1:13" s="485" customFormat="1" ht="33" hidden="1" customHeight="1">
      <c r="A24" s="515">
        <v>16</v>
      </c>
      <c r="B24" s="524" t="s">
        <v>614</v>
      </c>
      <c r="C24" s="517" t="s">
        <v>536</v>
      </c>
      <c r="D24" s="518"/>
      <c r="E24" s="519"/>
      <c r="F24" s="519"/>
      <c r="G24" s="519">
        <v>2695</v>
      </c>
      <c r="H24" s="519"/>
      <c r="I24" s="519"/>
      <c r="J24" s="519"/>
      <c r="K24" s="519"/>
      <c r="L24" s="519"/>
      <c r="M24" s="520">
        <f t="shared" si="0"/>
        <v>2695</v>
      </c>
    </row>
    <row r="25" spans="1:13" s="485" customFormat="1" ht="24.95" hidden="1" customHeight="1">
      <c r="A25" s="515">
        <v>17</v>
      </c>
      <c r="B25" s="524" t="s">
        <v>615</v>
      </c>
      <c r="C25" s="517" t="s">
        <v>536</v>
      </c>
      <c r="D25" s="518"/>
      <c r="E25" s="519"/>
      <c r="F25" s="519"/>
      <c r="G25" s="519">
        <v>1991</v>
      </c>
      <c r="H25" s="519"/>
      <c r="I25" s="519"/>
      <c r="J25" s="519"/>
      <c r="K25" s="519"/>
      <c r="L25" s="519"/>
      <c r="M25" s="520">
        <f t="shared" si="0"/>
        <v>1991</v>
      </c>
    </row>
    <row r="26" spans="1:13" s="485" customFormat="1" ht="36" hidden="1" customHeight="1">
      <c r="A26" s="515">
        <v>18</v>
      </c>
      <c r="B26" s="525" t="s">
        <v>787</v>
      </c>
      <c r="C26" s="517" t="s">
        <v>536</v>
      </c>
      <c r="D26" s="518"/>
      <c r="E26" s="519"/>
      <c r="F26" s="519"/>
      <c r="G26" s="526">
        <v>718</v>
      </c>
      <c r="H26" s="519"/>
      <c r="I26" s="519"/>
      <c r="J26" s="519"/>
      <c r="K26" s="519"/>
      <c r="L26" s="519"/>
      <c r="M26" s="520">
        <f t="shared" si="0"/>
        <v>718</v>
      </c>
    </row>
    <row r="27" spans="1:13" s="485" customFormat="1" ht="24.75" hidden="1" customHeight="1">
      <c r="A27" s="515">
        <v>19</v>
      </c>
      <c r="B27" s="524" t="s">
        <v>689</v>
      </c>
      <c r="C27" s="517" t="s">
        <v>536</v>
      </c>
      <c r="D27" s="518"/>
      <c r="E27" s="519"/>
      <c r="F27" s="519"/>
      <c r="G27" s="519">
        <v>1005</v>
      </c>
      <c r="H27" s="519"/>
      <c r="I27" s="519"/>
      <c r="J27" s="519"/>
      <c r="K27" s="519"/>
      <c r="L27" s="519"/>
      <c r="M27" s="520">
        <f t="shared" si="0"/>
        <v>1005</v>
      </c>
    </row>
    <row r="28" spans="1:13" s="485" customFormat="1" ht="15" hidden="1" customHeight="1">
      <c r="A28" s="515">
        <v>20</v>
      </c>
      <c r="B28" s="516" t="s">
        <v>616</v>
      </c>
      <c r="C28" s="515"/>
      <c r="D28" s="515"/>
      <c r="E28" s="515"/>
      <c r="F28" s="527"/>
      <c r="G28" s="526">
        <f>C42</f>
        <v>420</v>
      </c>
      <c r="H28" s="515"/>
      <c r="I28" s="515"/>
      <c r="J28" s="515"/>
      <c r="K28" s="527"/>
      <c r="L28" s="527"/>
      <c r="M28" s="520">
        <f t="shared" ref="M28:M33" si="1">G28</f>
        <v>420</v>
      </c>
    </row>
    <row r="29" spans="1:13" s="485" customFormat="1" ht="15" hidden="1" customHeight="1">
      <c r="A29" s="515">
        <v>21</v>
      </c>
      <c r="B29" s="528" t="s">
        <v>617</v>
      </c>
      <c r="C29" s="515"/>
      <c r="D29" s="515"/>
      <c r="E29" s="515"/>
      <c r="F29" s="515"/>
      <c r="G29" s="526">
        <f>C43</f>
        <v>420</v>
      </c>
      <c r="H29" s="515"/>
      <c r="I29" s="515"/>
      <c r="J29" s="515"/>
      <c r="K29" s="527"/>
      <c r="L29" s="527"/>
      <c r="M29" s="520">
        <f t="shared" si="1"/>
        <v>420</v>
      </c>
    </row>
    <row r="30" spans="1:13" s="485" customFormat="1" ht="24.95" hidden="1" customHeight="1">
      <c r="A30" s="515">
        <v>22</v>
      </c>
      <c r="B30" s="524" t="s">
        <v>618</v>
      </c>
      <c r="C30" s="515"/>
      <c r="D30" s="515"/>
      <c r="E30" s="515"/>
      <c r="F30" s="515"/>
      <c r="G30" s="526">
        <f>C49</f>
        <v>460</v>
      </c>
      <c r="H30" s="526"/>
      <c r="I30" s="526"/>
      <c r="J30" s="515"/>
      <c r="K30" s="527"/>
      <c r="L30" s="527"/>
      <c r="M30" s="520">
        <f t="shared" si="1"/>
        <v>460</v>
      </c>
    </row>
    <row r="31" spans="1:13" s="485" customFormat="1" ht="24.95" hidden="1" customHeight="1">
      <c r="A31" s="515">
        <v>23</v>
      </c>
      <c r="B31" s="524" t="s">
        <v>619</v>
      </c>
      <c r="C31" s="515"/>
      <c r="D31" s="515"/>
      <c r="E31" s="515"/>
      <c r="F31" s="515"/>
      <c r="G31" s="526">
        <f>C44</f>
        <v>500</v>
      </c>
      <c r="H31" s="515"/>
      <c r="I31" s="515"/>
      <c r="J31" s="515"/>
      <c r="K31" s="527"/>
      <c r="L31" s="527"/>
      <c r="M31" s="520">
        <f t="shared" si="1"/>
        <v>500</v>
      </c>
    </row>
    <row r="32" spans="1:13" s="485" customFormat="1" ht="15" hidden="1" customHeight="1">
      <c r="A32" s="515">
        <v>24</v>
      </c>
      <c r="B32" s="524" t="s">
        <v>620</v>
      </c>
      <c r="C32" s="515"/>
      <c r="D32" s="515"/>
      <c r="E32" s="515"/>
      <c r="F32" s="515"/>
      <c r="G32" s="526">
        <f>C48</f>
        <v>580</v>
      </c>
      <c r="H32" s="527"/>
      <c r="I32" s="527"/>
      <c r="J32" s="515"/>
      <c r="K32" s="527"/>
      <c r="L32" s="527"/>
      <c r="M32" s="520">
        <f t="shared" si="1"/>
        <v>580</v>
      </c>
    </row>
    <row r="33" spans="1:13" s="485" customFormat="1" ht="15" hidden="1" customHeight="1">
      <c r="A33" s="515">
        <v>25</v>
      </c>
      <c r="B33" s="529" t="s">
        <v>621</v>
      </c>
      <c r="C33" s="515"/>
      <c r="D33" s="515"/>
      <c r="E33" s="515"/>
      <c r="F33" s="515"/>
      <c r="G33" s="526">
        <v>575</v>
      </c>
      <c r="H33" s="526"/>
      <c r="I33" s="526"/>
      <c r="J33" s="526"/>
      <c r="K33" s="527"/>
      <c r="L33" s="527"/>
      <c r="M33" s="520">
        <f t="shared" si="1"/>
        <v>575</v>
      </c>
    </row>
    <row r="34" spans="1:13" s="485" customFormat="1" ht="15" hidden="1" customHeight="1">
      <c r="A34" s="515">
        <v>26</v>
      </c>
      <c r="B34" s="530" t="s">
        <v>622</v>
      </c>
      <c r="C34" s="515"/>
      <c r="D34" s="515"/>
      <c r="E34" s="515"/>
      <c r="F34" s="515"/>
      <c r="G34" s="515"/>
      <c r="H34" s="526"/>
      <c r="I34" s="526"/>
      <c r="J34" s="515"/>
      <c r="K34" s="515"/>
      <c r="L34" s="515"/>
      <c r="M34" s="515"/>
    </row>
    <row r="35" spans="1:13" s="265" customFormat="1">
      <c r="A35" s="510"/>
      <c r="B35" s="509" t="s">
        <v>623</v>
      </c>
      <c r="C35" s="510"/>
      <c r="D35" s="509"/>
      <c r="E35" s="509"/>
      <c r="F35" s="509"/>
      <c r="G35" s="509"/>
      <c r="H35" s="509"/>
      <c r="I35" s="509"/>
      <c r="J35" s="509"/>
      <c r="K35" s="509"/>
      <c r="L35" s="509"/>
      <c r="M35" s="509"/>
    </row>
    <row r="36" spans="1:13" s="265" customFormat="1" ht="39" customHeight="1">
      <c r="A36" s="266"/>
      <c r="C36" s="266"/>
    </row>
    <row r="37" spans="1:13" s="957" customFormat="1">
      <c r="B37" s="265"/>
      <c r="C37" s="266"/>
      <c r="D37" s="266"/>
      <c r="E37" s="265"/>
      <c r="F37" s="1022"/>
      <c r="H37" s="1023"/>
      <c r="I37" s="1024" t="s">
        <v>108</v>
      </c>
      <c r="J37" s="1023"/>
      <c r="K37" s="1023"/>
      <c r="L37" s="1024" t="s">
        <v>1827</v>
      </c>
      <c r="M37" s="1023"/>
    </row>
    <row r="38" spans="1:13" s="957" customFormat="1">
      <c r="B38" s="265"/>
      <c r="C38" s="266"/>
      <c r="D38" s="266"/>
      <c r="E38" s="265"/>
      <c r="H38" s="1023"/>
      <c r="I38" s="1024" t="s">
        <v>1830</v>
      </c>
      <c r="J38" s="1023"/>
      <c r="K38" s="1023"/>
      <c r="L38" s="1024" t="s">
        <v>1828</v>
      </c>
      <c r="M38" s="1023"/>
    </row>
    <row r="39" spans="1:13" s="265" customFormat="1">
      <c r="A39" s="266"/>
      <c r="C39" s="266"/>
      <c r="D39" s="266"/>
      <c r="I39" s="1024" t="s">
        <v>1826</v>
      </c>
      <c r="L39" s="1024" t="s">
        <v>1829</v>
      </c>
    </row>
    <row r="40" spans="1:13" s="265" customFormat="1">
      <c r="A40" s="266"/>
      <c r="C40" s="266"/>
      <c r="D40" s="266"/>
    </row>
    <row r="41" spans="1:13" s="265" customFormat="1">
      <c r="A41" s="266"/>
      <c r="C41" s="266"/>
      <c r="D41" s="266"/>
    </row>
    <row r="42" spans="1:13" s="1025" customFormat="1" ht="15" customHeight="1">
      <c r="B42" s="507" t="s">
        <v>400</v>
      </c>
      <c r="C42" s="508">
        <v>420</v>
      </c>
      <c r="D42" s="529" t="s">
        <v>638</v>
      </c>
      <c r="E42" s="507"/>
      <c r="F42" s="507"/>
      <c r="G42" s="526" t="s">
        <v>112</v>
      </c>
      <c r="H42" s="526">
        <f>(46217+58690)/2</f>
        <v>52453.5</v>
      </c>
      <c r="I42" s="1026"/>
      <c r="J42" s="1027"/>
      <c r="K42" s="1027"/>
      <c r="L42" s="1027"/>
    </row>
    <row r="43" spans="1:13" s="1025" customFormat="1" ht="15" customHeight="1">
      <c r="B43" s="507" t="s">
        <v>639</v>
      </c>
      <c r="C43" s="508">
        <v>420</v>
      </c>
      <c r="D43" s="529" t="s">
        <v>311</v>
      </c>
      <c r="E43" s="507"/>
      <c r="F43" s="507"/>
      <c r="G43" s="526" t="s">
        <v>116</v>
      </c>
      <c r="H43" s="526">
        <v>55</v>
      </c>
      <c r="I43" s="1026"/>
      <c r="J43" s="507" t="s">
        <v>640</v>
      </c>
      <c r="K43" s="507" t="s">
        <v>222</v>
      </c>
      <c r="L43" s="508">
        <v>423.6</v>
      </c>
    </row>
    <row r="44" spans="1:13" s="1025" customFormat="1" ht="15" customHeight="1">
      <c r="B44" s="507" t="s">
        <v>1095</v>
      </c>
      <c r="C44" s="508">
        <v>500</v>
      </c>
      <c r="D44" s="529" t="s">
        <v>641</v>
      </c>
      <c r="E44" s="507"/>
      <c r="F44" s="507"/>
      <c r="G44" s="526" t="s">
        <v>575</v>
      </c>
      <c r="H44" s="526">
        <v>107</v>
      </c>
      <c r="I44" s="1026"/>
      <c r="J44" s="507" t="s">
        <v>642</v>
      </c>
      <c r="K44" s="507" t="s">
        <v>222</v>
      </c>
      <c r="L44" s="508">
        <v>423.6</v>
      </c>
    </row>
    <row r="45" spans="1:13" s="1025" customFormat="1" ht="15" customHeight="1">
      <c r="B45" s="507" t="s">
        <v>643</v>
      </c>
      <c r="C45" s="508">
        <v>460</v>
      </c>
      <c r="D45" s="529" t="s">
        <v>644</v>
      </c>
      <c r="E45" s="507"/>
      <c r="F45" s="507"/>
      <c r="G45" s="526" t="s">
        <v>112</v>
      </c>
      <c r="H45" s="526">
        <v>100</v>
      </c>
      <c r="I45" s="1026"/>
      <c r="J45" s="507" t="s">
        <v>645</v>
      </c>
      <c r="K45" s="507" t="s">
        <v>222</v>
      </c>
      <c r="L45" s="508">
        <v>655.20000000000005</v>
      </c>
    </row>
    <row r="46" spans="1:13" s="1025" customFormat="1" ht="15" customHeight="1">
      <c r="B46" s="507" t="s">
        <v>1094</v>
      </c>
      <c r="C46" s="508">
        <v>495</v>
      </c>
      <c r="D46" s="529" t="s">
        <v>646</v>
      </c>
      <c r="E46" s="507"/>
      <c r="F46" s="507"/>
      <c r="G46" s="526" t="s">
        <v>112</v>
      </c>
      <c r="H46" s="526">
        <v>100</v>
      </c>
      <c r="I46" s="1026"/>
      <c r="J46" s="507" t="s">
        <v>647</v>
      </c>
      <c r="K46" s="507" t="s">
        <v>222</v>
      </c>
      <c r="L46" s="507">
        <v>937</v>
      </c>
    </row>
    <row r="47" spans="1:13" s="1025" customFormat="1" ht="15" customHeight="1">
      <c r="B47" s="507" t="s">
        <v>648</v>
      </c>
      <c r="C47" s="508">
        <v>625</v>
      </c>
      <c r="D47" s="529" t="s">
        <v>649</v>
      </c>
      <c r="E47" s="507"/>
      <c r="F47" s="507"/>
      <c r="G47" s="526" t="s">
        <v>112</v>
      </c>
      <c r="H47" s="526">
        <v>182</v>
      </c>
      <c r="I47" s="1026"/>
      <c r="J47" s="507" t="s">
        <v>650</v>
      </c>
      <c r="K47" s="507" t="s">
        <v>222</v>
      </c>
      <c r="L47" s="508">
        <v>1285.4000000000001</v>
      </c>
    </row>
    <row r="48" spans="1:13" s="1025" customFormat="1" ht="15" customHeight="1">
      <c r="B48" s="507" t="s">
        <v>29</v>
      </c>
      <c r="C48" s="508">
        <v>580</v>
      </c>
      <c r="D48" s="507" t="s">
        <v>651</v>
      </c>
      <c r="E48" s="507"/>
      <c r="F48" s="507"/>
      <c r="G48" s="526" t="s">
        <v>112</v>
      </c>
      <c r="H48" s="526">
        <v>399.05</v>
      </c>
      <c r="I48" s="1026"/>
      <c r="J48" s="507" t="s">
        <v>652</v>
      </c>
      <c r="K48" s="507" t="s">
        <v>222</v>
      </c>
      <c r="L48" s="508">
        <v>2688.5</v>
      </c>
    </row>
    <row r="49" spans="2:13" s="1025" customFormat="1" ht="15" customHeight="1">
      <c r="B49" s="507" t="s">
        <v>653</v>
      </c>
      <c r="C49" s="508">
        <v>460</v>
      </c>
      <c r="D49" s="507" t="s">
        <v>654</v>
      </c>
      <c r="E49" s="507"/>
      <c r="F49" s="507"/>
      <c r="G49" s="526" t="s">
        <v>112</v>
      </c>
      <c r="H49" s="526">
        <v>399.05</v>
      </c>
      <c r="I49" s="1026"/>
      <c r="J49" s="507" t="s">
        <v>655</v>
      </c>
      <c r="K49" s="507" t="s">
        <v>222</v>
      </c>
      <c r="L49" s="508">
        <v>2454.6999999999998</v>
      </c>
    </row>
    <row r="50" spans="2:13" s="1025" customFormat="1" ht="15" customHeight="1">
      <c r="B50" s="507" t="s">
        <v>656</v>
      </c>
      <c r="C50" s="508">
        <v>580</v>
      </c>
      <c r="D50" s="507" t="s">
        <v>740</v>
      </c>
      <c r="E50" s="507"/>
      <c r="F50" s="507"/>
      <c r="G50" s="526" t="s">
        <v>112</v>
      </c>
      <c r="H50" s="526">
        <v>434.3</v>
      </c>
      <c r="I50" s="1026"/>
      <c r="J50" s="507" t="s">
        <v>658</v>
      </c>
      <c r="K50" s="507" t="s">
        <v>222</v>
      </c>
      <c r="L50" s="508">
        <v>1546.8</v>
      </c>
    </row>
    <row r="51" spans="2:13" s="1025" customFormat="1" ht="15" customHeight="1">
      <c r="B51" s="507" t="s">
        <v>736</v>
      </c>
      <c r="C51" s="508">
        <v>460</v>
      </c>
      <c r="D51" s="507" t="s">
        <v>741</v>
      </c>
      <c r="E51" s="507"/>
      <c r="F51" s="507"/>
      <c r="G51" s="526" t="s">
        <v>112</v>
      </c>
      <c r="H51" s="526">
        <v>434.3</v>
      </c>
      <c r="I51" s="1026"/>
      <c r="J51" s="507" t="s">
        <v>660</v>
      </c>
      <c r="K51" s="507" t="s">
        <v>222</v>
      </c>
      <c r="L51" s="508">
        <v>3020.4</v>
      </c>
    </row>
    <row r="52" spans="2:13" s="1025" customFormat="1" ht="15" customHeight="1">
      <c r="B52" s="507" t="s">
        <v>737</v>
      </c>
      <c r="C52" s="508">
        <v>394.4</v>
      </c>
      <c r="D52" s="507" t="s">
        <v>657</v>
      </c>
      <c r="E52" s="507"/>
      <c r="F52" s="507"/>
      <c r="G52" s="526" t="s">
        <v>112</v>
      </c>
      <c r="H52" s="526">
        <v>608</v>
      </c>
      <c r="I52" s="1026"/>
      <c r="J52" s="507" t="s">
        <v>662</v>
      </c>
      <c r="K52" s="507" t="s">
        <v>222</v>
      </c>
      <c r="L52" s="508">
        <v>2761.2</v>
      </c>
    </row>
    <row r="53" spans="2:13" s="1025" customFormat="1" ht="15" customHeight="1">
      <c r="B53" s="507" t="s">
        <v>738</v>
      </c>
      <c r="C53" s="508">
        <v>524.70000000000005</v>
      </c>
      <c r="D53" s="507" t="s">
        <v>659</v>
      </c>
      <c r="E53" s="507"/>
      <c r="F53" s="507"/>
      <c r="G53" s="526" t="s">
        <v>112</v>
      </c>
      <c r="H53" s="526">
        <v>560</v>
      </c>
      <c r="I53" s="1026"/>
      <c r="J53" s="507" t="s">
        <v>665</v>
      </c>
      <c r="K53" s="507" t="s">
        <v>222</v>
      </c>
      <c r="L53" s="508">
        <v>1594.7</v>
      </c>
    </row>
    <row r="54" spans="2:13" s="960" customFormat="1" ht="15" customHeight="1">
      <c r="B54" s="507" t="s">
        <v>663</v>
      </c>
      <c r="C54" s="508">
        <v>209.1</v>
      </c>
      <c r="D54" s="507" t="s">
        <v>742</v>
      </c>
      <c r="E54" s="507"/>
      <c r="F54" s="507"/>
      <c r="G54" s="526" t="s">
        <v>112</v>
      </c>
      <c r="H54" s="526">
        <v>976</v>
      </c>
      <c r="I54" s="1026"/>
      <c r="J54" s="507" t="s">
        <v>668</v>
      </c>
      <c r="K54" s="507" t="s">
        <v>222</v>
      </c>
      <c r="L54" s="1028">
        <v>566.20000000000005</v>
      </c>
      <c r="M54" s="966"/>
    </row>
    <row r="55" spans="2:13" s="960" customFormat="1" ht="15" customHeight="1">
      <c r="B55" s="507" t="s">
        <v>739</v>
      </c>
      <c r="C55" s="508">
        <v>220.1</v>
      </c>
      <c r="D55" s="507" t="s">
        <v>743</v>
      </c>
      <c r="E55" s="507"/>
      <c r="F55" s="507"/>
      <c r="G55" s="526" t="s">
        <v>112</v>
      </c>
      <c r="H55" s="526">
        <v>899.05</v>
      </c>
      <c r="I55" s="1026"/>
      <c r="J55" s="507" t="s">
        <v>670</v>
      </c>
      <c r="K55" s="507" t="s">
        <v>222</v>
      </c>
      <c r="L55" s="508">
        <v>394.4</v>
      </c>
      <c r="M55" s="966"/>
    </row>
    <row r="56" spans="2:13" s="960" customFormat="1" ht="15" customHeight="1">
      <c r="B56" s="507" t="s">
        <v>666</v>
      </c>
      <c r="C56" s="508">
        <v>750</v>
      </c>
      <c r="D56" s="507" t="s">
        <v>661</v>
      </c>
      <c r="E56" s="507"/>
      <c r="F56" s="507"/>
      <c r="G56" s="526" t="s">
        <v>112</v>
      </c>
      <c r="H56" s="526">
        <v>1016</v>
      </c>
      <c r="I56" s="1028"/>
      <c r="J56" s="1029" t="s">
        <v>672</v>
      </c>
      <c r="K56" s="1028"/>
      <c r="L56" s="508">
        <v>524.70000000000005</v>
      </c>
      <c r="M56" s="966"/>
    </row>
    <row r="57" spans="2:13" s="960" customFormat="1" ht="15" customHeight="1">
      <c r="B57" s="1029"/>
      <c r="C57" s="1030"/>
      <c r="D57" s="507" t="s">
        <v>664</v>
      </c>
      <c r="E57" s="507"/>
      <c r="F57" s="507"/>
      <c r="G57" s="526" t="s">
        <v>112</v>
      </c>
      <c r="H57" s="526">
        <v>937.15</v>
      </c>
      <c r="I57" s="1028"/>
      <c r="J57" s="1029" t="s">
        <v>776</v>
      </c>
      <c r="K57" s="507" t="s">
        <v>222</v>
      </c>
      <c r="L57" s="1029">
        <v>394.8</v>
      </c>
      <c r="M57" s="966"/>
    </row>
    <row r="58" spans="2:13" s="960" customFormat="1" ht="15" customHeight="1">
      <c r="B58" s="1031"/>
      <c r="C58" s="1030"/>
      <c r="D58" s="507" t="s">
        <v>667</v>
      </c>
      <c r="E58" s="507"/>
      <c r="F58" s="507"/>
      <c r="G58" s="526" t="s">
        <v>112</v>
      </c>
      <c r="H58" s="526">
        <v>680</v>
      </c>
      <c r="I58" s="1028"/>
      <c r="J58" s="1029" t="s">
        <v>777</v>
      </c>
      <c r="K58" s="507" t="s">
        <v>222</v>
      </c>
      <c r="L58" s="1029">
        <v>413.6</v>
      </c>
      <c r="M58" s="966"/>
    </row>
    <row r="59" spans="2:13" s="960" customFormat="1" ht="15" customHeight="1">
      <c r="B59" s="1031"/>
      <c r="C59" s="1030"/>
      <c r="D59" s="507" t="s">
        <v>669</v>
      </c>
      <c r="E59" s="507"/>
      <c r="F59" s="507"/>
      <c r="G59" s="526" t="s">
        <v>112</v>
      </c>
      <c r="H59" s="526">
        <v>624.75</v>
      </c>
      <c r="I59" s="1028"/>
      <c r="J59" s="507" t="s">
        <v>778</v>
      </c>
      <c r="K59" s="507" t="s">
        <v>222</v>
      </c>
      <c r="L59" s="1029">
        <v>59.1</v>
      </c>
      <c r="M59" s="966"/>
    </row>
    <row r="60" spans="2:13" s="960" customFormat="1" ht="15" customHeight="1">
      <c r="B60" s="1031"/>
      <c r="C60" s="1030"/>
      <c r="D60" s="507" t="s">
        <v>744</v>
      </c>
      <c r="E60" s="507"/>
      <c r="F60" s="507"/>
      <c r="G60" s="526" t="s">
        <v>112</v>
      </c>
      <c r="H60" s="526">
        <v>565</v>
      </c>
      <c r="I60" s="1028"/>
      <c r="J60" s="507" t="s">
        <v>779</v>
      </c>
      <c r="K60" s="507" t="s">
        <v>222</v>
      </c>
      <c r="L60" s="1029">
        <v>381.8</v>
      </c>
      <c r="M60" s="966"/>
    </row>
    <row r="61" spans="2:13" s="960" customFormat="1" ht="15" customHeight="1">
      <c r="B61" s="1031"/>
      <c r="C61" s="1030"/>
      <c r="D61" s="507" t="s">
        <v>671</v>
      </c>
      <c r="E61" s="1030"/>
      <c r="F61" s="1030"/>
      <c r="G61" s="1030" t="s">
        <v>112</v>
      </c>
      <c r="H61" s="1030">
        <v>808</v>
      </c>
      <c r="I61" s="1028"/>
      <c r="J61" s="507" t="s">
        <v>780</v>
      </c>
      <c r="K61" s="507" t="s">
        <v>222</v>
      </c>
      <c r="L61" s="1029">
        <v>1527.1</v>
      </c>
      <c r="M61" s="966"/>
    </row>
    <row r="62" spans="2:13" s="960" customFormat="1" ht="15" customHeight="1">
      <c r="B62" s="1031"/>
      <c r="C62" s="1030"/>
      <c r="D62" s="507" t="s">
        <v>673</v>
      </c>
      <c r="E62" s="1030"/>
      <c r="F62" s="1030"/>
      <c r="G62" s="1030" t="s">
        <v>112</v>
      </c>
      <c r="H62" s="1030">
        <v>742.85</v>
      </c>
      <c r="I62" s="1028"/>
      <c r="J62" s="507" t="s">
        <v>781</v>
      </c>
      <c r="K62" s="507" t="s">
        <v>222</v>
      </c>
      <c r="L62" s="1029">
        <v>875.6</v>
      </c>
      <c r="M62" s="966"/>
    </row>
    <row r="63" spans="2:13" s="960" customFormat="1" ht="15" customHeight="1">
      <c r="B63" s="1031"/>
      <c r="C63" s="1030"/>
      <c r="D63" s="507" t="s">
        <v>674</v>
      </c>
      <c r="E63" s="1030"/>
      <c r="F63" s="1030"/>
      <c r="G63" s="1030" t="s">
        <v>112</v>
      </c>
      <c r="H63" s="1030">
        <v>480</v>
      </c>
      <c r="I63" s="1028"/>
      <c r="J63" s="507" t="s">
        <v>782</v>
      </c>
      <c r="K63" s="507" t="s">
        <v>222</v>
      </c>
      <c r="L63" s="1029">
        <v>19546</v>
      </c>
      <c r="M63" s="966"/>
    </row>
    <row r="64" spans="2:13" s="960" customFormat="1" ht="15" customHeight="1">
      <c r="B64" s="1031"/>
      <c r="C64" s="1030"/>
      <c r="D64" s="507" t="s">
        <v>675</v>
      </c>
      <c r="E64" s="1030"/>
      <c r="F64" s="1030"/>
      <c r="G64" s="1030" t="s">
        <v>112</v>
      </c>
      <c r="H64" s="1030">
        <v>524</v>
      </c>
      <c r="I64" s="1028"/>
      <c r="J64" s="507" t="s">
        <v>783</v>
      </c>
      <c r="K64" s="507" t="s">
        <v>222</v>
      </c>
      <c r="L64" s="1029">
        <v>3115.2</v>
      </c>
      <c r="M64" s="966"/>
    </row>
    <row r="65" spans="1:13" s="960" customFormat="1" ht="15" customHeight="1">
      <c r="B65" s="1031"/>
      <c r="C65" s="1030"/>
      <c r="D65" s="507" t="s">
        <v>676</v>
      </c>
      <c r="E65" s="1030"/>
      <c r="F65" s="1030"/>
      <c r="G65" s="1030" t="s">
        <v>112</v>
      </c>
      <c r="H65" s="1030">
        <v>350</v>
      </c>
      <c r="I65" s="1029"/>
      <c r="J65" s="1029" t="s">
        <v>784</v>
      </c>
      <c r="K65" s="507" t="s">
        <v>222</v>
      </c>
      <c r="L65" s="1029">
        <v>1679.7</v>
      </c>
      <c r="M65" s="966"/>
    </row>
    <row r="66" spans="1:13" s="960" customFormat="1" ht="15" customHeight="1">
      <c r="B66" s="1031"/>
      <c r="C66" s="1030"/>
      <c r="D66" s="507" t="s">
        <v>745</v>
      </c>
      <c r="E66" s="507"/>
      <c r="F66" s="507"/>
      <c r="G66" s="526" t="s">
        <v>112</v>
      </c>
      <c r="H66" s="526">
        <v>465</v>
      </c>
      <c r="I66" s="1028"/>
      <c r="J66" s="1029" t="s">
        <v>785</v>
      </c>
      <c r="K66" s="507" t="s">
        <v>222</v>
      </c>
      <c r="L66" s="1029">
        <v>135.5</v>
      </c>
      <c r="M66" s="966"/>
    </row>
    <row r="67" spans="1:13" s="1034" customFormat="1" ht="12.75">
      <c r="A67" s="1032"/>
      <c r="B67" s="1033"/>
      <c r="C67" s="1033"/>
      <c r="D67" s="529" t="s">
        <v>677</v>
      </c>
      <c r="E67" s="1030"/>
      <c r="F67" s="1030"/>
      <c r="G67" s="1030" t="s">
        <v>112</v>
      </c>
      <c r="H67" s="1030">
        <v>350</v>
      </c>
      <c r="I67" s="1028"/>
      <c r="J67" s="1033"/>
      <c r="K67" s="1033"/>
      <c r="L67" s="1033"/>
    </row>
    <row r="68" spans="1:13" s="1034" customFormat="1" ht="12.75">
      <c r="A68" s="1032"/>
      <c r="B68" s="1033"/>
      <c r="C68" s="1033"/>
      <c r="D68" s="1029" t="s">
        <v>612</v>
      </c>
      <c r="E68" s="1030"/>
      <c r="F68" s="1030"/>
      <c r="G68" s="1030" t="s">
        <v>112</v>
      </c>
      <c r="H68" s="1030">
        <v>113</v>
      </c>
      <c r="I68" s="1026"/>
      <c r="J68" s="1033"/>
      <c r="K68" s="1033"/>
      <c r="L68" s="1033"/>
    </row>
    <row r="69" spans="1:13" s="1034" customFormat="1" ht="12.75">
      <c r="A69" s="1032"/>
      <c r="B69" s="1033"/>
      <c r="C69" s="1033"/>
      <c r="D69" s="1029" t="s">
        <v>746</v>
      </c>
      <c r="E69" s="1029"/>
      <c r="F69" s="1029"/>
      <c r="G69" s="1030" t="s">
        <v>112</v>
      </c>
      <c r="H69" s="1030">
        <v>86</v>
      </c>
      <c r="I69" s="1026"/>
      <c r="J69" s="1033"/>
      <c r="K69" s="1033"/>
      <c r="L69" s="1033"/>
    </row>
    <row r="70" spans="1:13" s="1034" customFormat="1" ht="12.75">
      <c r="A70" s="1032"/>
      <c r="B70" s="1033"/>
      <c r="C70" s="1033"/>
      <c r="D70" s="1029" t="s">
        <v>747</v>
      </c>
      <c r="E70" s="1030"/>
      <c r="F70" s="1030"/>
      <c r="G70" s="1030" t="s">
        <v>112</v>
      </c>
      <c r="H70" s="1030">
        <v>84.75</v>
      </c>
      <c r="I70" s="1026"/>
      <c r="J70" s="1033"/>
      <c r="K70" s="1033"/>
      <c r="L70" s="1033"/>
    </row>
    <row r="71" spans="1:13" s="265" customFormat="1">
      <c r="A71" s="266"/>
      <c r="B71" s="509"/>
      <c r="C71" s="510"/>
      <c r="D71" s="1029" t="s">
        <v>678</v>
      </c>
      <c r="E71" s="1029"/>
      <c r="F71" s="1029"/>
      <c r="G71" s="1030" t="s">
        <v>679</v>
      </c>
      <c r="H71" s="1030">
        <v>6000</v>
      </c>
      <c r="I71" s="509"/>
      <c r="J71" s="509"/>
      <c r="K71" s="509"/>
      <c r="L71" s="509"/>
    </row>
    <row r="72" spans="1:13" s="265" customFormat="1">
      <c r="A72" s="266"/>
      <c r="B72" s="509"/>
      <c r="C72" s="510"/>
      <c r="D72" s="1029" t="s">
        <v>680</v>
      </c>
      <c r="E72" s="1030"/>
      <c r="F72" s="1030"/>
      <c r="G72" s="1030" t="s">
        <v>114</v>
      </c>
      <c r="H72" s="1030">
        <v>15.25</v>
      </c>
      <c r="I72" s="509"/>
      <c r="J72" s="509"/>
      <c r="K72" s="509"/>
      <c r="L72" s="509"/>
    </row>
    <row r="73" spans="1:13" s="265" customFormat="1">
      <c r="A73" s="266"/>
      <c r="B73" s="509"/>
      <c r="C73" s="510"/>
      <c r="D73" s="1029" t="s">
        <v>681</v>
      </c>
      <c r="E73" s="1030"/>
      <c r="F73" s="1030"/>
      <c r="G73" s="1030" t="s">
        <v>682</v>
      </c>
      <c r="H73" s="1030">
        <v>8.35</v>
      </c>
      <c r="I73" s="509"/>
      <c r="J73" s="509"/>
      <c r="K73" s="509"/>
      <c r="L73" s="509"/>
    </row>
    <row r="74" spans="1:13" s="265" customFormat="1">
      <c r="A74" s="266"/>
      <c r="B74" s="509"/>
      <c r="C74" s="510"/>
      <c r="D74" s="1029" t="s">
        <v>683</v>
      </c>
      <c r="E74" s="1030"/>
      <c r="F74" s="1030"/>
      <c r="G74" s="1030" t="s">
        <v>73</v>
      </c>
      <c r="H74" s="1030">
        <v>8.5500000000000007</v>
      </c>
      <c r="I74" s="509"/>
      <c r="J74" s="509"/>
      <c r="K74" s="509"/>
      <c r="L74" s="509"/>
    </row>
    <row r="75" spans="1:13" s="265" customFormat="1">
      <c r="A75" s="266"/>
      <c r="B75" s="509"/>
      <c r="C75" s="510"/>
      <c r="D75" s="1029" t="s">
        <v>748</v>
      </c>
      <c r="E75" s="1029"/>
      <c r="F75" s="1029"/>
      <c r="G75" s="1030" t="s">
        <v>112</v>
      </c>
      <c r="H75" s="1030">
        <v>168.55</v>
      </c>
      <c r="I75" s="509"/>
      <c r="J75" s="509"/>
      <c r="K75" s="509"/>
      <c r="L75" s="509"/>
    </row>
    <row r="76" spans="1:13" s="265" customFormat="1">
      <c r="A76" s="266"/>
      <c r="B76" s="509"/>
      <c r="C76" s="510"/>
      <c r="D76" s="1029" t="s">
        <v>684</v>
      </c>
      <c r="E76" s="1029"/>
      <c r="F76" s="1029"/>
      <c r="G76" s="1030" t="s">
        <v>112</v>
      </c>
      <c r="H76" s="1030">
        <v>250</v>
      </c>
      <c r="I76" s="509"/>
      <c r="J76" s="509"/>
      <c r="K76" s="509"/>
      <c r="L76" s="509"/>
    </row>
    <row r="77" spans="1:13" s="265" customFormat="1">
      <c r="A77" s="266"/>
      <c r="B77" s="509"/>
      <c r="C77" s="510"/>
      <c r="D77" s="1029" t="s">
        <v>685</v>
      </c>
      <c r="E77" s="1029"/>
      <c r="F77" s="1029"/>
      <c r="G77" s="1030" t="s">
        <v>114</v>
      </c>
      <c r="H77" s="1030">
        <v>96</v>
      </c>
      <c r="I77" s="509"/>
      <c r="J77" s="509"/>
      <c r="K77" s="509"/>
      <c r="L77" s="509"/>
    </row>
    <row r="78" spans="1:13" s="265" customFormat="1">
      <c r="A78" s="266"/>
      <c r="B78" s="509"/>
      <c r="C78" s="510"/>
      <c r="D78" s="1029" t="s">
        <v>894</v>
      </c>
      <c r="E78" s="1035"/>
      <c r="F78" s="1035"/>
      <c r="G78" s="526" t="s">
        <v>116</v>
      </c>
      <c r="H78" s="526">
        <v>67</v>
      </c>
      <c r="I78" s="509"/>
      <c r="J78" s="509"/>
      <c r="K78" s="509"/>
      <c r="L78" s="509"/>
    </row>
    <row r="79" spans="1:13" s="265" customFormat="1">
      <c r="A79" s="266"/>
      <c r="B79" s="509"/>
      <c r="C79" s="510"/>
      <c r="D79" s="1029" t="s">
        <v>686</v>
      </c>
      <c r="E79" s="1029"/>
      <c r="F79" s="1029"/>
      <c r="G79" s="1030" t="s">
        <v>206</v>
      </c>
      <c r="H79" s="1030">
        <v>27</v>
      </c>
      <c r="I79" s="509"/>
      <c r="J79" s="509"/>
      <c r="K79" s="509"/>
      <c r="L79" s="509"/>
    </row>
    <row r="80" spans="1:13" s="265" customFormat="1" ht="27" customHeight="1">
      <c r="A80" s="266"/>
      <c r="B80" s="509"/>
      <c r="C80" s="510"/>
      <c r="D80" s="1394" t="s">
        <v>749</v>
      </c>
      <c r="E80" s="1394"/>
      <c r="F80" s="1394"/>
      <c r="G80" s="526" t="s">
        <v>575</v>
      </c>
      <c r="H80" s="526">
        <v>248</v>
      </c>
      <c r="I80" s="509"/>
      <c r="J80" s="509"/>
      <c r="K80" s="509"/>
      <c r="L80" s="509"/>
    </row>
    <row r="81" spans="2:12">
      <c r="B81" s="511"/>
      <c r="C81" s="512"/>
      <c r="D81" s="1036" t="s">
        <v>693</v>
      </c>
      <c r="E81" s="511"/>
      <c r="F81" s="511"/>
      <c r="G81" s="512" t="s">
        <v>575</v>
      </c>
      <c r="H81" s="512">
        <v>121</v>
      </c>
      <c r="I81" s="511"/>
      <c r="J81" s="511"/>
      <c r="K81" s="511"/>
      <c r="L81" s="511"/>
    </row>
    <row r="82" spans="2:12" ht="16.5" customHeight="1">
      <c r="B82" s="511"/>
      <c r="C82" s="512"/>
      <c r="D82" s="1037" t="s">
        <v>750</v>
      </c>
      <c r="E82" s="1038"/>
      <c r="F82" s="1038"/>
      <c r="G82" s="1039" t="s">
        <v>751</v>
      </c>
      <c r="H82" s="1039">
        <v>200</v>
      </c>
      <c r="I82" s="511"/>
      <c r="J82" s="511"/>
      <c r="K82" s="511"/>
      <c r="L82" s="511"/>
    </row>
    <row r="83" spans="2:12" ht="25.5" customHeight="1">
      <c r="B83" s="511"/>
      <c r="C83" s="512"/>
      <c r="D83" s="1389" t="s">
        <v>752</v>
      </c>
      <c r="E83" s="1389"/>
      <c r="F83" s="1389"/>
      <c r="G83" s="1039" t="s">
        <v>751</v>
      </c>
      <c r="H83" s="1039">
        <v>106</v>
      </c>
      <c r="I83" s="511"/>
      <c r="J83" s="511"/>
      <c r="K83" s="511"/>
      <c r="L83" s="511"/>
    </row>
    <row r="84" spans="2:12">
      <c r="B84" s="511"/>
      <c r="C84" s="512"/>
      <c r="D84" s="1389" t="s">
        <v>753</v>
      </c>
      <c r="E84" s="1389"/>
      <c r="F84" s="1389"/>
      <c r="G84" s="1039" t="s">
        <v>751</v>
      </c>
      <c r="H84" s="1039">
        <v>74</v>
      </c>
      <c r="I84" s="511"/>
      <c r="J84" s="511"/>
      <c r="K84" s="511"/>
      <c r="L84" s="511"/>
    </row>
    <row r="85" spans="2:12" ht="14.25">
      <c r="B85" s="511"/>
      <c r="C85" s="512"/>
      <c r="D85" s="1037" t="s">
        <v>754</v>
      </c>
      <c r="E85" s="1038"/>
      <c r="F85" s="1038"/>
      <c r="G85" s="1039" t="s">
        <v>575</v>
      </c>
      <c r="H85" s="1039">
        <v>53.95</v>
      </c>
      <c r="I85" s="511"/>
      <c r="J85" s="511"/>
      <c r="K85" s="511"/>
      <c r="L85" s="511"/>
    </row>
    <row r="86" spans="2:12">
      <c r="B86" s="511"/>
      <c r="C86" s="512"/>
      <c r="D86" s="1040" t="s">
        <v>755</v>
      </c>
      <c r="E86" s="1041"/>
      <c r="F86" s="1041"/>
      <c r="G86" s="1039" t="s">
        <v>756</v>
      </c>
      <c r="H86" s="1039">
        <v>80</v>
      </c>
      <c r="I86" s="511"/>
      <c r="J86" s="511"/>
      <c r="K86" s="511"/>
      <c r="L86" s="511"/>
    </row>
    <row r="87" spans="2:12" ht="14.25">
      <c r="B87" s="511"/>
      <c r="C87" s="512"/>
      <c r="D87" s="1037" t="s">
        <v>757</v>
      </c>
      <c r="E87" s="1038"/>
      <c r="F87" s="1038"/>
      <c r="G87" s="1039" t="s">
        <v>575</v>
      </c>
      <c r="H87" s="1039">
        <v>130</v>
      </c>
      <c r="I87" s="511"/>
      <c r="J87" s="511"/>
      <c r="K87" s="511"/>
      <c r="L87" s="511"/>
    </row>
    <row r="88" spans="2:12">
      <c r="B88" s="511"/>
      <c r="C88" s="512"/>
      <c r="D88" s="1037" t="s">
        <v>758</v>
      </c>
      <c r="E88" s="1037"/>
      <c r="F88" s="1037"/>
      <c r="G88" s="1039" t="s">
        <v>759</v>
      </c>
      <c r="H88" s="1039">
        <v>1009</v>
      </c>
      <c r="I88" s="511"/>
      <c r="J88" s="511"/>
      <c r="K88" s="511"/>
      <c r="L88" s="511"/>
    </row>
    <row r="89" spans="2:12">
      <c r="B89" s="511"/>
      <c r="C89" s="512"/>
      <c r="D89" s="1389" t="s">
        <v>760</v>
      </c>
      <c r="E89" s="1389"/>
      <c r="F89" s="1389"/>
      <c r="G89" s="1039" t="s">
        <v>116</v>
      </c>
      <c r="H89" s="1039">
        <v>27</v>
      </c>
      <c r="I89" s="511"/>
      <c r="J89" s="511"/>
      <c r="K89" s="511"/>
      <c r="L89" s="511"/>
    </row>
    <row r="90" spans="2:12">
      <c r="B90" s="511"/>
      <c r="C90" s="512"/>
      <c r="D90" s="1389" t="s">
        <v>761</v>
      </c>
      <c r="E90" s="1389"/>
      <c r="F90" s="1389"/>
      <c r="G90" s="1039" t="s">
        <v>116</v>
      </c>
      <c r="H90" s="1039">
        <v>5</v>
      </c>
      <c r="I90" s="511"/>
      <c r="J90" s="511"/>
      <c r="K90" s="511"/>
      <c r="L90" s="511"/>
    </row>
    <row r="91" spans="2:12">
      <c r="B91" s="511"/>
      <c r="C91" s="512"/>
      <c r="D91" s="1389" t="s">
        <v>762</v>
      </c>
      <c r="E91" s="1389"/>
      <c r="F91" s="1389"/>
      <c r="G91" s="1039" t="s">
        <v>625</v>
      </c>
      <c r="H91" s="1039">
        <v>191</v>
      </c>
      <c r="I91" s="511"/>
      <c r="J91" s="511"/>
      <c r="K91" s="511"/>
      <c r="L91" s="511"/>
    </row>
    <row r="92" spans="2:12">
      <c r="B92" s="511"/>
      <c r="C92" s="512"/>
      <c r="D92" s="1389" t="s">
        <v>763</v>
      </c>
      <c r="E92" s="1389"/>
      <c r="F92" s="1389"/>
      <c r="G92" s="1039" t="s">
        <v>625</v>
      </c>
      <c r="H92" s="1039">
        <v>248</v>
      </c>
      <c r="I92" s="511"/>
      <c r="J92" s="511"/>
      <c r="K92" s="511"/>
      <c r="L92" s="511"/>
    </row>
    <row r="93" spans="2:12">
      <c r="B93" s="511"/>
      <c r="C93" s="512"/>
      <c r="D93" s="1389" t="s">
        <v>764</v>
      </c>
      <c r="E93" s="1389"/>
      <c r="F93" s="1389"/>
      <c r="G93" s="1039" t="s">
        <v>625</v>
      </c>
      <c r="H93" s="1039">
        <v>340</v>
      </c>
      <c r="I93" s="511"/>
      <c r="J93" s="511"/>
      <c r="K93" s="511"/>
      <c r="L93" s="511"/>
    </row>
    <row r="94" spans="2:12" ht="26.25" customHeight="1">
      <c r="B94" s="511"/>
      <c r="C94" s="512"/>
      <c r="D94" s="1389" t="s">
        <v>765</v>
      </c>
      <c r="E94" s="1389"/>
      <c r="F94" s="1389"/>
      <c r="G94" s="1039" t="s">
        <v>751</v>
      </c>
      <c r="H94" s="1039">
        <v>141</v>
      </c>
      <c r="I94" s="511"/>
      <c r="J94" s="511"/>
      <c r="K94" s="511"/>
      <c r="L94" s="511"/>
    </row>
    <row r="95" spans="2:12" ht="26.25" customHeight="1">
      <c r="B95" s="511"/>
      <c r="C95" s="512"/>
      <c r="D95" s="1389" t="s">
        <v>766</v>
      </c>
      <c r="E95" s="1389"/>
      <c r="F95" s="1389"/>
      <c r="G95" s="1039" t="s">
        <v>107</v>
      </c>
      <c r="H95" s="1039">
        <v>24</v>
      </c>
      <c r="I95" s="511"/>
      <c r="J95" s="511"/>
      <c r="K95" s="511"/>
      <c r="L95" s="511"/>
    </row>
    <row r="96" spans="2:12" ht="26.25" customHeight="1">
      <c r="B96" s="511"/>
      <c r="C96" s="512"/>
      <c r="D96" s="1389" t="s">
        <v>767</v>
      </c>
      <c r="E96" s="1389"/>
      <c r="F96" s="1389"/>
      <c r="G96" s="1039" t="s">
        <v>107</v>
      </c>
      <c r="H96" s="1039">
        <v>35</v>
      </c>
      <c r="I96" s="511"/>
      <c r="J96" s="511"/>
      <c r="K96" s="511"/>
      <c r="L96" s="511"/>
    </row>
    <row r="97" spans="2:12" ht="26.25" customHeight="1">
      <c r="B97" s="511"/>
      <c r="C97" s="512"/>
      <c r="D97" s="1389" t="s">
        <v>768</v>
      </c>
      <c r="E97" s="1389"/>
      <c r="F97" s="1389"/>
      <c r="G97" s="1039" t="s">
        <v>107</v>
      </c>
      <c r="H97" s="1039">
        <v>51</v>
      </c>
      <c r="I97" s="511"/>
      <c r="J97" s="511"/>
      <c r="K97" s="511"/>
      <c r="L97" s="511"/>
    </row>
    <row r="98" spans="2:12" ht="26.25" customHeight="1">
      <c r="B98" s="511"/>
      <c r="C98" s="512"/>
      <c r="D98" s="1389" t="s">
        <v>769</v>
      </c>
      <c r="E98" s="1389"/>
      <c r="F98" s="1389"/>
      <c r="G98" s="1039" t="s">
        <v>107</v>
      </c>
      <c r="H98" s="1039">
        <v>11</v>
      </c>
      <c r="I98" s="511"/>
      <c r="J98" s="511"/>
      <c r="K98" s="511"/>
      <c r="L98" s="511"/>
    </row>
    <row r="99" spans="2:12" ht="26.25" customHeight="1">
      <c r="B99" s="511"/>
      <c r="C99" s="512"/>
      <c r="D99" s="1389" t="s">
        <v>770</v>
      </c>
      <c r="E99" s="1389"/>
      <c r="F99" s="1389"/>
      <c r="G99" s="1039" t="s">
        <v>107</v>
      </c>
      <c r="H99" s="1039">
        <v>20</v>
      </c>
      <c r="I99" s="511"/>
      <c r="J99" s="511"/>
      <c r="K99" s="511"/>
      <c r="L99" s="511"/>
    </row>
    <row r="100" spans="2:12" ht="26.25" customHeight="1">
      <c r="B100" s="511"/>
      <c r="C100" s="512"/>
      <c r="D100" s="1389" t="s">
        <v>771</v>
      </c>
      <c r="E100" s="1389"/>
      <c r="F100" s="1389"/>
      <c r="G100" s="1039" t="s">
        <v>107</v>
      </c>
      <c r="H100" s="1039">
        <v>31</v>
      </c>
      <c r="I100" s="511"/>
      <c r="J100" s="511"/>
      <c r="K100" s="511"/>
      <c r="L100" s="511"/>
    </row>
    <row r="101" spans="2:12" ht="26.25" customHeight="1">
      <c r="B101" s="511"/>
      <c r="C101" s="512"/>
      <c r="D101" s="1389" t="s">
        <v>772</v>
      </c>
      <c r="E101" s="1389"/>
      <c r="F101" s="1389"/>
      <c r="G101" s="1039" t="s">
        <v>107</v>
      </c>
      <c r="H101" s="1039">
        <v>45</v>
      </c>
      <c r="I101" s="511"/>
      <c r="J101" s="511"/>
      <c r="K101" s="511"/>
      <c r="L101" s="511"/>
    </row>
    <row r="102" spans="2:12" ht="26.25" customHeight="1">
      <c r="B102" s="511"/>
      <c r="C102" s="512"/>
      <c r="D102" s="1389" t="s">
        <v>773</v>
      </c>
      <c r="E102" s="1389"/>
      <c r="F102" s="1389"/>
      <c r="G102" s="1039" t="s">
        <v>107</v>
      </c>
      <c r="H102" s="1039">
        <v>98</v>
      </c>
      <c r="I102" s="511"/>
      <c r="J102" s="511"/>
      <c r="K102" s="511"/>
      <c r="L102" s="511"/>
    </row>
    <row r="103" spans="2:12" ht="26.25" customHeight="1">
      <c r="B103" s="511"/>
      <c r="C103" s="512"/>
      <c r="D103" s="1389" t="s">
        <v>774</v>
      </c>
      <c r="E103" s="1389"/>
      <c r="F103" s="1389"/>
      <c r="G103" s="1039" t="s">
        <v>107</v>
      </c>
      <c r="H103" s="1039">
        <v>154</v>
      </c>
      <c r="I103" s="511"/>
      <c r="J103" s="511"/>
      <c r="K103" s="511"/>
      <c r="L103" s="511"/>
    </row>
    <row r="104" spans="2:12" ht="26.25" customHeight="1">
      <c r="B104" s="511"/>
      <c r="C104" s="512"/>
      <c r="D104" s="1389" t="s">
        <v>775</v>
      </c>
      <c r="E104" s="1389"/>
      <c r="F104" s="1389"/>
      <c r="G104" s="1039" t="s">
        <v>107</v>
      </c>
      <c r="H104" s="1039">
        <v>45</v>
      </c>
      <c r="I104" s="511"/>
      <c r="J104" s="511"/>
      <c r="K104" s="511"/>
      <c r="L104" s="511"/>
    </row>
    <row r="105" spans="2:12">
      <c r="B105" s="511"/>
      <c r="C105" s="512"/>
      <c r="D105" s="1386" t="s">
        <v>1044</v>
      </c>
      <c r="E105" s="1386"/>
      <c r="F105" s="1386"/>
      <c r="G105" s="511" t="s">
        <v>1045</v>
      </c>
      <c r="H105" s="513">
        <v>141</v>
      </c>
      <c r="I105" s="511"/>
      <c r="J105" s="511"/>
      <c r="K105" s="511"/>
      <c r="L105" s="511"/>
    </row>
    <row r="106" spans="2:12" ht="23.25" customHeight="1">
      <c r="B106" s="511"/>
      <c r="C106" s="512"/>
      <c r="D106" s="1387" t="s">
        <v>1048</v>
      </c>
      <c r="E106" s="1387"/>
      <c r="F106" s="1387"/>
      <c r="G106" s="511" t="s">
        <v>1047</v>
      </c>
      <c r="H106" s="513">
        <v>172</v>
      </c>
      <c r="I106" s="511"/>
      <c r="J106" s="511"/>
      <c r="K106" s="511"/>
      <c r="L106" s="511"/>
    </row>
    <row r="107" spans="2:12" ht="22.5" customHeight="1">
      <c r="B107" s="511"/>
      <c r="C107" s="512"/>
      <c r="D107" s="1387" t="s">
        <v>1049</v>
      </c>
      <c r="E107" s="1387"/>
      <c r="F107" s="1387"/>
      <c r="G107" s="511" t="s">
        <v>1047</v>
      </c>
      <c r="H107" s="513">
        <v>248</v>
      </c>
      <c r="I107" s="511"/>
      <c r="J107" s="511"/>
      <c r="K107" s="511"/>
      <c r="L107" s="511"/>
    </row>
    <row r="108" spans="2:12" ht="26.25" customHeight="1">
      <c r="B108" s="511"/>
      <c r="C108" s="512"/>
      <c r="D108" s="1387" t="s">
        <v>1052</v>
      </c>
      <c r="E108" s="1387"/>
      <c r="F108" s="1387"/>
      <c r="G108" s="511" t="s">
        <v>1047</v>
      </c>
      <c r="H108" s="513">
        <v>121</v>
      </c>
      <c r="I108" s="511"/>
      <c r="J108" s="511"/>
      <c r="K108" s="511"/>
      <c r="L108" s="511"/>
    </row>
    <row r="109" spans="2:12" ht="20.25" customHeight="1">
      <c r="B109" s="511"/>
      <c r="C109" s="512"/>
      <c r="D109" s="1388" t="s">
        <v>893</v>
      </c>
      <c r="E109" s="1388"/>
      <c r="F109" s="1388"/>
      <c r="G109" s="511" t="s">
        <v>1053</v>
      </c>
      <c r="H109" s="513">
        <v>323</v>
      </c>
      <c r="I109" s="511"/>
      <c r="J109" s="511"/>
      <c r="K109" s="511"/>
      <c r="L109" s="511"/>
    </row>
    <row r="110" spans="2:12" ht="43.5" customHeight="1">
      <c r="B110" s="511"/>
      <c r="C110" s="512"/>
      <c r="D110" s="1385" t="s">
        <v>892</v>
      </c>
      <c r="E110" s="1385"/>
      <c r="F110" s="1385"/>
      <c r="G110" s="511" t="s">
        <v>1053</v>
      </c>
      <c r="H110" s="513">
        <v>370</v>
      </c>
      <c r="I110" s="511"/>
      <c r="J110" s="511"/>
      <c r="K110" s="511"/>
      <c r="L110" s="511"/>
    </row>
    <row r="111" spans="2:12" ht="48.75" customHeight="1">
      <c r="B111" s="511"/>
      <c r="C111" s="512"/>
      <c r="D111" s="1385" t="s">
        <v>989</v>
      </c>
      <c r="E111" s="1385"/>
      <c r="F111" s="1385"/>
      <c r="G111" s="511" t="s">
        <v>1053</v>
      </c>
      <c r="H111" s="513">
        <v>612</v>
      </c>
      <c r="I111" s="511"/>
      <c r="J111" s="511"/>
      <c r="K111" s="511"/>
      <c r="L111" s="511"/>
    </row>
  </sheetData>
  <mergeCells count="41">
    <mergeCell ref="D91:F91"/>
    <mergeCell ref="A1:M1"/>
    <mergeCell ref="A5:A6"/>
    <mergeCell ref="B5:B6"/>
    <mergeCell ref="D5:D6"/>
    <mergeCell ref="E5:E6"/>
    <mergeCell ref="L5:L6"/>
    <mergeCell ref="G5:G6"/>
    <mergeCell ref="J5:J6"/>
    <mergeCell ref="K5:K6"/>
    <mergeCell ref="M5:M6"/>
    <mergeCell ref="D80:F80"/>
    <mergeCell ref="D83:F83"/>
    <mergeCell ref="D84:F84"/>
    <mergeCell ref="D89:F89"/>
    <mergeCell ref="D90:F90"/>
    <mergeCell ref="D101:F101"/>
    <mergeCell ref="D102:F102"/>
    <mergeCell ref="D103:F103"/>
    <mergeCell ref="D92:F92"/>
    <mergeCell ref="D93:F93"/>
    <mergeCell ref="D94:F94"/>
    <mergeCell ref="D95:F95"/>
    <mergeCell ref="D96:F96"/>
    <mergeCell ref="D97:F97"/>
    <mergeCell ref="C2:M2"/>
    <mergeCell ref="D111:F111"/>
    <mergeCell ref="D105:F105"/>
    <mergeCell ref="D106:F106"/>
    <mergeCell ref="D107:F107"/>
    <mergeCell ref="D108:F108"/>
    <mergeCell ref="D109:F109"/>
    <mergeCell ref="D110:F110"/>
    <mergeCell ref="D104:F104"/>
    <mergeCell ref="H5:H6"/>
    <mergeCell ref="I5:I6"/>
    <mergeCell ref="C5:C6"/>
    <mergeCell ref="F5:F6"/>
    <mergeCell ref="D98:F98"/>
    <mergeCell ref="D99:F99"/>
    <mergeCell ref="D100:F100"/>
  </mergeCells>
  <pageMargins left="0.71" right="0.2" top="0.25" bottom="0.25" header="0.3" footer="0.3"/>
  <pageSetup paperSize="9" orientation="landscape" verticalDpi="300" r:id="rId1"/>
  <rowBreaks count="1" manualBreakCount="1">
    <brk id="40" max="16383" man="1"/>
  </rowBreaks>
</worksheet>
</file>

<file path=xl/worksheets/sheet18.xml><?xml version="1.0" encoding="utf-8"?>
<worksheet xmlns="http://schemas.openxmlformats.org/spreadsheetml/2006/main" xmlns:r="http://schemas.openxmlformats.org/officeDocument/2006/relationships">
  <dimension ref="A1:Q27"/>
  <sheetViews>
    <sheetView workbookViewId="0">
      <selection sqref="A1:O1"/>
    </sheetView>
  </sheetViews>
  <sheetFormatPr defaultRowHeight="12.75"/>
  <cols>
    <col min="1" max="1" width="4.5703125" style="23" customWidth="1"/>
    <col min="2" max="2" width="30.7109375" style="22" customWidth="1"/>
    <col min="3" max="3" width="13.7109375" style="22" customWidth="1"/>
    <col min="4" max="4" width="5.7109375" style="23" customWidth="1"/>
    <col min="5" max="6" width="9" style="22" customWidth="1"/>
    <col min="7" max="7" width="6.42578125" style="22" customWidth="1"/>
    <col min="8" max="8" width="9.42578125" style="22" customWidth="1"/>
    <col min="9" max="9" width="11.7109375" style="22" customWidth="1"/>
    <col min="10" max="10" width="7.42578125" style="22" customWidth="1"/>
    <col min="11" max="11" width="7.140625" style="22" customWidth="1"/>
    <col min="12" max="12" width="7.28515625" style="22" customWidth="1"/>
    <col min="13" max="13" width="8" style="22" customWidth="1"/>
    <col min="14" max="14" width="7.5703125" style="22" customWidth="1"/>
    <col min="15" max="15" width="9.7109375" style="22" customWidth="1"/>
    <col min="16" max="16" width="8.28515625" style="22" customWidth="1"/>
    <col min="17" max="16384" width="9.140625" style="22"/>
  </cols>
  <sheetData>
    <row r="1" spans="1:17" s="11" customFormat="1" ht="15" customHeight="1">
      <c r="A1" s="1395" t="s">
        <v>122</v>
      </c>
      <c r="B1" s="1395"/>
      <c r="C1" s="1395"/>
      <c r="D1" s="1395"/>
      <c r="E1" s="1395"/>
      <c r="F1" s="1395"/>
      <c r="G1" s="1395"/>
      <c r="H1" s="1395"/>
      <c r="I1" s="1395"/>
      <c r="J1" s="1395"/>
      <c r="K1" s="1395"/>
      <c r="L1" s="1395"/>
      <c r="M1" s="1395"/>
      <c r="N1" s="1395"/>
      <c r="O1" s="1395"/>
    </row>
    <row r="2" spans="1:17" s="11" customFormat="1" ht="12" customHeight="1">
      <c r="A2" s="10"/>
      <c r="B2" s="10"/>
      <c r="C2" s="10"/>
      <c r="D2" s="10"/>
      <c r="E2" s="10"/>
      <c r="F2" s="10"/>
      <c r="G2" s="10"/>
      <c r="H2" s="10"/>
      <c r="I2" s="10"/>
      <c r="J2" s="10"/>
      <c r="K2" s="10"/>
      <c r="L2" s="10"/>
      <c r="M2" s="10"/>
      <c r="N2" s="10"/>
      <c r="O2" s="10"/>
    </row>
    <row r="3" spans="1:17" s="12" customFormat="1" ht="26.25" customHeight="1">
      <c r="B3" s="13" t="s">
        <v>123</v>
      </c>
      <c r="C3" s="1372" t="e">
        <f>'Title page'!D20:J20</f>
        <v>#VALUE!</v>
      </c>
      <c r="D3" s="1372"/>
      <c r="E3" s="1372"/>
      <c r="F3" s="1372"/>
      <c r="G3" s="1372"/>
      <c r="H3" s="1372"/>
      <c r="I3" s="1372"/>
      <c r="J3" s="1372"/>
      <c r="K3" s="1372"/>
      <c r="L3" s="1372"/>
      <c r="M3" s="1372"/>
      <c r="N3" s="1372"/>
      <c r="O3" s="1372"/>
      <c r="P3" s="1372"/>
      <c r="Q3" s="15"/>
    </row>
    <row r="4" spans="1:17" s="12" customFormat="1" ht="12" customHeight="1">
      <c r="A4" s="16"/>
      <c r="B4" s="206" t="s">
        <v>117</v>
      </c>
      <c r="C4" s="17"/>
      <c r="D4" s="17"/>
      <c r="E4" s="17"/>
      <c r="F4" s="17"/>
      <c r="G4" s="17"/>
      <c r="H4" s="17"/>
      <c r="I4" s="17"/>
      <c r="J4" s="17"/>
      <c r="K4" s="17" t="str">
        <f>'Title page'!G22</f>
        <v>Est Cost</v>
      </c>
      <c r="L4" s="17"/>
      <c r="M4" s="21">
        <f>'Title page'!H22</f>
        <v>35</v>
      </c>
      <c r="N4" s="21"/>
      <c r="O4" s="17" t="str">
        <f>'Title page'!I22</f>
        <v>Lakhs</v>
      </c>
    </row>
    <row r="5" spans="1:17" s="212" customFormat="1" ht="67.5" customHeight="1">
      <c r="A5" s="164" t="s">
        <v>124</v>
      </c>
      <c r="B5" s="164" t="s">
        <v>125</v>
      </c>
      <c r="C5" s="164" t="s">
        <v>126</v>
      </c>
      <c r="D5" s="164" t="s">
        <v>127</v>
      </c>
      <c r="E5" s="211" t="s">
        <v>128</v>
      </c>
      <c r="F5" s="211" t="s">
        <v>371</v>
      </c>
      <c r="G5" s="211" t="s">
        <v>372</v>
      </c>
      <c r="H5" s="164" t="s">
        <v>129</v>
      </c>
      <c r="I5" s="164" t="s">
        <v>130</v>
      </c>
      <c r="J5" s="164" t="s">
        <v>131</v>
      </c>
      <c r="K5" s="164" t="s">
        <v>132</v>
      </c>
      <c r="L5" s="164" t="s">
        <v>133</v>
      </c>
      <c r="M5" s="164" t="s">
        <v>134</v>
      </c>
      <c r="N5" s="164" t="s">
        <v>331</v>
      </c>
      <c r="O5" s="164" t="s">
        <v>135</v>
      </c>
      <c r="P5" s="164" t="s">
        <v>136</v>
      </c>
    </row>
    <row r="6" spans="1:17" s="20" customFormat="1" ht="12" customHeight="1">
      <c r="A6" s="165">
        <v>1</v>
      </c>
      <c r="B6" s="165">
        <v>2</v>
      </c>
      <c r="C6" s="165"/>
      <c r="D6" s="165">
        <v>5</v>
      </c>
      <c r="E6" s="165">
        <v>7</v>
      </c>
      <c r="F6" s="165"/>
      <c r="G6" s="165"/>
      <c r="H6" s="165">
        <v>8</v>
      </c>
      <c r="I6" s="165"/>
      <c r="J6" s="165"/>
      <c r="K6" s="165"/>
      <c r="L6" s="165">
        <v>9</v>
      </c>
      <c r="M6" s="165">
        <v>10</v>
      </c>
      <c r="N6" s="165"/>
      <c r="O6" s="165">
        <v>11</v>
      </c>
      <c r="P6" s="165">
        <v>12</v>
      </c>
    </row>
    <row r="7" spans="1:17" s="219" customFormat="1" ht="17.25" customHeight="1">
      <c r="A7" s="213">
        <v>1</v>
      </c>
      <c r="B7" s="214" t="s">
        <v>104</v>
      </c>
      <c r="C7" s="215" t="s">
        <v>121</v>
      </c>
      <c r="D7" s="216">
        <v>1</v>
      </c>
      <c r="E7" s="217">
        <v>5200</v>
      </c>
      <c r="F7" s="217"/>
      <c r="G7" s="217"/>
      <c r="H7" s="218"/>
      <c r="I7" s="218"/>
      <c r="J7" s="216"/>
      <c r="K7" s="216"/>
      <c r="L7" s="216"/>
      <c r="M7" s="216"/>
      <c r="N7" s="216"/>
      <c r="O7" s="216"/>
      <c r="P7" s="216">
        <f>SUM(E7:O7)</f>
        <v>5200</v>
      </c>
    </row>
    <row r="8" spans="1:17" s="219" customFormat="1" ht="17.25" customHeight="1">
      <c r="A8" s="213">
        <f>A7+1</f>
        <v>2</v>
      </c>
      <c r="B8" s="214" t="s">
        <v>137</v>
      </c>
      <c r="C8" s="215" t="s">
        <v>121</v>
      </c>
      <c r="D8" s="216">
        <v>1</v>
      </c>
      <c r="E8" s="217">
        <v>43000</v>
      </c>
      <c r="F8" s="217"/>
      <c r="G8" s="217"/>
      <c r="H8" s="218"/>
      <c r="I8" s="218"/>
      <c r="J8" s="216"/>
      <c r="K8" s="216"/>
      <c r="L8" s="216"/>
      <c r="M8" s="216"/>
      <c r="N8" s="216"/>
      <c r="O8" s="216"/>
      <c r="P8" s="216">
        <f>SUM(E8:O8)</f>
        <v>43000</v>
      </c>
    </row>
    <row r="9" spans="1:17" s="219" customFormat="1" ht="17.25" customHeight="1">
      <c r="A9" s="213">
        <f t="shared" ref="A9:A15" si="0">A8+1</f>
        <v>3</v>
      </c>
      <c r="B9" s="214" t="s">
        <v>138</v>
      </c>
      <c r="C9" s="2" t="e">
        <f>LOOKUP(B4,QUARRY!A2:M28,QUARRY!B2:B28)</f>
        <v>#N/A</v>
      </c>
      <c r="D9" s="2" t="e">
        <f>LOOKUP(B4,QUARRY!A2:M28,QUARRY!C2:C28)</f>
        <v>#N/A</v>
      </c>
      <c r="E9" s="217">
        <v>505</v>
      </c>
      <c r="F9" s="217">
        <f>E9-SSR!B5</f>
        <v>476.7</v>
      </c>
      <c r="G9" s="217">
        <f>ROUND(SSR!B5*12.28%,2)</f>
        <v>3.48</v>
      </c>
      <c r="H9" s="218" t="e">
        <f>LOOKUP(ROUNDUP(D9,0),SSR!A5:A105,SSR!B5:B105)</f>
        <v>#N/A</v>
      </c>
      <c r="I9" s="218" t="e">
        <f>H9/1.14</f>
        <v>#N/A</v>
      </c>
      <c r="J9" s="216"/>
      <c r="K9" s="216"/>
      <c r="L9" s="216"/>
      <c r="M9" s="216"/>
      <c r="N9" s="216"/>
      <c r="O9" s="216"/>
      <c r="P9" s="216" t="e">
        <f>ROUND(E9+I9+J9+K9+L9+M9+O9,2)</f>
        <v>#N/A</v>
      </c>
      <c r="Q9" s="220"/>
    </row>
    <row r="10" spans="1:17" s="219" customFormat="1" ht="17.25" customHeight="1">
      <c r="A10" s="213">
        <f t="shared" si="0"/>
        <v>4</v>
      </c>
      <c r="B10" s="214" t="s">
        <v>391</v>
      </c>
      <c r="C10" s="2" t="e">
        <f>LOOKUP(B4,QUARRY!A2:M28,QUARRY!B2:B28)</f>
        <v>#N/A</v>
      </c>
      <c r="D10" s="2" t="e">
        <f>LOOKUP(B4,QUARRY!A2:M28,QUARRY!C2:C28)</f>
        <v>#N/A</v>
      </c>
      <c r="E10" s="217">
        <v>385</v>
      </c>
      <c r="F10" s="217">
        <f>E10-SSR!B6</f>
        <v>345.5</v>
      </c>
      <c r="G10" s="217">
        <f>ROUND(SSR!B5*12.28%,2)</f>
        <v>3.48</v>
      </c>
      <c r="H10" s="218" t="e">
        <f>LOOKUP(ROUNDUP(D10,0),SSR!A5:A105,SSR!B5:B105)</f>
        <v>#N/A</v>
      </c>
      <c r="I10" s="218" t="e">
        <f>H10/1.14</f>
        <v>#N/A</v>
      </c>
      <c r="J10" s="216"/>
      <c r="K10" s="216"/>
      <c r="L10" s="216"/>
      <c r="M10" s="216"/>
      <c r="N10" s="216"/>
      <c r="O10" s="216"/>
      <c r="P10" s="216" t="e">
        <f>ROUND(E10+I10+J10+K10+L10+M10+O10,2)</f>
        <v>#N/A</v>
      </c>
      <c r="Q10" s="220"/>
    </row>
    <row r="11" spans="1:17" s="219" customFormat="1" ht="17.25" customHeight="1">
      <c r="A11" s="213">
        <f>A9+1</f>
        <v>4</v>
      </c>
      <c r="B11" s="214" t="s">
        <v>139</v>
      </c>
      <c r="C11" s="2" t="e">
        <f>LOOKUP(B4,QUARRY!A2:M28,QUARRY!D2:D28)</f>
        <v>#N/A</v>
      </c>
      <c r="D11" s="2" t="e">
        <f>LOOKUP(B4,QUARRY!A2:M28,QUARRY!E2:E28)</f>
        <v>#N/A</v>
      </c>
      <c r="E11" s="217">
        <v>285</v>
      </c>
      <c r="F11" s="217">
        <f>E11-SSR!B5</f>
        <v>256.7</v>
      </c>
      <c r="G11" s="217">
        <f>ROUND(SSR!B5*12.28%,2)</f>
        <v>3.48</v>
      </c>
      <c r="H11" s="218" t="e">
        <f>LOOKUP(ROUNDUP(D11,0),SSR!A5:A105,SSR!B5:B105)</f>
        <v>#N/A</v>
      </c>
      <c r="I11" s="218" t="e">
        <f t="shared" ref="I11:I16" si="1">H11/1.14</f>
        <v>#N/A</v>
      </c>
      <c r="J11" s="216"/>
      <c r="K11" s="216"/>
      <c r="L11" s="216"/>
      <c r="M11" s="216"/>
      <c r="N11" s="216"/>
      <c r="O11" s="216"/>
      <c r="P11" s="216" t="e">
        <f t="shared" ref="P11:P16" si="2">E11+I11+J11+K11+L11+M11+O11</f>
        <v>#N/A</v>
      </c>
    </row>
    <row r="12" spans="1:17" s="219" customFormat="1" ht="17.25" customHeight="1">
      <c r="A12" s="213">
        <f t="shared" si="0"/>
        <v>5</v>
      </c>
      <c r="B12" s="214" t="s">
        <v>140</v>
      </c>
      <c r="C12" s="2" t="e">
        <f>LOOKUP(B4,QUARRY!A2:M28,QUARRY!L2:L28)</f>
        <v>#N/A</v>
      </c>
      <c r="D12" s="2" t="e">
        <f>LOOKUP(B4,QUARRY!A2:M28,QUARRY!M2:M28)</f>
        <v>#N/A</v>
      </c>
      <c r="E12" s="217">
        <v>3707</v>
      </c>
      <c r="F12" s="217">
        <f>E12-SSR!D5</f>
        <v>3661.3</v>
      </c>
      <c r="G12" s="217">
        <f>ROUND(SSR!D5*12.28%,2)</f>
        <v>5.61</v>
      </c>
      <c r="H12" s="218" t="e">
        <f>LOOKUP(ROUNDUP(D12,0),SSR!A5:A105,SSR!D5:D105)</f>
        <v>#N/A</v>
      </c>
      <c r="I12" s="218" t="e">
        <f t="shared" si="1"/>
        <v>#N/A</v>
      </c>
      <c r="J12" s="216"/>
      <c r="K12" s="216"/>
      <c r="L12" s="218">
        <f>SSR!D107/1.14</f>
        <v>48.070175438596493</v>
      </c>
      <c r="M12" s="218">
        <f>SSR!D107/1.14</f>
        <v>48.070175438596493</v>
      </c>
      <c r="N12" s="218"/>
      <c r="O12" s="216"/>
      <c r="P12" s="216" t="e">
        <f t="shared" si="2"/>
        <v>#N/A</v>
      </c>
    </row>
    <row r="13" spans="1:17" s="219" customFormat="1" ht="15.75" customHeight="1">
      <c r="A13" s="213">
        <f t="shared" si="0"/>
        <v>6</v>
      </c>
      <c r="B13" s="221" t="s">
        <v>141</v>
      </c>
      <c r="C13" s="2" t="e">
        <f>LOOKUP(B4,QUARRY!A2:M28,QUARRY!J2:J28)</f>
        <v>#N/A</v>
      </c>
      <c r="D13" s="2" t="e">
        <f>LOOKUP(B4,QUARRY!A2:M28,QUARRY!K2:K28)</f>
        <v>#N/A</v>
      </c>
      <c r="E13" s="217">
        <v>588</v>
      </c>
      <c r="F13" s="217">
        <f>E13-SSR!C5</f>
        <v>560.6</v>
      </c>
      <c r="G13" s="217">
        <f>ROUND(SSR!C5*12.28%,2)</f>
        <v>3.36</v>
      </c>
      <c r="H13" s="218" t="e">
        <f>LOOKUP(ROUNDUP(D13,0),SSR!A5:A105,SSR!C5:C105)</f>
        <v>#N/A</v>
      </c>
      <c r="I13" s="218" t="e">
        <f t="shared" si="1"/>
        <v>#N/A</v>
      </c>
      <c r="J13" s="216">
        <f>E13*25/100</f>
        <v>147</v>
      </c>
      <c r="K13" s="216">
        <v>70</v>
      </c>
      <c r="L13" s="216"/>
      <c r="M13" s="216"/>
      <c r="N13" s="216">
        <f>SSR!C107/1.14</f>
        <v>17.5</v>
      </c>
      <c r="O13" s="216"/>
      <c r="P13" s="216" t="e">
        <f>E13+I13+J13+K13+L13+M13+O13-N13</f>
        <v>#N/A</v>
      </c>
    </row>
    <row r="14" spans="1:17" s="221" customFormat="1" ht="17.25" customHeight="1">
      <c r="A14" s="213">
        <f t="shared" si="0"/>
        <v>7</v>
      </c>
      <c r="B14" s="214" t="s">
        <v>142</v>
      </c>
      <c r="C14" s="2" t="e">
        <f>LOOKUP(B4,QUARRY!A2:M28,QUARRY!J2:J28)</f>
        <v>#N/A</v>
      </c>
      <c r="D14" s="2" t="e">
        <f>LOOKUP(B4,QUARRY!A2:M28,QUARRY!K2:K28)</f>
        <v>#N/A</v>
      </c>
      <c r="E14" s="217">
        <v>984</v>
      </c>
      <c r="F14" s="217">
        <f>E14-SSR!C5</f>
        <v>956.6</v>
      </c>
      <c r="G14" s="217">
        <f>ROUND(SSR!C5*12.28%,2)</f>
        <v>3.36</v>
      </c>
      <c r="H14" s="218" t="e">
        <f>LOOKUP(ROUNDUP(D14,0),SSR!A5:A105,SSR!C5:C105)</f>
        <v>#N/A</v>
      </c>
      <c r="I14" s="218" t="e">
        <f t="shared" si="1"/>
        <v>#N/A</v>
      </c>
      <c r="J14" s="216">
        <f>E14*25/100</f>
        <v>246</v>
      </c>
      <c r="K14" s="216">
        <v>70</v>
      </c>
      <c r="L14" s="216"/>
      <c r="M14" s="216"/>
      <c r="N14" s="216">
        <f>SSR!C107/1.14</f>
        <v>17.5</v>
      </c>
      <c r="O14" s="216"/>
      <c r="P14" s="216" t="e">
        <f>E14+I14+J14+K14+L14+M14+O14-N14</f>
        <v>#N/A</v>
      </c>
    </row>
    <row r="15" spans="1:17" s="219" customFormat="1" ht="17.25" customHeight="1">
      <c r="A15" s="213">
        <f t="shared" si="0"/>
        <v>8</v>
      </c>
      <c r="B15" s="214" t="s">
        <v>143</v>
      </c>
      <c r="C15" s="2" t="e">
        <f>LOOKUP(B4,QUARRY!A2:M28,QUARRY!H2:H28)</f>
        <v>#N/A</v>
      </c>
      <c r="D15" s="2" t="e">
        <f>LOOKUP(B4,QUARRY!A2:M28,QUARRY!I2:I28)</f>
        <v>#N/A</v>
      </c>
      <c r="E15" s="217">
        <v>160</v>
      </c>
      <c r="F15" s="217">
        <f>E15-SSR!C5</f>
        <v>132.6</v>
      </c>
      <c r="G15" s="217">
        <f>ROUND(SSR!C5*12.28%,2)</f>
        <v>3.36</v>
      </c>
      <c r="H15" s="218" t="e">
        <f>LOOKUP(ROUNDUP(D15,0),SSR!A5:A105,SSR!C5:C105)</f>
        <v>#N/A</v>
      </c>
      <c r="I15" s="218" t="e">
        <f>H15/1.14</f>
        <v>#N/A</v>
      </c>
      <c r="J15" s="216">
        <f>E15*25/100</f>
        <v>40</v>
      </c>
      <c r="K15" s="216">
        <v>70</v>
      </c>
      <c r="L15" s="216"/>
      <c r="M15" s="216"/>
      <c r="N15" s="216">
        <f>SSR!C107/1.14</f>
        <v>17.5</v>
      </c>
      <c r="O15" s="216"/>
      <c r="P15" s="216" t="e">
        <f>E15+I15+J15+K15+L15+M15+O15-N15</f>
        <v>#N/A</v>
      </c>
    </row>
    <row r="16" spans="1:17" s="219" customFormat="1" ht="17.25" customHeight="1">
      <c r="A16" s="213">
        <v>9</v>
      </c>
      <c r="B16" s="214" t="s">
        <v>144</v>
      </c>
      <c r="C16" s="2" t="e">
        <f>LOOKUP(B4,QUARRY!A2:M28,QUARRY!F2:F28)</f>
        <v>#N/A</v>
      </c>
      <c r="D16" s="2" t="e">
        <f>LOOKUP(B4,QUARRY!A2:M28,QUARRY!G2:G28)</f>
        <v>#N/A</v>
      </c>
      <c r="E16" s="217">
        <v>98</v>
      </c>
      <c r="F16" s="217">
        <f>E16-SSR!B5</f>
        <v>69.7</v>
      </c>
      <c r="G16" s="217">
        <f>ROUND(SSR!B5*12.28%,2)</f>
        <v>3.48</v>
      </c>
      <c r="H16" s="218" t="e">
        <f>LOOKUP(ROUNDUP(D16,0),SSR!A5:A105,SSR!B5:B105)</f>
        <v>#N/A</v>
      </c>
      <c r="I16" s="218" t="e">
        <f t="shared" si="1"/>
        <v>#N/A</v>
      </c>
      <c r="J16" s="216"/>
      <c r="K16" s="216"/>
      <c r="L16" s="216"/>
      <c r="M16" s="216"/>
      <c r="N16" s="216">
        <f>SSR!B107/1.14</f>
        <v>8.6842105263157912</v>
      </c>
      <c r="O16" s="216"/>
      <c r="P16" s="216" t="e">
        <f t="shared" si="2"/>
        <v>#N/A</v>
      </c>
    </row>
    <row r="17" spans="1:17" s="219" customFormat="1" ht="17.25" hidden="1" customHeight="1">
      <c r="A17" s="213">
        <v>10</v>
      </c>
      <c r="B17" s="214" t="s">
        <v>270</v>
      </c>
      <c r="C17" s="2" t="s">
        <v>271</v>
      </c>
      <c r="D17" s="2">
        <v>1</v>
      </c>
      <c r="E17" s="217">
        <v>19</v>
      </c>
      <c r="F17" s="217"/>
      <c r="G17" s="217"/>
      <c r="H17" s="218">
        <f>LOOKUP(ROUNDUP(D17,0),SSR!A5:A105,SSR!D5:D105)</f>
        <v>45.7</v>
      </c>
      <c r="I17" s="218">
        <f>(H17/1.14)/1000</f>
        <v>4.0087719298245617E-2</v>
      </c>
      <c r="J17" s="216"/>
      <c r="K17" s="216"/>
      <c r="L17" s="216">
        <f>L12/1000</f>
        <v>4.8070175438596492E-2</v>
      </c>
      <c r="M17" s="216">
        <f>M12/1000</f>
        <v>4.8070175438596492E-2</v>
      </c>
      <c r="N17" s="216"/>
      <c r="O17" s="216"/>
      <c r="P17" s="216">
        <f>E17+I17+L17+M17</f>
        <v>19.136228070175438</v>
      </c>
    </row>
    <row r="18" spans="1:17" s="219" customFormat="1" ht="17.25" customHeight="1">
      <c r="A18" s="213">
        <v>11</v>
      </c>
      <c r="B18" s="214" t="s">
        <v>337</v>
      </c>
      <c r="C18" s="2" t="e">
        <f>LOOKUP(B4,QUARRY!A2:M28,QUARRY!J2:J28)</f>
        <v>#N/A</v>
      </c>
      <c r="D18" s="2" t="e">
        <f>LOOKUP(B4,QUARRY!A2:M28,QUARRY!K2:K28)</f>
        <v>#N/A</v>
      </c>
      <c r="E18" s="217">
        <v>780</v>
      </c>
      <c r="F18" s="217">
        <f>E18-SSR!C5</f>
        <v>752.6</v>
      </c>
      <c r="G18" s="217">
        <f>ROUND(SSR!C5*12.28%,2)</f>
        <v>3.36</v>
      </c>
      <c r="H18" s="218" t="e">
        <f>LOOKUP(ROUNDUP(D18,0),SSR!A5:A105,SSR!C5:C105)</f>
        <v>#N/A</v>
      </c>
      <c r="I18" s="218" t="e">
        <f>H18/1.14</f>
        <v>#N/A</v>
      </c>
      <c r="J18" s="216">
        <f>E18*25/100</f>
        <v>195</v>
      </c>
      <c r="K18" s="216">
        <v>70</v>
      </c>
      <c r="L18" s="216"/>
      <c r="M18" s="216"/>
      <c r="N18" s="216">
        <f>SSR!C107/1.14</f>
        <v>17.5</v>
      </c>
      <c r="O18" s="216"/>
      <c r="P18" s="216" t="e">
        <f>I18+J18+K18+L18+M18-N18+O18+E18</f>
        <v>#N/A</v>
      </c>
    </row>
    <row r="19" spans="1:17" s="219" customFormat="1" ht="17.25" customHeight="1">
      <c r="A19" s="213">
        <v>12</v>
      </c>
      <c r="B19" s="214" t="s">
        <v>338</v>
      </c>
      <c r="C19" s="2" t="e">
        <f>LOOKUP(B4,QUARRY!A2:M28,QUARRY!J2:J28)</f>
        <v>#N/A</v>
      </c>
      <c r="D19" s="2" t="e">
        <f>LOOKUP(B4,QUARRY!A2:M28,QUARRY!K2:K28)</f>
        <v>#N/A</v>
      </c>
      <c r="E19" s="217">
        <v>430</v>
      </c>
      <c r="F19" s="217">
        <f>E19-SSR!C5</f>
        <v>402.6</v>
      </c>
      <c r="G19" s="217">
        <f>ROUND(SSR!C5*12.28%,2)</f>
        <v>3.36</v>
      </c>
      <c r="H19" s="218" t="e">
        <f>LOOKUP(ROUNDUP(D19,0),SSR!A5:A105,SSR!C5:C105)</f>
        <v>#N/A</v>
      </c>
      <c r="I19" s="218" t="e">
        <f>H19/1.14</f>
        <v>#N/A</v>
      </c>
      <c r="J19" s="216">
        <f>E19*25/100</f>
        <v>107.5</v>
      </c>
      <c r="K19" s="216">
        <f>K14</f>
        <v>70</v>
      </c>
      <c r="L19" s="216"/>
      <c r="M19" s="216"/>
      <c r="N19" s="216">
        <f>SSR!C107/1.14</f>
        <v>17.5</v>
      </c>
      <c r="O19" s="216"/>
      <c r="P19" s="216" t="e">
        <f>I19+J19+K19+L19+M19-N19+O19+E19</f>
        <v>#N/A</v>
      </c>
    </row>
    <row r="20" spans="1:17" s="219" customFormat="1" ht="17.25" customHeight="1">
      <c r="A20" s="213">
        <v>13</v>
      </c>
      <c r="B20" s="214" t="s">
        <v>380</v>
      </c>
      <c r="C20" s="2" t="s">
        <v>271</v>
      </c>
      <c r="D20" s="2">
        <v>7</v>
      </c>
      <c r="E20" s="217">
        <v>900</v>
      </c>
      <c r="F20" s="217">
        <f>E20-(SSR!E5*0.04)</f>
        <v>898.38400000000001</v>
      </c>
      <c r="G20" s="217">
        <f>ROUND(SSR!E5*12.28%*0.025,2)</f>
        <v>0.12</v>
      </c>
      <c r="H20" s="218">
        <f>LOOKUP(ROUNDUP(D20,0),SSR!A5:A105,SSR!C5:C105)*0.4</f>
        <v>39.159999999999997</v>
      </c>
      <c r="I20" s="218">
        <f>H20/1.14</f>
        <v>34.350877192982459</v>
      </c>
      <c r="J20" s="216"/>
      <c r="K20" s="216"/>
      <c r="L20" s="216"/>
      <c r="M20" s="216"/>
      <c r="N20" s="216"/>
      <c r="O20" s="216"/>
      <c r="P20" s="216">
        <f>I20+J20+K20+L20+M20-N20+O20+E20</f>
        <v>934.35087719298247</v>
      </c>
    </row>
    <row r="21" spans="1:17" s="219" customFormat="1" ht="17.25" customHeight="1">
      <c r="A21" s="213">
        <v>14</v>
      </c>
      <c r="B21" s="214" t="s">
        <v>204</v>
      </c>
      <c r="C21" s="2" t="e">
        <f>LOOKUP(B4,QUARRY!A2:M30,QUARRY!J2:J30)</f>
        <v>#N/A</v>
      </c>
      <c r="D21" s="2" t="e">
        <f>LOOKUP(B4,QUARRY!A2:M30,QUARRY!K2:K30)</f>
        <v>#N/A</v>
      </c>
      <c r="E21" s="217">
        <v>278</v>
      </c>
      <c r="F21" s="217">
        <f>E21-SSR!C5</f>
        <v>250.6</v>
      </c>
      <c r="G21" s="217">
        <f>ROUND(SSR!C5*12.28%,2)</f>
        <v>3.36</v>
      </c>
      <c r="H21" s="218" t="e">
        <f>LOOKUP(ROUNDUP(D21,0),SSR!A1:A105,SSR!C1:C105)</f>
        <v>#N/A</v>
      </c>
      <c r="I21" s="218" t="e">
        <f>H21/1.14</f>
        <v>#N/A</v>
      </c>
      <c r="J21" s="216">
        <f>E21*25/100</f>
        <v>69.5</v>
      </c>
      <c r="K21" s="216">
        <v>70</v>
      </c>
      <c r="L21" s="216"/>
      <c r="M21" s="216"/>
      <c r="N21" s="216">
        <f>SSR!C107/1.14</f>
        <v>17.5</v>
      </c>
      <c r="O21" s="216"/>
      <c r="P21" s="216" t="e">
        <f>I21+J21+K21+L21+M21-N21+O21+E21</f>
        <v>#N/A</v>
      </c>
      <c r="Q21" s="220" t="e">
        <f>(P21+P19)/2</f>
        <v>#N/A</v>
      </c>
    </row>
    <row r="22" spans="1:17" s="223" customFormat="1" ht="15" customHeight="1">
      <c r="A22" s="222" t="s">
        <v>145</v>
      </c>
      <c r="B22" s="222"/>
    </row>
    <row r="23" spans="1:17" s="223" customFormat="1" ht="15" customHeight="1">
      <c r="A23" s="223" t="s">
        <v>146</v>
      </c>
    </row>
    <row r="24" spans="1:17" s="223" customFormat="1" ht="15" customHeight="1">
      <c r="A24" s="223" t="s">
        <v>147</v>
      </c>
    </row>
    <row r="25" spans="1:17" s="223" customFormat="1" ht="15" customHeight="1">
      <c r="A25" s="223" t="s">
        <v>148</v>
      </c>
    </row>
    <row r="26" spans="1:17" s="219" customFormat="1" ht="41.25" customHeight="1"/>
    <row r="27" spans="1:17" s="219" customFormat="1" ht="23.25" customHeight="1">
      <c r="A27" s="224"/>
      <c r="D27" s="224"/>
      <c r="H27" s="1396" t="s">
        <v>149</v>
      </c>
      <c r="I27" s="1396"/>
      <c r="J27" s="1396"/>
      <c r="K27" s="1396" t="s">
        <v>150</v>
      </c>
      <c r="L27" s="1396"/>
      <c r="M27" s="1396"/>
      <c r="N27" s="1396"/>
      <c r="O27" s="1396"/>
    </row>
  </sheetData>
  <mergeCells count="4">
    <mergeCell ref="A1:O1"/>
    <mergeCell ref="C3:P3"/>
    <mergeCell ref="H27:J27"/>
    <mergeCell ref="K27:O27"/>
  </mergeCells>
  <phoneticPr fontId="4" type="noConversion"/>
  <printOptions gridLines="1"/>
  <pageMargins left="0.44" right="0.45" top="0.75" bottom="0.75" header="0.3" footer="0.3"/>
  <pageSetup paperSize="9" scale="85" orientation="landscape" verticalDpi="0" r:id="rId1"/>
</worksheet>
</file>

<file path=xl/worksheets/sheet19.xml><?xml version="1.0" encoding="utf-8"?>
<worksheet xmlns="http://schemas.openxmlformats.org/spreadsheetml/2006/main" xmlns:r="http://schemas.openxmlformats.org/officeDocument/2006/relationships">
  <dimension ref="A1:G183"/>
  <sheetViews>
    <sheetView workbookViewId="0">
      <selection activeCell="A38" sqref="A38"/>
    </sheetView>
  </sheetViews>
  <sheetFormatPr defaultRowHeight="12.75"/>
  <cols>
    <col min="1" max="1" width="13.28515625" style="5" customWidth="1"/>
    <col min="2" max="2" width="15.7109375" style="5" customWidth="1"/>
    <col min="3" max="4" width="12.42578125" style="5" customWidth="1"/>
    <col min="5" max="5" width="15" style="5" customWidth="1"/>
    <col min="6" max="6" width="15.7109375" customWidth="1"/>
  </cols>
  <sheetData>
    <row r="1" spans="1:6" s="4" customFormat="1" ht="15" customHeight="1">
      <c r="A1" s="154"/>
      <c r="B1" s="1397" t="s">
        <v>786</v>
      </c>
      <c r="C1" s="1397"/>
      <c r="D1" s="1397"/>
      <c r="E1" s="1397"/>
    </row>
    <row r="2" spans="1:6" s="4" customFormat="1" ht="15" customHeight="1">
      <c r="A2" s="154"/>
      <c r="B2" s="154"/>
      <c r="C2" s="154"/>
      <c r="D2" s="154"/>
      <c r="E2" s="154"/>
    </row>
    <row r="3" spans="1:6" s="156" customFormat="1" ht="15" customHeight="1">
      <c r="A3" s="155" t="s">
        <v>636</v>
      </c>
      <c r="B3" s="336" t="s">
        <v>79</v>
      </c>
      <c r="C3" s="155" t="s">
        <v>118</v>
      </c>
      <c r="D3" s="155" t="s">
        <v>120</v>
      </c>
      <c r="E3" s="155" t="s">
        <v>637</v>
      </c>
      <c r="F3" s="155" t="s">
        <v>80</v>
      </c>
    </row>
    <row r="4" spans="1:6" s="158" customFormat="1" ht="15" customHeight="1">
      <c r="A4" s="157">
        <v>1</v>
      </c>
      <c r="B4" s="157">
        <v>2</v>
      </c>
      <c r="C4" s="157">
        <v>3</v>
      </c>
      <c r="D4" s="157">
        <v>4</v>
      </c>
      <c r="E4" s="157">
        <v>5</v>
      </c>
      <c r="F4" s="157">
        <v>6</v>
      </c>
    </row>
    <row r="5" spans="1:6" s="160" customFormat="1" ht="15" customHeight="1">
      <c r="A5" s="159">
        <v>1</v>
      </c>
      <c r="B5" s="359">
        <v>28.3</v>
      </c>
      <c r="C5" s="359">
        <v>27.4</v>
      </c>
      <c r="D5" s="359">
        <v>45.7</v>
      </c>
      <c r="E5" s="159">
        <v>40.4</v>
      </c>
      <c r="F5" s="159">
        <v>17.600000000000001</v>
      </c>
    </row>
    <row r="6" spans="1:6" s="160" customFormat="1" ht="15" customHeight="1">
      <c r="A6" s="159">
        <v>2</v>
      </c>
      <c r="B6" s="359">
        <v>39.5</v>
      </c>
      <c r="C6" s="359">
        <v>38.4</v>
      </c>
      <c r="D6" s="359">
        <v>64</v>
      </c>
      <c r="E6" s="159">
        <v>56.5</v>
      </c>
      <c r="F6" s="159">
        <v>24.6</v>
      </c>
    </row>
    <row r="7" spans="1:6" s="160" customFormat="1" ht="15" customHeight="1">
      <c r="A7" s="159">
        <v>3</v>
      </c>
      <c r="B7" s="359">
        <v>52.7</v>
      </c>
      <c r="C7" s="359">
        <v>52.7</v>
      </c>
      <c r="D7" s="359">
        <v>85.4</v>
      </c>
      <c r="E7" s="159">
        <v>77.5</v>
      </c>
      <c r="F7" s="159">
        <v>32.799999999999997</v>
      </c>
    </row>
    <row r="8" spans="1:6" s="160" customFormat="1" ht="15" customHeight="1">
      <c r="A8" s="159">
        <v>4</v>
      </c>
      <c r="B8" s="359">
        <v>64</v>
      </c>
      <c r="C8" s="359">
        <v>64</v>
      </c>
      <c r="D8" s="359">
        <v>103.6</v>
      </c>
      <c r="E8" s="159">
        <v>94.2</v>
      </c>
      <c r="F8" s="159">
        <v>39.799999999999997</v>
      </c>
    </row>
    <row r="9" spans="1:6" s="160" customFormat="1" ht="15" customHeight="1">
      <c r="A9" s="159">
        <v>5</v>
      </c>
      <c r="B9" s="359">
        <v>75.3</v>
      </c>
      <c r="C9" s="359">
        <v>75.3</v>
      </c>
      <c r="D9" s="359">
        <v>121.9</v>
      </c>
      <c r="E9" s="159">
        <v>110.8</v>
      </c>
      <c r="F9" s="159">
        <v>46.9</v>
      </c>
    </row>
    <row r="10" spans="1:6" s="160" customFormat="1" ht="15" customHeight="1">
      <c r="A10" s="159">
        <v>6</v>
      </c>
      <c r="B10" s="159">
        <f>B9+11.3</f>
        <v>86.6</v>
      </c>
      <c r="C10" s="159">
        <f>C9+11.3</f>
        <v>86.6</v>
      </c>
      <c r="D10" s="159">
        <f>D9+18.3</f>
        <v>140.20000000000002</v>
      </c>
      <c r="E10" s="159">
        <f>E9+16.6</f>
        <v>127.4</v>
      </c>
      <c r="F10" s="159">
        <f>F9+7</f>
        <v>53.9</v>
      </c>
    </row>
    <row r="11" spans="1:6" s="160" customFormat="1" ht="15" customHeight="1">
      <c r="A11" s="159">
        <v>7</v>
      </c>
      <c r="B11" s="159">
        <f t="shared" ref="B11:B34" si="0">B10+11.3</f>
        <v>97.899999999999991</v>
      </c>
      <c r="C11" s="159">
        <f t="shared" ref="C11:C34" si="1">C10+11.3</f>
        <v>97.899999999999991</v>
      </c>
      <c r="D11" s="159">
        <f t="shared" ref="D11:D34" si="2">D10+18.3</f>
        <v>158.50000000000003</v>
      </c>
      <c r="E11" s="159">
        <f t="shared" ref="E11:E34" si="3">E10+16.6</f>
        <v>144</v>
      </c>
      <c r="F11" s="159">
        <f t="shared" ref="F11:F34" si="4">F10+7</f>
        <v>60.9</v>
      </c>
    </row>
    <row r="12" spans="1:6" s="160" customFormat="1" ht="15" customHeight="1">
      <c r="A12" s="159">
        <v>8</v>
      </c>
      <c r="B12" s="159">
        <f t="shared" si="0"/>
        <v>109.19999999999999</v>
      </c>
      <c r="C12" s="159">
        <f t="shared" si="1"/>
        <v>109.19999999999999</v>
      </c>
      <c r="D12" s="159">
        <f t="shared" si="2"/>
        <v>176.80000000000004</v>
      </c>
      <c r="E12" s="159">
        <f t="shared" si="3"/>
        <v>160.6</v>
      </c>
      <c r="F12" s="159">
        <f t="shared" si="4"/>
        <v>67.900000000000006</v>
      </c>
    </row>
    <row r="13" spans="1:6" s="160" customFormat="1" ht="15" customHeight="1">
      <c r="A13" s="159">
        <v>9</v>
      </c>
      <c r="B13" s="159">
        <f t="shared" si="0"/>
        <v>120.49999999999999</v>
      </c>
      <c r="C13" s="159">
        <f t="shared" si="1"/>
        <v>120.49999999999999</v>
      </c>
      <c r="D13" s="159">
        <f t="shared" si="2"/>
        <v>195.10000000000005</v>
      </c>
      <c r="E13" s="159">
        <f t="shared" si="3"/>
        <v>177.2</v>
      </c>
      <c r="F13" s="159">
        <f t="shared" si="4"/>
        <v>74.900000000000006</v>
      </c>
    </row>
    <row r="14" spans="1:6" s="162" customFormat="1" ht="15" customHeight="1">
      <c r="A14" s="161">
        <v>10</v>
      </c>
      <c r="B14" s="159">
        <f t="shared" si="0"/>
        <v>131.79999999999998</v>
      </c>
      <c r="C14" s="159">
        <f t="shared" si="1"/>
        <v>131.79999999999998</v>
      </c>
      <c r="D14" s="159">
        <f t="shared" si="2"/>
        <v>213.40000000000006</v>
      </c>
      <c r="E14" s="159">
        <f t="shared" si="3"/>
        <v>193.79999999999998</v>
      </c>
      <c r="F14" s="159">
        <f t="shared" si="4"/>
        <v>81.900000000000006</v>
      </c>
    </row>
    <row r="15" spans="1:6" s="160" customFormat="1" ht="15" customHeight="1">
      <c r="A15" s="159">
        <v>11</v>
      </c>
      <c r="B15" s="159">
        <f t="shared" si="0"/>
        <v>143.1</v>
      </c>
      <c r="C15" s="159">
        <f t="shared" si="1"/>
        <v>143.1</v>
      </c>
      <c r="D15" s="159">
        <f t="shared" si="2"/>
        <v>231.70000000000007</v>
      </c>
      <c r="E15" s="159">
        <f t="shared" si="3"/>
        <v>210.39999999999998</v>
      </c>
      <c r="F15" s="159">
        <f t="shared" si="4"/>
        <v>88.9</v>
      </c>
    </row>
    <row r="16" spans="1:6" s="160" customFormat="1" ht="15" customHeight="1">
      <c r="A16" s="159">
        <v>12</v>
      </c>
      <c r="B16" s="159">
        <f t="shared" si="0"/>
        <v>154.4</v>
      </c>
      <c r="C16" s="159">
        <f t="shared" si="1"/>
        <v>154.4</v>
      </c>
      <c r="D16" s="159">
        <f t="shared" si="2"/>
        <v>250.00000000000009</v>
      </c>
      <c r="E16" s="159">
        <f t="shared" si="3"/>
        <v>226.99999999999997</v>
      </c>
      <c r="F16" s="159">
        <f t="shared" si="4"/>
        <v>95.9</v>
      </c>
    </row>
    <row r="17" spans="1:7" s="160" customFormat="1" ht="15" customHeight="1">
      <c r="A17" s="159">
        <v>13</v>
      </c>
      <c r="B17" s="159">
        <f t="shared" si="0"/>
        <v>165.70000000000002</v>
      </c>
      <c r="C17" s="159">
        <f t="shared" si="1"/>
        <v>165.70000000000002</v>
      </c>
      <c r="D17" s="159">
        <f t="shared" si="2"/>
        <v>268.30000000000007</v>
      </c>
      <c r="E17" s="159">
        <f t="shared" si="3"/>
        <v>243.59999999999997</v>
      </c>
      <c r="F17" s="159">
        <f t="shared" si="4"/>
        <v>102.9</v>
      </c>
    </row>
    <row r="18" spans="1:7" s="160" customFormat="1" ht="15" customHeight="1">
      <c r="A18" s="159">
        <v>14</v>
      </c>
      <c r="B18" s="159">
        <f t="shared" si="0"/>
        <v>177.00000000000003</v>
      </c>
      <c r="C18" s="159">
        <f t="shared" si="1"/>
        <v>177.00000000000003</v>
      </c>
      <c r="D18" s="159">
        <f t="shared" si="2"/>
        <v>286.60000000000008</v>
      </c>
      <c r="E18" s="159">
        <f t="shared" si="3"/>
        <v>260.2</v>
      </c>
      <c r="F18" s="159">
        <f t="shared" si="4"/>
        <v>109.9</v>
      </c>
    </row>
    <row r="19" spans="1:7" s="160" customFormat="1" ht="15" customHeight="1">
      <c r="A19" s="159">
        <v>15</v>
      </c>
      <c r="B19" s="159">
        <f t="shared" si="0"/>
        <v>188.30000000000004</v>
      </c>
      <c r="C19" s="159">
        <f t="shared" si="1"/>
        <v>188.30000000000004</v>
      </c>
      <c r="D19" s="159">
        <f t="shared" si="2"/>
        <v>304.90000000000009</v>
      </c>
      <c r="E19" s="159">
        <f t="shared" si="3"/>
        <v>276.8</v>
      </c>
      <c r="F19" s="159">
        <f t="shared" si="4"/>
        <v>116.9</v>
      </c>
    </row>
    <row r="20" spans="1:7" s="160" customFormat="1" ht="15" customHeight="1">
      <c r="A20" s="159">
        <v>16</v>
      </c>
      <c r="B20" s="159">
        <f t="shared" si="0"/>
        <v>199.60000000000005</v>
      </c>
      <c r="C20" s="159">
        <f t="shared" si="1"/>
        <v>199.60000000000005</v>
      </c>
      <c r="D20" s="159">
        <f t="shared" si="2"/>
        <v>323.2000000000001</v>
      </c>
      <c r="E20" s="159">
        <f t="shared" si="3"/>
        <v>293.40000000000003</v>
      </c>
      <c r="F20" s="159">
        <f t="shared" si="4"/>
        <v>123.9</v>
      </c>
      <c r="G20" s="162"/>
    </row>
    <row r="21" spans="1:7" s="160" customFormat="1" ht="15" customHeight="1">
      <c r="A21" s="159">
        <v>17</v>
      </c>
      <c r="B21" s="159">
        <f t="shared" si="0"/>
        <v>210.90000000000006</v>
      </c>
      <c r="C21" s="159">
        <f t="shared" si="1"/>
        <v>210.90000000000006</v>
      </c>
      <c r="D21" s="159">
        <f t="shared" si="2"/>
        <v>341.50000000000011</v>
      </c>
      <c r="E21" s="159">
        <f t="shared" si="3"/>
        <v>310.00000000000006</v>
      </c>
      <c r="F21" s="159">
        <f t="shared" si="4"/>
        <v>130.9</v>
      </c>
    </row>
    <row r="22" spans="1:7" s="160" customFormat="1" ht="15" customHeight="1">
      <c r="A22" s="159">
        <v>18</v>
      </c>
      <c r="B22" s="159">
        <f t="shared" si="0"/>
        <v>222.20000000000007</v>
      </c>
      <c r="C22" s="159">
        <f t="shared" si="1"/>
        <v>222.20000000000007</v>
      </c>
      <c r="D22" s="159">
        <f t="shared" si="2"/>
        <v>359.80000000000013</v>
      </c>
      <c r="E22" s="159">
        <f t="shared" si="3"/>
        <v>326.60000000000008</v>
      </c>
      <c r="F22" s="159">
        <f t="shared" si="4"/>
        <v>137.9</v>
      </c>
    </row>
    <row r="23" spans="1:7" s="160" customFormat="1" ht="15" customHeight="1">
      <c r="A23" s="159">
        <v>19</v>
      </c>
      <c r="B23" s="159">
        <f t="shared" si="0"/>
        <v>233.50000000000009</v>
      </c>
      <c r="C23" s="159">
        <f t="shared" si="1"/>
        <v>233.50000000000009</v>
      </c>
      <c r="D23" s="159">
        <f t="shared" si="2"/>
        <v>378.10000000000014</v>
      </c>
      <c r="E23" s="159">
        <f t="shared" si="3"/>
        <v>343.2000000000001</v>
      </c>
      <c r="F23" s="159">
        <f t="shared" si="4"/>
        <v>144.9</v>
      </c>
    </row>
    <row r="24" spans="1:7" s="162" customFormat="1" ht="15" customHeight="1">
      <c r="A24" s="161">
        <v>20</v>
      </c>
      <c r="B24" s="159">
        <f t="shared" si="0"/>
        <v>244.8000000000001</v>
      </c>
      <c r="C24" s="159">
        <f t="shared" si="1"/>
        <v>244.8000000000001</v>
      </c>
      <c r="D24" s="159">
        <f t="shared" si="2"/>
        <v>396.40000000000015</v>
      </c>
      <c r="E24" s="159">
        <f t="shared" si="3"/>
        <v>359.80000000000013</v>
      </c>
      <c r="F24" s="159">
        <f t="shared" si="4"/>
        <v>151.9</v>
      </c>
    </row>
    <row r="25" spans="1:7" s="160" customFormat="1" ht="15" customHeight="1">
      <c r="A25" s="159">
        <v>21</v>
      </c>
      <c r="B25" s="159">
        <f t="shared" si="0"/>
        <v>256.10000000000008</v>
      </c>
      <c r="C25" s="159">
        <f t="shared" si="1"/>
        <v>256.10000000000008</v>
      </c>
      <c r="D25" s="159">
        <f t="shared" si="2"/>
        <v>414.70000000000016</v>
      </c>
      <c r="E25" s="159">
        <f t="shared" si="3"/>
        <v>376.40000000000015</v>
      </c>
      <c r="F25" s="159">
        <f t="shared" si="4"/>
        <v>158.9</v>
      </c>
    </row>
    <row r="26" spans="1:7" s="160" customFormat="1" ht="15" customHeight="1">
      <c r="A26" s="159">
        <v>22</v>
      </c>
      <c r="B26" s="159">
        <f t="shared" si="0"/>
        <v>267.40000000000009</v>
      </c>
      <c r="C26" s="159">
        <f t="shared" si="1"/>
        <v>267.40000000000009</v>
      </c>
      <c r="D26" s="159">
        <f t="shared" si="2"/>
        <v>433.00000000000017</v>
      </c>
      <c r="E26" s="159">
        <f t="shared" si="3"/>
        <v>393.00000000000017</v>
      </c>
      <c r="F26" s="159">
        <f t="shared" si="4"/>
        <v>165.9</v>
      </c>
    </row>
    <row r="27" spans="1:7" s="160" customFormat="1" ht="15" customHeight="1">
      <c r="A27" s="159">
        <v>23</v>
      </c>
      <c r="B27" s="159">
        <f t="shared" si="0"/>
        <v>278.7000000000001</v>
      </c>
      <c r="C27" s="159">
        <f t="shared" si="1"/>
        <v>278.7000000000001</v>
      </c>
      <c r="D27" s="159">
        <f t="shared" si="2"/>
        <v>451.30000000000018</v>
      </c>
      <c r="E27" s="159">
        <f t="shared" si="3"/>
        <v>409.60000000000019</v>
      </c>
      <c r="F27" s="159">
        <f t="shared" si="4"/>
        <v>172.9</v>
      </c>
    </row>
    <row r="28" spans="1:7" s="160" customFormat="1" ht="15" customHeight="1">
      <c r="A28" s="159">
        <v>24</v>
      </c>
      <c r="B28" s="159">
        <f t="shared" si="0"/>
        <v>290.00000000000011</v>
      </c>
      <c r="C28" s="159">
        <f t="shared" si="1"/>
        <v>290.00000000000011</v>
      </c>
      <c r="D28" s="159">
        <f t="shared" si="2"/>
        <v>469.60000000000019</v>
      </c>
      <c r="E28" s="159">
        <f t="shared" si="3"/>
        <v>426.20000000000022</v>
      </c>
      <c r="F28" s="159">
        <f t="shared" si="4"/>
        <v>179.9</v>
      </c>
    </row>
    <row r="29" spans="1:7" s="160" customFormat="1" ht="15" customHeight="1">
      <c r="A29" s="159">
        <v>25</v>
      </c>
      <c r="B29" s="159">
        <f t="shared" si="0"/>
        <v>301.30000000000013</v>
      </c>
      <c r="C29" s="159">
        <f t="shared" si="1"/>
        <v>301.30000000000013</v>
      </c>
      <c r="D29" s="159">
        <f t="shared" si="2"/>
        <v>487.9000000000002</v>
      </c>
      <c r="E29" s="159">
        <f t="shared" si="3"/>
        <v>442.80000000000024</v>
      </c>
      <c r="F29" s="159">
        <f t="shared" si="4"/>
        <v>186.9</v>
      </c>
    </row>
    <row r="30" spans="1:7" s="160" customFormat="1" ht="15" customHeight="1">
      <c r="A30" s="159">
        <v>26</v>
      </c>
      <c r="B30" s="159">
        <f t="shared" si="0"/>
        <v>312.60000000000014</v>
      </c>
      <c r="C30" s="159">
        <f t="shared" si="1"/>
        <v>312.60000000000014</v>
      </c>
      <c r="D30" s="159">
        <f t="shared" si="2"/>
        <v>506.20000000000022</v>
      </c>
      <c r="E30" s="159">
        <f t="shared" si="3"/>
        <v>459.40000000000026</v>
      </c>
      <c r="F30" s="159">
        <f t="shared" si="4"/>
        <v>193.9</v>
      </c>
    </row>
    <row r="31" spans="1:7" s="160" customFormat="1" ht="15" customHeight="1">
      <c r="A31" s="159">
        <v>27</v>
      </c>
      <c r="B31" s="159">
        <f t="shared" si="0"/>
        <v>323.90000000000015</v>
      </c>
      <c r="C31" s="159">
        <f t="shared" si="1"/>
        <v>323.90000000000015</v>
      </c>
      <c r="D31" s="159">
        <f t="shared" si="2"/>
        <v>524.50000000000023</v>
      </c>
      <c r="E31" s="159">
        <f t="shared" si="3"/>
        <v>476.00000000000028</v>
      </c>
      <c r="F31" s="159">
        <f t="shared" si="4"/>
        <v>200.9</v>
      </c>
    </row>
    <row r="32" spans="1:7" s="160" customFormat="1" ht="15" customHeight="1">
      <c r="A32" s="159">
        <v>28</v>
      </c>
      <c r="B32" s="159">
        <f t="shared" si="0"/>
        <v>335.20000000000016</v>
      </c>
      <c r="C32" s="159">
        <f t="shared" si="1"/>
        <v>335.20000000000016</v>
      </c>
      <c r="D32" s="159">
        <f t="shared" si="2"/>
        <v>542.80000000000018</v>
      </c>
      <c r="E32" s="159">
        <f t="shared" si="3"/>
        <v>492.60000000000031</v>
      </c>
      <c r="F32" s="159">
        <f t="shared" si="4"/>
        <v>207.9</v>
      </c>
    </row>
    <row r="33" spans="1:6" s="160" customFormat="1" ht="15" customHeight="1">
      <c r="A33" s="159">
        <v>29</v>
      </c>
      <c r="B33" s="159">
        <f t="shared" si="0"/>
        <v>346.50000000000017</v>
      </c>
      <c r="C33" s="159">
        <f t="shared" si="1"/>
        <v>346.50000000000017</v>
      </c>
      <c r="D33" s="159">
        <f t="shared" si="2"/>
        <v>561.10000000000014</v>
      </c>
      <c r="E33" s="159">
        <f t="shared" si="3"/>
        <v>509.20000000000033</v>
      </c>
      <c r="F33" s="159">
        <f t="shared" si="4"/>
        <v>214.9</v>
      </c>
    </row>
    <row r="34" spans="1:6" s="162" customFormat="1" ht="15" customHeight="1">
      <c r="A34" s="161">
        <v>30</v>
      </c>
      <c r="B34" s="159">
        <f t="shared" si="0"/>
        <v>357.80000000000018</v>
      </c>
      <c r="C34" s="159">
        <f t="shared" si="1"/>
        <v>357.80000000000018</v>
      </c>
      <c r="D34" s="159">
        <f t="shared" si="2"/>
        <v>579.40000000000009</v>
      </c>
      <c r="E34" s="159">
        <f t="shared" si="3"/>
        <v>525.8000000000003</v>
      </c>
      <c r="F34" s="159">
        <f t="shared" si="4"/>
        <v>221.9</v>
      </c>
    </row>
    <row r="35" spans="1:6" s="160" customFormat="1" ht="15" customHeight="1">
      <c r="A35" s="159">
        <v>31</v>
      </c>
      <c r="B35" s="159">
        <f>B34+9.4</f>
        <v>367.20000000000016</v>
      </c>
      <c r="C35" s="159">
        <f>C34+9.4</f>
        <v>367.20000000000016</v>
      </c>
      <c r="D35" s="159">
        <f>D34+15.2</f>
        <v>594.60000000000014</v>
      </c>
      <c r="E35" s="159">
        <f>E34+13.9</f>
        <v>539.70000000000027</v>
      </c>
      <c r="F35" s="159">
        <f>F34+5.9</f>
        <v>227.8</v>
      </c>
    </row>
    <row r="36" spans="1:6" s="160" customFormat="1" ht="15" customHeight="1">
      <c r="A36" s="159">
        <v>32</v>
      </c>
      <c r="B36" s="159">
        <f t="shared" ref="B36:B99" si="5">B35+9.4</f>
        <v>376.60000000000014</v>
      </c>
      <c r="C36" s="159">
        <f t="shared" ref="C36:C99" si="6">C35+9.4</f>
        <v>376.60000000000014</v>
      </c>
      <c r="D36" s="159">
        <f t="shared" ref="D36:D99" si="7">D35+15.2</f>
        <v>609.80000000000018</v>
      </c>
      <c r="E36" s="159">
        <f t="shared" ref="E36:E99" si="8">E35+13.9</f>
        <v>553.60000000000025</v>
      </c>
      <c r="F36" s="159">
        <f t="shared" ref="F36:F99" si="9">F35+5.9</f>
        <v>233.70000000000002</v>
      </c>
    </row>
    <row r="37" spans="1:6" s="160" customFormat="1" ht="15" customHeight="1">
      <c r="A37" s="159">
        <v>33</v>
      </c>
      <c r="B37" s="159">
        <f t="shared" si="5"/>
        <v>386.00000000000011</v>
      </c>
      <c r="C37" s="159">
        <f t="shared" si="6"/>
        <v>386.00000000000011</v>
      </c>
      <c r="D37" s="159">
        <f t="shared" si="7"/>
        <v>625.00000000000023</v>
      </c>
      <c r="E37" s="159">
        <f t="shared" si="8"/>
        <v>567.50000000000023</v>
      </c>
      <c r="F37" s="159">
        <f t="shared" si="9"/>
        <v>239.60000000000002</v>
      </c>
    </row>
    <row r="38" spans="1:6" s="160" customFormat="1" ht="15" customHeight="1">
      <c r="A38" s="159">
        <v>34</v>
      </c>
      <c r="B38" s="159">
        <f t="shared" si="5"/>
        <v>395.40000000000009</v>
      </c>
      <c r="C38" s="159">
        <f t="shared" si="6"/>
        <v>395.40000000000009</v>
      </c>
      <c r="D38" s="159">
        <f t="shared" si="7"/>
        <v>640.20000000000027</v>
      </c>
      <c r="E38" s="159">
        <f t="shared" si="8"/>
        <v>581.4000000000002</v>
      </c>
      <c r="F38" s="159">
        <f t="shared" si="9"/>
        <v>245.50000000000003</v>
      </c>
    </row>
    <row r="39" spans="1:6" s="160" customFormat="1" ht="15" customHeight="1">
      <c r="A39" s="159">
        <v>35</v>
      </c>
      <c r="B39" s="159">
        <f t="shared" si="5"/>
        <v>404.80000000000007</v>
      </c>
      <c r="C39" s="159">
        <f t="shared" si="6"/>
        <v>404.80000000000007</v>
      </c>
      <c r="D39" s="159">
        <f t="shared" si="7"/>
        <v>655.40000000000032</v>
      </c>
      <c r="E39" s="159">
        <f t="shared" si="8"/>
        <v>595.30000000000018</v>
      </c>
      <c r="F39" s="159">
        <f t="shared" si="9"/>
        <v>251.40000000000003</v>
      </c>
    </row>
    <row r="40" spans="1:6" s="160" customFormat="1" ht="15" customHeight="1">
      <c r="A40" s="159">
        <v>36</v>
      </c>
      <c r="B40" s="159">
        <f t="shared" si="5"/>
        <v>414.20000000000005</v>
      </c>
      <c r="C40" s="159">
        <f t="shared" si="6"/>
        <v>414.20000000000005</v>
      </c>
      <c r="D40" s="159">
        <f t="shared" si="7"/>
        <v>670.60000000000036</v>
      </c>
      <c r="E40" s="159">
        <f t="shared" si="8"/>
        <v>609.20000000000016</v>
      </c>
      <c r="F40" s="159">
        <f t="shared" si="9"/>
        <v>257.3</v>
      </c>
    </row>
    <row r="41" spans="1:6" s="160" customFormat="1" ht="15" customHeight="1">
      <c r="A41" s="159">
        <v>37</v>
      </c>
      <c r="B41" s="159">
        <f t="shared" si="5"/>
        <v>423.6</v>
      </c>
      <c r="C41" s="159">
        <f t="shared" si="6"/>
        <v>423.6</v>
      </c>
      <c r="D41" s="159">
        <f t="shared" si="7"/>
        <v>685.80000000000041</v>
      </c>
      <c r="E41" s="159">
        <f t="shared" si="8"/>
        <v>623.10000000000014</v>
      </c>
      <c r="F41" s="159">
        <f t="shared" si="9"/>
        <v>263.2</v>
      </c>
    </row>
    <row r="42" spans="1:6" s="160" customFormat="1" ht="15" customHeight="1">
      <c r="A42" s="159">
        <v>38</v>
      </c>
      <c r="B42" s="159">
        <f t="shared" si="5"/>
        <v>433</v>
      </c>
      <c r="C42" s="159">
        <f t="shared" si="6"/>
        <v>433</v>
      </c>
      <c r="D42" s="159">
        <f t="shared" si="7"/>
        <v>701.00000000000045</v>
      </c>
      <c r="E42" s="159">
        <f t="shared" si="8"/>
        <v>637.00000000000011</v>
      </c>
      <c r="F42" s="159">
        <f t="shared" si="9"/>
        <v>269.09999999999997</v>
      </c>
    </row>
    <row r="43" spans="1:6" s="160" customFormat="1" ht="15" customHeight="1">
      <c r="A43" s="159">
        <v>39</v>
      </c>
      <c r="B43" s="159">
        <f t="shared" si="5"/>
        <v>442.4</v>
      </c>
      <c r="C43" s="159">
        <f t="shared" si="6"/>
        <v>442.4</v>
      </c>
      <c r="D43" s="159">
        <f t="shared" si="7"/>
        <v>716.2000000000005</v>
      </c>
      <c r="E43" s="159">
        <f t="shared" si="8"/>
        <v>650.90000000000009</v>
      </c>
      <c r="F43" s="159">
        <f t="shared" si="9"/>
        <v>274.99999999999994</v>
      </c>
    </row>
    <row r="44" spans="1:6" s="162" customFormat="1" ht="15" customHeight="1">
      <c r="A44" s="161">
        <v>40</v>
      </c>
      <c r="B44" s="159">
        <f t="shared" si="5"/>
        <v>451.79999999999995</v>
      </c>
      <c r="C44" s="159">
        <f t="shared" si="6"/>
        <v>451.79999999999995</v>
      </c>
      <c r="D44" s="159">
        <f t="shared" si="7"/>
        <v>731.40000000000055</v>
      </c>
      <c r="E44" s="159">
        <f t="shared" si="8"/>
        <v>664.80000000000007</v>
      </c>
      <c r="F44" s="159">
        <f t="shared" si="9"/>
        <v>280.89999999999992</v>
      </c>
    </row>
    <row r="45" spans="1:6" s="160" customFormat="1" ht="15" customHeight="1">
      <c r="A45" s="159">
        <v>41</v>
      </c>
      <c r="B45" s="159">
        <f t="shared" si="5"/>
        <v>461.19999999999993</v>
      </c>
      <c r="C45" s="159">
        <f t="shared" si="6"/>
        <v>461.19999999999993</v>
      </c>
      <c r="D45" s="159">
        <f t="shared" si="7"/>
        <v>746.60000000000059</v>
      </c>
      <c r="E45" s="159">
        <f t="shared" si="8"/>
        <v>678.7</v>
      </c>
      <c r="F45" s="159">
        <f t="shared" si="9"/>
        <v>286.7999999999999</v>
      </c>
    </row>
    <row r="46" spans="1:6" s="160" customFormat="1" ht="15" customHeight="1">
      <c r="A46" s="159">
        <v>42</v>
      </c>
      <c r="B46" s="159">
        <f t="shared" si="5"/>
        <v>470.59999999999991</v>
      </c>
      <c r="C46" s="159">
        <f t="shared" si="6"/>
        <v>470.59999999999991</v>
      </c>
      <c r="D46" s="159">
        <f t="shared" si="7"/>
        <v>761.80000000000064</v>
      </c>
      <c r="E46" s="159">
        <f t="shared" si="8"/>
        <v>692.6</v>
      </c>
      <c r="F46" s="159">
        <f t="shared" si="9"/>
        <v>292.69999999999987</v>
      </c>
    </row>
    <row r="47" spans="1:6" s="160" customFormat="1" ht="15" customHeight="1">
      <c r="A47" s="159">
        <v>43</v>
      </c>
      <c r="B47" s="159">
        <f t="shared" si="5"/>
        <v>479.99999999999989</v>
      </c>
      <c r="C47" s="159">
        <f t="shared" si="6"/>
        <v>479.99999999999989</v>
      </c>
      <c r="D47" s="159">
        <f t="shared" si="7"/>
        <v>777.00000000000068</v>
      </c>
      <c r="E47" s="159">
        <f t="shared" si="8"/>
        <v>706.5</v>
      </c>
      <c r="F47" s="159">
        <f t="shared" si="9"/>
        <v>298.59999999999985</v>
      </c>
    </row>
    <row r="48" spans="1:6" s="160" customFormat="1" ht="15" customHeight="1">
      <c r="A48" s="159">
        <v>44</v>
      </c>
      <c r="B48" s="159">
        <f t="shared" si="5"/>
        <v>489.39999999999986</v>
      </c>
      <c r="C48" s="159">
        <f t="shared" si="6"/>
        <v>489.39999999999986</v>
      </c>
      <c r="D48" s="159">
        <f t="shared" si="7"/>
        <v>792.20000000000073</v>
      </c>
      <c r="E48" s="159">
        <f t="shared" si="8"/>
        <v>720.4</v>
      </c>
      <c r="F48" s="159">
        <f t="shared" si="9"/>
        <v>304.49999999999983</v>
      </c>
    </row>
    <row r="49" spans="1:6" s="160" customFormat="1" ht="15" customHeight="1">
      <c r="A49" s="159">
        <v>45</v>
      </c>
      <c r="B49" s="159">
        <f t="shared" si="5"/>
        <v>498.79999999999984</v>
      </c>
      <c r="C49" s="159">
        <f t="shared" si="6"/>
        <v>498.79999999999984</v>
      </c>
      <c r="D49" s="159">
        <f t="shared" si="7"/>
        <v>807.40000000000077</v>
      </c>
      <c r="E49" s="159">
        <f t="shared" si="8"/>
        <v>734.3</v>
      </c>
      <c r="F49" s="159">
        <f t="shared" si="9"/>
        <v>310.39999999999981</v>
      </c>
    </row>
    <row r="50" spans="1:6" s="160" customFormat="1" ht="15" customHeight="1">
      <c r="A50" s="159">
        <v>46</v>
      </c>
      <c r="B50" s="159">
        <f t="shared" si="5"/>
        <v>508.19999999999982</v>
      </c>
      <c r="C50" s="159">
        <f t="shared" si="6"/>
        <v>508.19999999999982</v>
      </c>
      <c r="D50" s="159">
        <f t="shared" si="7"/>
        <v>822.60000000000082</v>
      </c>
      <c r="E50" s="159">
        <f t="shared" si="8"/>
        <v>748.19999999999993</v>
      </c>
      <c r="F50" s="159">
        <f t="shared" si="9"/>
        <v>316.29999999999978</v>
      </c>
    </row>
    <row r="51" spans="1:6" s="160" customFormat="1" ht="15" customHeight="1">
      <c r="A51" s="159">
        <v>47</v>
      </c>
      <c r="B51" s="159">
        <f t="shared" si="5"/>
        <v>517.5999999999998</v>
      </c>
      <c r="C51" s="159">
        <f t="shared" si="6"/>
        <v>517.5999999999998</v>
      </c>
      <c r="D51" s="159">
        <f t="shared" si="7"/>
        <v>837.80000000000086</v>
      </c>
      <c r="E51" s="159">
        <f t="shared" si="8"/>
        <v>762.09999999999991</v>
      </c>
      <c r="F51" s="159">
        <f t="shared" si="9"/>
        <v>322.19999999999976</v>
      </c>
    </row>
    <row r="52" spans="1:6" s="160" customFormat="1" ht="15" customHeight="1">
      <c r="A52" s="159">
        <v>48</v>
      </c>
      <c r="B52" s="159">
        <f t="shared" si="5"/>
        <v>526.99999999999977</v>
      </c>
      <c r="C52" s="159">
        <f t="shared" si="6"/>
        <v>526.99999999999977</v>
      </c>
      <c r="D52" s="159">
        <f t="shared" si="7"/>
        <v>853.00000000000091</v>
      </c>
      <c r="E52" s="159">
        <f t="shared" si="8"/>
        <v>775.99999999999989</v>
      </c>
      <c r="F52" s="159">
        <f t="shared" si="9"/>
        <v>328.09999999999974</v>
      </c>
    </row>
    <row r="53" spans="1:6" s="160" customFormat="1" ht="15" customHeight="1">
      <c r="A53" s="159">
        <v>49</v>
      </c>
      <c r="B53" s="159">
        <f t="shared" si="5"/>
        <v>536.39999999999975</v>
      </c>
      <c r="C53" s="159">
        <f t="shared" si="6"/>
        <v>536.39999999999975</v>
      </c>
      <c r="D53" s="159">
        <f t="shared" si="7"/>
        <v>868.20000000000095</v>
      </c>
      <c r="E53" s="159">
        <f t="shared" si="8"/>
        <v>789.89999999999986</v>
      </c>
      <c r="F53" s="159">
        <f t="shared" si="9"/>
        <v>333.99999999999972</v>
      </c>
    </row>
    <row r="54" spans="1:6" s="162" customFormat="1" ht="15" customHeight="1">
      <c r="A54" s="161">
        <v>50</v>
      </c>
      <c r="B54" s="159">
        <f t="shared" si="5"/>
        <v>545.79999999999973</v>
      </c>
      <c r="C54" s="159">
        <f t="shared" si="6"/>
        <v>545.79999999999973</v>
      </c>
      <c r="D54" s="159">
        <f t="shared" si="7"/>
        <v>883.400000000001</v>
      </c>
      <c r="E54" s="159">
        <f t="shared" si="8"/>
        <v>803.79999999999984</v>
      </c>
      <c r="F54" s="159">
        <f t="shared" si="9"/>
        <v>339.89999999999969</v>
      </c>
    </row>
    <row r="55" spans="1:6" s="160" customFormat="1" ht="15" customHeight="1">
      <c r="A55" s="159">
        <v>51</v>
      </c>
      <c r="B55" s="159">
        <f t="shared" si="5"/>
        <v>555.1999999999997</v>
      </c>
      <c r="C55" s="159">
        <f t="shared" si="6"/>
        <v>555.1999999999997</v>
      </c>
      <c r="D55" s="159">
        <f t="shared" si="7"/>
        <v>898.60000000000105</v>
      </c>
      <c r="E55" s="159">
        <f t="shared" si="8"/>
        <v>817.69999999999982</v>
      </c>
      <c r="F55" s="159">
        <f t="shared" si="9"/>
        <v>345.79999999999967</v>
      </c>
    </row>
    <row r="56" spans="1:6" s="160" customFormat="1" ht="15" customHeight="1">
      <c r="A56" s="159">
        <v>52</v>
      </c>
      <c r="B56" s="159">
        <f t="shared" si="5"/>
        <v>564.59999999999968</v>
      </c>
      <c r="C56" s="159">
        <f t="shared" si="6"/>
        <v>564.59999999999968</v>
      </c>
      <c r="D56" s="159">
        <f t="shared" si="7"/>
        <v>913.80000000000109</v>
      </c>
      <c r="E56" s="159">
        <f t="shared" si="8"/>
        <v>831.5999999999998</v>
      </c>
      <c r="F56" s="159">
        <f t="shared" si="9"/>
        <v>351.69999999999965</v>
      </c>
    </row>
    <row r="57" spans="1:6" s="160" customFormat="1" ht="15" customHeight="1">
      <c r="A57" s="159">
        <v>53</v>
      </c>
      <c r="B57" s="159">
        <f t="shared" si="5"/>
        <v>573.99999999999966</v>
      </c>
      <c r="C57" s="159">
        <f t="shared" si="6"/>
        <v>573.99999999999966</v>
      </c>
      <c r="D57" s="159">
        <f t="shared" si="7"/>
        <v>929.00000000000114</v>
      </c>
      <c r="E57" s="159">
        <f t="shared" si="8"/>
        <v>845.49999999999977</v>
      </c>
      <c r="F57" s="159">
        <f t="shared" si="9"/>
        <v>357.59999999999962</v>
      </c>
    </row>
    <row r="58" spans="1:6" s="160" customFormat="1" ht="15" customHeight="1">
      <c r="A58" s="159">
        <v>54</v>
      </c>
      <c r="B58" s="159">
        <f t="shared" si="5"/>
        <v>583.39999999999964</v>
      </c>
      <c r="C58" s="159">
        <f t="shared" si="6"/>
        <v>583.39999999999964</v>
      </c>
      <c r="D58" s="159">
        <f t="shared" si="7"/>
        <v>944.20000000000118</v>
      </c>
      <c r="E58" s="159">
        <f t="shared" si="8"/>
        <v>859.39999999999975</v>
      </c>
      <c r="F58" s="159">
        <f t="shared" si="9"/>
        <v>363.4999999999996</v>
      </c>
    </row>
    <row r="59" spans="1:6" s="160" customFormat="1" ht="15" customHeight="1">
      <c r="A59" s="159">
        <v>55</v>
      </c>
      <c r="B59" s="159">
        <f t="shared" si="5"/>
        <v>592.79999999999961</v>
      </c>
      <c r="C59" s="159">
        <f t="shared" si="6"/>
        <v>592.79999999999961</v>
      </c>
      <c r="D59" s="159">
        <f t="shared" si="7"/>
        <v>959.40000000000123</v>
      </c>
      <c r="E59" s="159">
        <f t="shared" si="8"/>
        <v>873.29999999999973</v>
      </c>
      <c r="F59" s="159">
        <f t="shared" si="9"/>
        <v>369.39999999999958</v>
      </c>
    </row>
    <row r="60" spans="1:6" s="160" customFormat="1" ht="15" customHeight="1">
      <c r="A60" s="159">
        <v>56</v>
      </c>
      <c r="B60" s="159">
        <f t="shared" si="5"/>
        <v>602.19999999999959</v>
      </c>
      <c r="C60" s="159">
        <f t="shared" si="6"/>
        <v>602.19999999999959</v>
      </c>
      <c r="D60" s="159">
        <f t="shared" si="7"/>
        <v>974.60000000000127</v>
      </c>
      <c r="E60" s="159">
        <f t="shared" si="8"/>
        <v>887.1999999999997</v>
      </c>
      <c r="F60" s="159">
        <f t="shared" si="9"/>
        <v>375.29999999999956</v>
      </c>
    </row>
    <row r="61" spans="1:6" s="160" customFormat="1" ht="15" customHeight="1">
      <c r="A61" s="159">
        <v>57</v>
      </c>
      <c r="B61" s="159">
        <f t="shared" si="5"/>
        <v>611.59999999999957</v>
      </c>
      <c r="C61" s="159">
        <f t="shared" si="6"/>
        <v>611.59999999999957</v>
      </c>
      <c r="D61" s="159">
        <f t="shared" si="7"/>
        <v>989.80000000000132</v>
      </c>
      <c r="E61" s="159">
        <f t="shared" si="8"/>
        <v>901.09999999999968</v>
      </c>
      <c r="F61" s="159">
        <f t="shared" si="9"/>
        <v>381.19999999999953</v>
      </c>
    </row>
    <row r="62" spans="1:6" s="160" customFormat="1" ht="15" customHeight="1">
      <c r="A62" s="159">
        <v>58</v>
      </c>
      <c r="B62" s="159">
        <f t="shared" si="5"/>
        <v>620.99999999999955</v>
      </c>
      <c r="C62" s="159">
        <f t="shared" si="6"/>
        <v>620.99999999999955</v>
      </c>
      <c r="D62" s="159">
        <f t="shared" si="7"/>
        <v>1005.0000000000014</v>
      </c>
      <c r="E62" s="159">
        <f t="shared" si="8"/>
        <v>914.99999999999966</v>
      </c>
      <c r="F62" s="159">
        <f t="shared" si="9"/>
        <v>387.09999999999951</v>
      </c>
    </row>
    <row r="63" spans="1:6" s="160" customFormat="1" ht="15" customHeight="1">
      <c r="A63" s="159">
        <v>59</v>
      </c>
      <c r="B63" s="159">
        <f t="shared" si="5"/>
        <v>630.39999999999952</v>
      </c>
      <c r="C63" s="159">
        <f t="shared" si="6"/>
        <v>630.39999999999952</v>
      </c>
      <c r="D63" s="159">
        <f t="shared" si="7"/>
        <v>1020.2000000000014</v>
      </c>
      <c r="E63" s="159">
        <f t="shared" si="8"/>
        <v>928.89999999999964</v>
      </c>
      <c r="F63" s="159">
        <f t="shared" si="9"/>
        <v>392.99999999999949</v>
      </c>
    </row>
    <row r="64" spans="1:6" s="162" customFormat="1" ht="15" customHeight="1">
      <c r="A64" s="161">
        <v>60</v>
      </c>
      <c r="B64" s="159">
        <f t="shared" si="5"/>
        <v>639.7999999999995</v>
      </c>
      <c r="C64" s="159">
        <f t="shared" si="6"/>
        <v>639.7999999999995</v>
      </c>
      <c r="D64" s="159">
        <f t="shared" si="7"/>
        <v>1035.4000000000015</v>
      </c>
      <c r="E64" s="159">
        <f t="shared" si="8"/>
        <v>942.79999999999961</v>
      </c>
      <c r="F64" s="159">
        <f t="shared" si="9"/>
        <v>398.89999999999947</v>
      </c>
    </row>
    <row r="65" spans="1:6" s="160" customFormat="1" ht="15" customHeight="1">
      <c r="A65" s="159">
        <v>61</v>
      </c>
      <c r="B65" s="159">
        <f t="shared" si="5"/>
        <v>649.19999999999948</v>
      </c>
      <c r="C65" s="159">
        <f t="shared" si="6"/>
        <v>649.19999999999948</v>
      </c>
      <c r="D65" s="159">
        <f t="shared" si="7"/>
        <v>1050.6000000000015</v>
      </c>
      <c r="E65" s="159">
        <f t="shared" si="8"/>
        <v>956.69999999999959</v>
      </c>
      <c r="F65" s="159">
        <f t="shared" si="9"/>
        <v>404.79999999999944</v>
      </c>
    </row>
    <row r="66" spans="1:6" s="160" customFormat="1" ht="15" customHeight="1">
      <c r="A66" s="159">
        <v>62</v>
      </c>
      <c r="B66" s="159">
        <f t="shared" si="5"/>
        <v>658.59999999999945</v>
      </c>
      <c r="C66" s="159">
        <f t="shared" si="6"/>
        <v>658.59999999999945</v>
      </c>
      <c r="D66" s="159">
        <f t="shared" si="7"/>
        <v>1065.8000000000015</v>
      </c>
      <c r="E66" s="159">
        <f t="shared" si="8"/>
        <v>970.59999999999957</v>
      </c>
      <c r="F66" s="159">
        <f t="shared" si="9"/>
        <v>410.69999999999942</v>
      </c>
    </row>
    <row r="67" spans="1:6" s="160" customFormat="1" ht="15" customHeight="1">
      <c r="A67" s="159">
        <v>63</v>
      </c>
      <c r="B67" s="159">
        <f t="shared" si="5"/>
        <v>667.99999999999943</v>
      </c>
      <c r="C67" s="159">
        <f t="shared" si="6"/>
        <v>667.99999999999943</v>
      </c>
      <c r="D67" s="159">
        <f t="shared" si="7"/>
        <v>1081.0000000000016</v>
      </c>
      <c r="E67" s="159">
        <f t="shared" si="8"/>
        <v>984.49999999999955</v>
      </c>
      <c r="F67" s="159">
        <f t="shared" si="9"/>
        <v>416.5999999999994</v>
      </c>
    </row>
    <row r="68" spans="1:6" s="160" customFormat="1" ht="15" customHeight="1">
      <c r="A68" s="159">
        <v>64</v>
      </c>
      <c r="B68" s="159">
        <f t="shared" si="5"/>
        <v>677.39999999999941</v>
      </c>
      <c r="C68" s="159">
        <f t="shared" si="6"/>
        <v>677.39999999999941</v>
      </c>
      <c r="D68" s="159">
        <f t="shared" si="7"/>
        <v>1096.2000000000016</v>
      </c>
      <c r="E68" s="159">
        <f t="shared" si="8"/>
        <v>998.39999999999952</v>
      </c>
      <c r="F68" s="159">
        <f t="shared" si="9"/>
        <v>422.49999999999937</v>
      </c>
    </row>
    <row r="69" spans="1:6" s="160" customFormat="1" ht="15" customHeight="1">
      <c r="A69" s="159">
        <v>65</v>
      </c>
      <c r="B69" s="159">
        <f t="shared" si="5"/>
        <v>686.79999999999939</v>
      </c>
      <c r="C69" s="159">
        <f t="shared" si="6"/>
        <v>686.79999999999939</v>
      </c>
      <c r="D69" s="159">
        <f t="shared" si="7"/>
        <v>1111.4000000000017</v>
      </c>
      <c r="E69" s="159">
        <f t="shared" si="8"/>
        <v>1012.2999999999995</v>
      </c>
      <c r="F69" s="159">
        <f t="shared" si="9"/>
        <v>428.39999999999935</v>
      </c>
    </row>
    <row r="70" spans="1:6" s="160" customFormat="1" ht="15" customHeight="1">
      <c r="A70" s="159">
        <v>66</v>
      </c>
      <c r="B70" s="159">
        <f t="shared" si="5"/>
        <v>696.19999999999936</v>
      </c>
      <c r="C70" s="159">
        <f t="shared" si="6"/>
        <v>696.19999999999936</v>
      </c>
      <c r="D70" s="159">
        <f t="shared" si="7"/>
        <v>1126.6000000000017</v>
      </c>
      <c r="E70" s="159">
        <f t="shared" si="8"/>
        <v>1026.1999999999996</v>
      </c>
      <c r="F70" s="159">
        <f t="shared" si="9"/>
        <v>434.29999999999933</v>
      </c>
    </row>
    <row r="71" spans="1:6" s="160" customFormat="1" ht="15" customHeight="1">
      <c r="A71" s="159">
        <v>67</v>
      </c>
      <c r="B71" s="159">
        <f t="shared" si="5"/>
        <v>705.59999999999934</v>
      </c>
      <c r="C71" s="159">
        <f t="shared" si="6"/>
        <v>705.59999999999934</v>
      </c>
      <c r="D71" s="159">
        <f t="shared" si="7"/>
        <v>1141.8000000000018</v>
      </c>
      <c r="E71" s="159">
        <f t="shared" si="8"/>
        <v>1040.0999999999997</v>
      </c>
      <c r="F71" s="159">
        <f t="shared" si="9"/>
        <v>440.19999999999931</v>
      </c>
    </row>
    <row r="72" spans="1:6" s="160" customFormat="1" ht="15" customHeight="1">
      <c r="A72" s="159">
        <v>68</v>
      </c>
      <c r="B72" s="159">
        <f t="shared" si="5"/>
        <v>714.99999999999932</v>
      </c>
      <c r="C72" s="159">
        <f t="shared" si="6"/>
        <v>714.99999999999932</v>
      </c>
      <c r="D72" s="159">
        <f t="shared" si="7"/>
        <v>1157.0000000000018</v>
      </c>
      <c r="E72" s="159">
        <f t="shared" si="8"/>
        <v>1053.9999999999998</v>
      </c>
      <c r="F72" s="159">
        <f t="shared" si="9"/>
        <v>446.09999999999928</v>
      </c>
    </row>
    <row r="73" spans="1:6" s="160" customFormat="1" ht="15" customHeight="1">
      <c r="A73" s="159">
        <v>69</v>
      </c>
      <c r="B73" s="159">
        <f t="shared" si="5"/>
        <v>724.3999999999993</v>
      </c>
      <c r="C73" s="159">
        <f t="shared" si="6"/>
        <v>724.3999999999993</v>
      </c>
      <c r="D73" s="159">
        <f t="shared" si="7"/>
        <v>1172.2000000000019</v>
      </c>
      <c r="E73" s="159">
        <f t="shared" si="8"/>
        <v>1067.8999999999999</v>
      </c>
      <c r="F73" s="159">
        <f t="shared" si="9"/>
        <v>451.99999999999926</v>
      </c>
    </row>
    <row r="74" spans="1:6" s="162" customFormat="1" ht="15" customHeight="1">
      <c r="A74" s="161">
        <v>70</v>
      </c>
      <c r="B74" s="159">
        <f t="shared" si="5"/>
        <v>733.79999999999927</v>
      </c>
      <c r="C74" s="159">
        <f t="shared" si="6"/>
        <v>733.79999999999927</v>
      </c>
      <c r="D74" s="159">
        <f t="shared" si="7"/>
        <v>1187.4000000000019</v>
      </c>
      <c r="E74" s="159">
        <f t="shared" si="8"/>
        <v>1081.8</v>
      </c>
      <c r="F74" s="159">
        <f t="shared" si="9"/>
        <v>457.89999999999924</v>
      </c>
    </row>
    <row r="75" spans="1:6" s="160" customFormat="1" ht="15" customHeight="1">
      <c r="A75" s="159">
        <v>71</v>
      </c>
      <c r="B75" s="159">
        <f t="shared" si="5"/>
        <v>743.19999999999925</v>
      </c>
      <c r="C75" s="159">
        <f t="shared" si="6"/>
        <v>743.19999999999925</v>
      </c>
      <c r="D75" s="159">
        <f t="shared" si="7"/>
        <v>1202.600000000002</v>
      </c>
      <c r="E75" s="159">
        <f t="shared" si="8"/>
        <v>1095.7</v>
      </c>
      <c r="F75" s="159">
        <f t="shared" si="9"/>
        <v>463.79999999999922</v>
      </c>
    </row>
    <row r="76" spans="1:6" s="160" customFormat="1" ht="15" customHeight="1">
      <c r="A76" s="159">
        <v>72</v>
      </c>
      <c r="B76" s="159">
        <f t="shared" si="5"/>
        <v>752.59999999999923</v>
      </c>
      <c r="C76" s="159">
        <f t="shared" si="6"/>
        <v>752.59999999999923</v>
      </c>
      <c r="D76" s="159">
        <f t="shared" si="7"/>
        <v>1217.800000000002</v>
      </c>
      <c r="E76" s="159">
        <f t="shared" si="8"/>
        <v>1109.6000000000001</v>
      </c>
      <c r="F76" s="159">
        <f t="shared" si="9"/>
        <v>469.69999999999919</v>
      </c>
    </row>
    <row r="77" spans="1:6" s="160" customFormat="1" ht="15" customHeight="1">
      <c r="A77" s="159">
        <v>73</v>
      </c>
      <c r="B77" s="159">
        <f t="shared" si="5"/>
        <v>761.9999999999992</v>
      </c>
      <c r="C77" s="159">
        <f t="shared" si="6"/>
        <v>761.9999999999992</v>
      </c>
      <c r="D77" s="159">
        <f t="shared" si="7"/>
        <v>1233.000000000002</v>
      </c>
      <c r="E77" s="159">
        <f t="shared" si="8"/>
        <v>1123.5000000000002</v>
      </c>
      <c r="F77" s="159">
        <f t="shared" si="9"/>
        <v>475.59999999999917</v>
      </c>
    </row>
    <row r="78" spans="1:6" s="160" customFormat="1" ht="15" customHeight="1">
      <c r="A78" s="159">
        <v>74</v>
      </c>
      <c r="B78" s="159">
        <f t="shared" si="5"/>
        <v>771.39999999999918</v>
      </c>
      <c r="C78" s="159">
        <f t="shared" si="6"/>
        <v>771.39999999999918</v>
      </c>
      <c r="D78" s="159">
        <f t="shared" si="7"/>
        <v>1248.2000000000021</v>
      </c>
      <c r="E78" s="159">
        <f t="shared" si="8"/>
        <v>1137.4000000000003</v>
      </c>
      <c r="F78" s="159">
        <f t="shared" si="9"/>
        <v>481.49999999999915</v>
      </c>
    </row>
    <row r="79" spans="1:6" s="160" customFormat="1" ht="15" customHeight="1">
      <c r="A79" s="159">
        <v>75</v>
      </c>
      <c r="B79" s="159">
        <f t="shared" si="5"/>
        <v>780.79999999999916</v>
      </c>
      <c r="C79" s="159">
        <f t="shared" si="6"/>
        <v>780.79999999999916</v>
      </c>
      <c r="D79" s="159">
        <f t="shared" si="7"/>
        <v>1263.4000000000021</v>
      </c>
      <c r="E79" s="159">
        <f t="shared" si="8"/>
        <v>1151.3000000000004</v>
      </c>
      <c r="F79" s="159">
        <f t="shared" si="9"/>
        <v>487.39999999999912</v>
      </c>
    </row>
    <row r="80" spans="1:6" s="160" customFormat="1" ht="15" customHeight="1">
      <c r="A80" s="159">
        <v>76</v>
      </c>
      <c r="B80" s="159">
        <f t="shared" si="5"/>
        <v>790.19999999999914</v>
      </c>
      <c r="C80" s="159">
        <f t="shared" si="6"/>
        <v>790.19999999999914</v>
      </c>
      <c r="D80" s="159">
        <f t="shared" si="7"/>
        <v>1278.6000000000022</v>
      </c>
      <c r="E80" s="159">
        <f t="shared" si="8"/>
        <v>1165.2000000000005</v>
      </c>
      <c r="F80" s="159">
        <f t="shared" si="9"/>
        <v>493.2999999999991</v>
      </c>
    </row>
    <row r="81" spans="1:6" s="160" customFormat="1" ht="15" customHeight="1">
      <c r="A81" s="159">
        <v>77</v>
      </c>
      <c r="B81" s="159">
        <f t="shared" si="5"/>
        <v>799.59999999999911</v>
      </c>
      <c r="C81" s="159">
        <f t="shared" si="6"/>
        <v>799.59999999999911</v>
      </c>
      <c r="D81" s="159">
        <f t="shared" si="7"/>
        <v>1293.8000000000022</v>
      </c>
      <c r="E81" s="159">
        <f t="shared" si="8"/>
        <v>1179.1000000000006</v>
      </c>
      <c r="F81" s="159">
        <f t="shared" si="9"/>
        <v>499.19999999999908</v>
      </c>
    </row>
    <row r="82" spans="1:6" s="160" customFormat="1" ht="15" customHeight="1">
      <c r="A82" s="159">
        <v>78</v>
      </c>
      <c r="B82" s="159">
        <f t="shared" si="5"/>
        <v>808.99999999999909</v>
      </c>
      <c r="C82" s="159">
        <f t="shared" si="6"/>
        <v>808.99999999999909</v>
      </c>
      <c r="D82" s="159">
        <f t="shared" si="7"/>
        <v>1309.0000000000023</v>
      </c>
      <c r="E82" s="159">
        <f t="shared" si="8"/>
        <v>1193.0000000000007</v>
      </c>
      <c r="F82" s="159">
        <f t="shared" si="9"/>
        <v>505.09999999999906</v>
      </c>
    </row>
    <row r="83" spans="1:6" s="160" customFormat="1" ht="15" customHeight="1">
      <c r="A83" s="159">
        <v>79</v>
      </c>
      <c r="B83" s="159">
        <f t="shared" si="5"/>
        <v>818.39999999999907</v>
      </c>
      <c r="C83" s="159">
        <f t="shared" si="6"/>
        <v>818.39999999999907</v>
      </c>
      <c r="D83" s="159">
        <f t="shared" si="7"/>
        <v>1324.2000000000023</v>
      </c>
      <c r="E83" s="159">
        <f t="shared" si="8"/>
        <v>1206.9000000000008</v>
      </c>
      <c r="F83" s="159">
        <f t="shared" si="9"/>
        <v>510.99999999999903</v>
      </c>
    </row>
    <row r="84" spans="1:6" s="162" customFormat="1" ht="15" customHeight="1">
      <c r="A84" s="161">
        <v>80</v>
      </c>
      <c r="B84" s="159">
        <f t="shared" si="5"/>
        <v>827.79999999999905</v>
      </c>
      <c r="C84" s="159">
        <f t="shared" si="6"/>
        <v>827.79999999999905</v>
      </c>
      <c r="D84" s="159">
        <f t="shared" si="7"/>
        <v>1339.4000000000024</v>
      </c>
      <c r="E84" s="159">
        <f t="shared" si="8"/>
        <v>1220.8000000000009</v>
      </c>
      <c r="F84" s="159">
        <f t="shared" si="9"/>
        <v>516.89999999999907</v>
      </c>
    </row>
    <row r="85" spans="1:6" s="160" customFormat="1" ht="15" customHeight="1">
      <c r="A85" s="159">
        <v>81</v>
      </c>
      <c r="B85" s="159">
        <f t="shared" si="5"/>
        <v>837.19999999999902</v>
      </c>
      <c r="C85" s="159">
        <f t="shared" si="6"/>
        <v>837.19999999999902</v>
      </c>
      <c r="D85" s="159">
        <f t="shared" si="7"/>
        <v>1354.6000000000024</v>
      </c>
      <c r="E85" s="159">
        <f t="shared" si="8"/>
        <v>1234.700000000001</v>
      </c>
      <c r="F85" s="159">
        <f t="shared" si="9"/>
        <v>522.79999999999905</v>
      </c>
    </row>
    <row r="86" spans="1:6" s="160" customFormat="1" ht="15" customHeight="1">
      <c r="A86" s="159">
        <v>82</v>
      </c>
      <c r="B86" s="159">
        <f t="shared" si="5"/>
        <v>846.599999999999</v>
      </c>
      <c r="C86" s="159">
        <f t="shared" si="6"/>
        <v>846.599999999999</v>
      </c>
      <c r="D86" s="159">
        <f t="shared" si="7"/>
        <v>1369.8000000000025</v>
      </c>
      <c r="E86" s="159">
        <f t="shared" si="8"/>
        <v>1248.600000000001</v>
      </c>
      <c r="F86" s="159">
        <f t="shared" si="9"/>
        <v>528.69999999999902</v>
      </c>
    </row>
    <row r="87" spans="1:6" s="160" customFormat="1" ht="15" customHeight="1">
      <c r="A87" s="159">
        <v>83</v>
      </c>
      <c r="B87" s="159">
        <f t="shared" si="5"/>
        <v>855.99999999999898</v>
      </c>
      <c r="C87" s="159">
        <f t="shared" si="6"/>
        <v>855.99999999999898</v>
      </c>
      <c r="D87" s="159">
        <f t="shared" si="7"/>
        <v>1385.0000000000025</v>
      </c>
      <c r="E87" s="159">
        <f t="shared" si="8"/>
        <v>1262.5000000000011</v>
      </c>
      <c r="F87" s="159">
        <f t="shared" si="9"/>
        <v>534.599999999999</v>
      </c>
    </row>
    <row r="88" spans="1:6" s="160" customFormat="1" ht="15" customHeight="1">
      <c r="A88" s="159">
        <v>84</v>
      </c>
      <c r="B88" s="159">
        <f t="shared" si="5"/>
        <v>865.39999999999895</v>
      </c>
      <c r="C88" s="159">
        <f t="shared" si="6"/>
        <v>865.39999999999895</v>
      </c>
      <c r="D88" s="159">
        <f t="shared" si="7"/>
        <v>1400.2000000000025</v>
      </c>
      <c r="E88" s="159">
        <f t="shared" si="8"/>
        <v>1276.4000000000012</v>
      </c>
      <c r="F88" s="159">
        <f t="shared" si="9"/>
        <v>540.49999999999898</v>
      </c>
    </row>
    <row r="89" spans="1:6" s="160" customFormat="1" ht="15" customHeight="1">
      <c r="A89" s="159">
        <v>85</v>
      </c>
      <c r="B89" s="159">
        <f t="shared" si="5"/>
        <v>874.79999999999893</v>
      </c>
      <c r="C89" s="159">
        <f t="shared" si="6"/>
        <v>874.79999999999893</v>
      </c>
      <c r="D89" s="159">
        <f t="shared" si="7"/>
        <v>1415.4000000000026</v>
      </c>
      <c r="E89" s="159">
        <f t="shared" si="8"/>
        <v>1290.3000000000013</v>
      </c>
      <c r="F89" s="159">
        <f t="shared" si="9"/>
        <v>546.39999999999895</v>
      </c>
    </row>
    <row r="90" spans="1:6" s="160" customFormat="1" ht="15" customHeight="1">
      <c r="A90" s="159">
        <v>86</v>
      </c>
      <c r="B90" s="159">
        <f t="shared" si="5"/>
        <v>884.19999999999891</v>
      </c>
      <c r="C90" s="159">
        <f t="shared" si="6"/>
        <v>884.19999999999891</v>
      </c>
      <c r="D90" s="159">
        <f t="shared" si="7"/>
        <v>1430.6000000000026</v>
      </c>
      <c r="E90" s="159">
        <f t="shared" si="8"/>
        <v>1304.2000000000014</v>
      </c>
      <c r="F90" s="159">
        <f t="shared" si="9"/>
        <v>552.29999999999893</v>
      </c>
    </row>
    <row r="91" spans="1:6" s="160" customFormat="1" ht="15" customHeight="1">
      <c r="A91" s="159">
        <v>87</v>
      </c>
      <c r="B91" s="159">
        <f t="shared" si="5"/>
        <v>893.59999999999889</v>
      </c>
      <c r="C91" s="159">
        <f t="shared" si="6"/>
        <v>893.59999999999889</v>
      </c>
      <c r="D91" s="159">
        <f t="shared" si="7"/>
        <v>1445.8000000000027</v>
      </c>
      <c r="E91" s="159">
        <f t="shared" si="8"/>
        <v>1318.1000000000015</v>
      </c>
      <c r="F91" s="159">
        <f t="shared" si="9"/>
        <v>558.19999999999891</v>
      </c>
    </row>
    <row r="92" spans="1:6" s="160" customFormat="1" ht="15" customHeight="1">
      <c r="A92" s="159">
        <v>88</v>
      </c>
      <c r="B92" s="159">
        <f t="shared" si="5"/>
        <v>902.99999999999886</v>
      </c>
      <c r="C92" s="159">
        <f t="shared" si="6"/>
        <v>902.99999999999886</v>
      </c>
      <c r="D92" s="159">
        <f t="shared" si="7"/>
        <v>1461.0000000000027</v>
      </c>
      <c r="E92" s="159">
        <f t="shared" si="8"/>
        <v>1332.0000000000016</v>
      </c>
      <c r="F92" s="159">
        <f t="shared" si="9"/>
        <v>564.09999999999889</v>
      </c>
    </row>
    <row r="93" spans="1:6" s="160" customFormat="1" ht="15" customHeight="1">
      <c r="A93" s="159">
        <v>89</v>
      </c>
      <c r="B93" s="159">
        <f t="shared" si="5"/>
        <v>912.39999999999884</v>
      </c>
      <c r="C93" s="159">
        <f t="shared" si="6"/>
        <v>912.39999999999884</v>
      </c>
      <c r="D93" s="159">
        <f t="shared" si="7"/>
        <v>1476.2000000000028</v>
      </c>
      <c r="E93" s="159">
        <f t="shared" si="8"/>
        <v>1345.9000000000017</v>
      </c>
      <c r="F93" s="159">
        <f t="shared" si="9"/>
        <v>569.99999999999886</v>
      </c>
    </row>
    <row r="94" spans="1:6" s="162" customFormat="1" ht="15" customHeight="1">
      <c r="A94" s="161">
        <v>90</v>
      </c>
      <c r="B94" s="159">
        <f t="shared" si="5"/>
        <v>921.79999999999882</v>
      </c>
      <c r="C94" s="159">
        <f t="shared" si="6"/>
        <v>921.79999999999882</v>
      </c>
      <c r="D94" s="159">
        <f t="shared" si="7"/>
        <v>1491.4000000000028</v>
      </c>
      <c r="E94" s="159">
        <f t="shared" si="8"/>
        <v>1359.8000000000018</v>
      </c>
      <c r="F94" s="159">
        <f t="shared" si="9"/>
        <v>575.89999999999884</v>
      </c>
    </row>
    <row r="95" spans="1:6" s="160" customFormat="1" ht="15" customHeight="1">
      <c r="A95" s="159">
        <v>91</v>
      </c>
      <c r="B95" s="159">
        <f t="shared" si="5"/>
        <v>931.19999999999879</v>
      </c>
      <c r="C95" s="159">
        <f t="shared" si="6"/>
        <v>931.19999999999879</v>
      </c>
      <c r="D95" s="159">
        <f t="shared" si="7"/>
        <v>1506.6000000000029</v>
      </c>
      <c r="E95" s="159">
        <f t="shared" si="8"/>
        <v>1373.7000000000019</v>
      </c>
      <c r="F95" s="159">
        <f t="shared" si="9"/>
        <v>581.79999999999882</v>
      </c>
    </row>
    <row r="96" spans="1:6" s="160" customFormat="1" ht="15" customHeight="1">
      <c r="A96" s="159">
        <v>92</v>
      </c>
      <c r="B96" s="159">
        <f t="shared" si="5"/>
        <v>940.59999999999877</v>
      </c>
      <c r="C96" s="159">
        <f t="shared" si="6"/>
        <v>940.59999999999877</v>
      </c>
      <c r="D96" s="159">
        <f t="shared" si="7"/>
        <v>1521.8000000000029</v>
      </c>
      <c r="E96" s="159">
        <f t="shared" si="8"/>
        <v>1387.600000000002</v>
      </c>
      <c r="F96" s="159">
        <f t="shared" si="9"/>
        <v>587.69999999999879</v>
      </c>
    </row>
    <row r="97" spans="1:7" s="160" customFormat="1" ht="15" customHeight="1">
      <c r="A97" s="159">
        <v>93</v>
      </c>
      <c r="B97" s="159">
        <f t="shared" si="5"/>
        <v>949.99999999999875</v>
      </c>
      <c r="C97" s="159">
        <f t="shared" si="6"/>
        <v>949.99999999999875</v>
      </c>
      <c r="D97" s="159">
        <f t="shared" si="7"/>
        <v>1537.000000000003</v>
      </c>
      <c r="E97" s="159">
        <f t="shared" si="8"/>
        <v>1401.500000000002</v>
      </c>
      <c r="F97" s="159">
        <f t="shared" si="9"/>
        <v>593.59999999999877</v>
      </c>
    </row>
    <row r="98" spans="1:7" s="160" customFormat="1" ht="15" customHeight="1">
      <c r="A98" s="159">
        <v>94</v>
      </c>
      <c r="B98" s="159">
        <f t="shared" si="5"/>
        <v>959.39999999999873</v>
      </c>
      <c r="C98" s="159">
        <f t="shared" si="6"/>
        <v>959.39999999999873</v>
      </c>
      <c r="D98" s="159">
        <f t="shared" si="7"/>
        <v>1552.200000000003</v>
      </c>
      <c r="E98" s="159">
        <f t="shared" si="8"/>
        <v>1415.4000000000021</v>
      </c>
      <c r="F98" s="159">
        <f t="shared" si="9"/>
        <v>599.49999999999875</v>
      </c>
    </row>
    <row r="99" spans="1:7" s="160" customFormat="1" ht="15" customHeight="1">
      <c r="A99" s="159">
        <v>95</v>
      </c>
      <c r="B99" s="159">
        <f t="shared" si="5"/>
        <v>968.7999999999987</v>
      </c>
      <c r="C99" s="159">
        <f t="shared" si="6"/>
        <v>968.7999999999987</v>
      </c>
      <c r="D99" s="159">
        <f t="shared" si="7"/>
        <v>1567.400000000003</v>
      </c>
      <c r="E99" s="159">
        <f t="shared" si="8"/>
        <v>1429.3000000000022</v>
      </c>
      <c r="F99" s="159">
        <f t="shared" si="9"/>
        <v>605.39999999999873</v>
      </c>
    </row>
    <row r="100" spans="1:7" s="160" customFormat="1" ht="15" customHeight="1">
      <c r="A100" s="159">
        <v>96</v>
      </c>
      <c r="B100" s="159">
        <f t="shared" ref="B100:C104" si="10">B99+9.4</f>
        <v>978.19999999999868</v>
      </c>
      <c r="C100" s="159">
        <f t="shared" si="10"/>
        <v>978.19999999999868</v>
      </c>
      <c r="D100" s="159">
        <f>D99+15.2</f>
        <v>1582.6000000000031</v>
      </c>
      <c r="E100" s="159">
        <f>E99+13.9</f>
        <v>1443.2000000000023</v>
      </c>
      <c r="F100" s="159">
        <f>F99+5.9</f>
        <v>611.2999999999987</v>
      </c>
    </row>
    <row r="101" spans="1:7" s="160" customFormat="1" ht="15" customHeight="1">
      <c r="A101" s="159">
        <v>97</v>
      </c>
      <c r="B101" s="159">
        <f t="shared" si="10"/>
        <v>987.59999999999866</v>
      </c>
      <c r="C101" s="159">
        <f t="shared" si="10"/>
        <v>987.59999999999866</v>
      </c>
      <c r="D101" s="159">
        <f>D100+15.2</f>
        <v>1597.8000000000031</v>
      </c>
      <c r="E101" s="159">
        <f>E100+13.9</f>
        <v>1457.1000000000024</v>
      </c>
      <c r="F101" s="159">
        <f>F100+5.9</f>
        <v>617.19999999999868</v>
      </c>
    </row>
    <row r="102" spans="1:7" s="160" customFormat="1" ht="15" customHeight="1">
      <c r="A102" s="159">
        <v>98</v>
      </c>
      <c r="B102" s="159">
        <f t="shared" si="10"/>
        <v>996.99999999999864</v>
      </c>
      <c r="C102" s="159">
        <f t="shared" si="10"/>
        <v>996.99999999999864</v>
      </c>
      <c r="D102" s="159">
        <f>D101+15.2</f>
        <v>1613.0000000000032</v>
      </c>
      <c r="E102" s="159">
        <f>E101+13.9</f>
        <v>1471.0000000000025</v>
      </c>
      <c r="F102" s="159">
        <f>F101+5.9</f>
        <v>623.09999999999866</v>
      </c>
    </row>
    <row r="103" spans="1:7" s="160" customFormat="1" ht="15" customHeight="1">
      <c r="A103" s="159">
        <v>99</v>
      </c>
      <c r="B103" s="159">
        <f t="shared" si="10"/>
        <v>1006.3999999999986</v>
      </c>
      <c r="C103" s="159">
        <f t="shared" si="10"/>
        <v>1006.3999999999986</v>
      </c>
      <c r="D103" s="159">
        <f>D102+15.2</f>
        <v>1628.2000000000032</v>
      </c>
      <c r="E103" s="159">
        <f>E102+13.9</f>
        <v>1484.9000000000026</v>
      </c>
      <c r="F103" s="159">
        <f>F102+5.9</f>
        <v>628.99999999999864</v>
      </c>
    </row>
    <row r="104" spans="1:7" s="162" customFormat="1" ht="15" customHeight="1">
      <c r="A104" s="161">
        <v>100</v>
      </c>
      <c r="B104" s="159">
        <f t="shared" si="10"/>
        <v>1015.7999999999986</v>
      </c>
      <c r="C104" s="159">
        <f t="shared" si="10"/>
        <v>1015.7999999999986</v>
      </c>
      <c r="D104" s="159">
        <f>D103+15.2</f>
        <v>1643.4000000000033</v>
      </c>
      <c r="E104" s="159">
        <f>E103+13.9</f>
        <v>1498.8000000000027</v>
      </c>
      <c r="F104" s="159">
        <f>F103+5.9</f>
        <v>634.89999999999861</v>
      </c>
      <c r="G104" s="163"/>
    </row>
    <row r="105" spans="1:7" s="160" customFormat="1" ht="15" customHeight="1">
      <c r="A105" s="159"/>
      <c r="B105" s="159"/>
      <c r="C105" s="159"/>
      <c r="D105" s="159"/>
      <c r="E105" s="159"/>
      <c r="F105" s="159"/>
    </row>
    <row r="106" spans="1:7" s="162" customFormat="1" ht="15" customHeight="1">
      <c r="A106" s="161" t="s">
        <v>81</v>
      </c>
      <c r="B106" s="161">
        <v>19.8</v>
      </c>
      <c r="C106" s="161">
        <v>39.9</v>
      </c>
      <c r="D106" s="161">
        <v>54.8</v>
      </c>
      <c r="E106" s="161"/>
      <c r="F106" s="161"/>
    </row>
    <row r="107" spans="1:7" s="162" customFormat="1" ht="15" customHeight="1">
      <c r="A107" s="161" t="s">
        <v>82</v>
      </c>
      <c r="B107" s="161">
        <v>9.9</v>
      </c>
      <c r="C107" s="161">
        <v>19.95</v>
      </c>
      <c r="D107" s="161">
        <v>54.8</v>
      </c>
      <c r="E107" s="161"/>
      <c r="F107" s="161"/>
    </row>
    <row r="108" spans="1:7" s="160" customFormat="1" ht="15" customHeight="1">
      <c r="A108" s="159"/>
      <c r="B108" s="159"/>
      <c r="C108" s="159"/>
      <c r="D108" s="159"/>
      <c r="E108" s="159"/>
    </row>
    <row r="109" spans="1:7" s="160" customFormat="1" ht="15" customHeight="1">
      <c r="A109" s="159"/>
      <c r="B109" s="159"/>
      <c r="C109" s="159"/>
      <c r="D109" s="159"/>
      <c r="E109" s="159"/>
    </row>
    <row r="110" spans="1:7" s="160" customFormat="1" ht="15" customHeight="1">
      <c r="A110" s="159"/>
      <c r="B110" s="159"/>
      <c r="C110" s="159"/>
      <c r="D110" s="159"/>
      <c r="E110" s="159"/>
    </row>
    <row r="111" spans="1:7" s="160" customFormat="1" ht="15" customHeight="1">
      <c r="A111" s="159"/>
      <c r="B111" s="159"/>
      <c r="C111" s="159"/>
      <c r="D111" s="159"/>
      <c r="E111" s="159"/>
    </row>
    <row r="112" spans="1:7" s="160" customFormat="1" ht="15" customHeight="1">
      <c r="A112" s="159"/>
      <c r="B112" s="159"/>
      <c r="C112" s="159"/>
      <c r="D112" s="159"/>
      <c r="E112" s="159"/>
    </row>
    <row r="113" spans="1:5" s="160" customFormat="1" ht="15" customHeight="1">
      <c r="A113" s="159"/>
      <c r="B113" s="159"/>
      <c r="C113" s="159"/>
      <c r="D113" s="159"/>
      <c r="E113" s="159"/>
    </row>
    <row r="114" spans="1:5" s="160" customFormat="1" ht="15" customHeight="1">
      <c r="A114" s="159"/>
      <c r="B114" s="159"/>
      <c r="C114" s="159"/>
      <c r="D114" s="159"/>
      <c r="E114" s="159"/>
    </row>
    <row r="115" spans="1:5" s="160" customFormat="1" ht="15" customHeight="1">
      <c r="A115" s="159"/>
      <c r="B115" s="159"/>
      <c r="C115" s="159"/>
      <c r="D115" s="159"/>
      <c r="E115" s="159"/>
    </row>
    <row r="116" spans="1:5" s="160" customFormat="1" ht="15" customHeight="1">
      <c r="A116" s="159"/>
      <c r="B116" s="159"/>
      <c r="C116" s="159"/>
      <c r="D116" s="159"/>
      <c r="E116" s="159"/>
    </row>
    <row r="117" spans="1:5" s="160" customFormat="1" ht="15" customHeight="1">
      <c r="A117" s="159"/>
      <c r="B117" s="159"/>
      <c r="C117" s="159"/>
      <c r="D117" s="159"/>
      <c r="E117" s="159"/>
    </row>
    <row r="118" spans="1:5" s="160" customFormat="1" ht="15" customHeight="1">
      <c r="A118" s="159"/>
      <c r="B118" s="159"/>
      <c r="C118" s="159"/>
      <c r="D118" s="159"/>
      <c r="E118" s="159"/>
    </row>
    <row r="119" spans="1:5" s="160" customFormat="1" ht="15" customHeight="1">
      <c r="A119" s="159"/>
      <c r="B119" s="159"/>
      <c r="C119" s="159"/>
      <c r="D119" s="159"/>
      <c r="E119" s="159"/>
    </row>
    <row r="120" spans="1:5" s="160" customFormat="1" ht="15" customHeight="1">
      <c r="A120" s="159"/>
      <c r="B120" s="159"/>
      <c r="C120" s="159"/>
      <c r="D120" s="159"/>
      <c r="E120" s="159"/>
    </row>
    <row r="121" spans="1:5" s="160" customFormat="1" ht="15" customHeight="1">
      <c r="A121" s="159"/>
      <c r="B121" s="159"/>
      <c r="C121" s="159"/>
      <c r="D121" s="159"/>
      <c r="E121" s="159"/>
    </row>
    <row r="122" spans="1:5" s="160" customFormat="1" ht="15" customHeight="1">
      <c r="A122" s="159"/>
      <c r="B122" s="159"/>
      <c r="C122" s="159"/>
      <c r="D122" s="159"/>
      <c r="E122" s="159"/>
    </row>
    <row r="123" spans="1:5" s="160" customFormat="1" ht="15" customHeight="1">
      <c r="A123" s="159"/>
      <c r="B123" s="159"/>
      <c r="C123" s="159"/>
      <c r="D123" s="159"/>
      <c r="E123" s="159"/>
    </row>
    <row r="124" spans="1:5" s="160" customFormat="1" ht="15" customHeight="1">
      <c r="A124" s="159"/>
      <c r="B124" s="159"/>
      <c r="C124" s="159"/>
      <c r="D124" s="159"/>
      <c r="E124" s="159"/>
    </row>
    <row r="125" spans="1:5" s="160" customFormat="1" ht="15" customHeight="1">
      <c r="A125" s="159"/>
      <c r="B125" s="159"/>
      <c r="C125" s="159"/>
      <c r="D125" s="159"/>
      <c r="E125" s="159"/>
    </row>
    <row r="126" spans="1:5" s="160" customFormat="1" ht="15" customHeight="1">
      <c r="A126" s="159"/>
      <c r="B126" s="159"/>
      <c r="C126" s="159"/>
      <c r="D126" s="159"/>
      <c r="E126" s="159"/>
    </row>
    <row r="127" spans="1:5" s="160" customFormat="1" ht="15" customHeight="1">
      <c r="A127" s="159"/>
      <c r="B127" s="159"/>
      <c r="C127" s="159"/>
      <c r="D127" s="159"/>
      <c r="E127" s="159"/>
    </row>
    <row r="128" spans="1:5" s="160" customFormat="1" ht="15" customHeight="1">
      <c r="A128" s="159"/>
      <c r="B128" s="159"/>
      <c r="C128" s="159"/>
      <c r="D128" s="159"/>
      <c r="E128" s="159"/>
    </row>
    <row r="129" spans="1:5" s="160" customFormat="1" ht="15" customHeight="1">
      <c r="A129" s="159"/>
      <c r="B129" s="159"/>
      <c r="C129" s="159"/>
      <c r="D129" s="159"/>
      <c r="E129" s="159"/>
    </row>
    <row r="130" spans="1:5" s="160" customFormat="1" ht="15" customHeight="1">
      <c r="A130" s="159"/>
      <c r="B130" s="159"/>
      <c r="C130" s="159"/>
      <c r="D130" s="159"/>
      <c r="E130" s="159"/>
    </row>
    <row r="131" spans="1:5" s="160" customFormat="1" ht="15" customHeight="1">
      <c r="A131" s="159"/>
      <c r="B131" s="159"/>
      <c r="C131" s="159"/>
      <c r="D131" s="159"/>
      <c r="E131" s="159"/>
    </row>
    <row r="132" spans="1:5" s="160" customFormat="1" ht="15" customHeight="1">
      <c r="A132" s="159"/>
      <c r="B132" s="159"/>
      <c r="C132" s="159"/>
      <c r="D132" s="159"/>
      <c r="E132" s="159"/>
    </row>
    <row r="133" spans="1:5" s="160" customFormat="1" ht="15" customHeight="1">
      <c r="A133" s="159"/>
      <c r="B133" s="159"/>
      <c r="C133" s="159"/>
      <c r="D133" s="159"/>
      <c r="E133" s="159"/>
    </row>
    <row r="134" spans="1:5" s="160" customFormat="1" ht="15" customHeight="1">
      <c r="A134" s="159"/>
      <c r="B134" s="159"/>
      <c r="C134" s="159"/>
      <c r="D134" s="159"/>
      <c r="E134" s="159"/>
    </row>
    <row r="135" spans="1:5" s="160" customFormat="1" ht="15" customHeight="1">
      <c r="A135" s="159"/>
      <c r="B135" s="159"/>
      <c r="C135" s="159"/>
      <c r="D135" s="159"/>
      <c r="E135" s="159"/>
    </row>
    <row r="136" spans="1:5" s="160" customFormat="1" ht="15" customHeight="1">
      <c r="A136" s="159"/>
      <c r="B136" s="159"/>
      <c r="C136" s="159"/>
      <c r="D136" s="159"/>
      <c r="E136" s="159"/>
    </row>
    <row r="137" spans="1:5" s="160" customFormat="1" ht="15" customHeight="1">
      <c r="A137" s="159"/>
      <c r="B137" s="159"/>
      <c r="C137" s="159"/>
      <c r="D137" s="159"/>
      <c r="E137" s="159"/>
    </row>
    <row r="138" spans="1:5" s="160" customFormat="1" ht="15" customHeight="1">
      <c r="A138" s="159"/>
      <c r="B138" s="159"/>
      <c r="C138" s="159"/>
      <c r="D138" s="159"/>
      <c r="E138" s="159"/>
    </row>
    <row r="139" spans="1:5" s="160" customFormat="1" ht="15" customHeight="1">
      <c r="A139" s="159"/>
      <c r="B139" s="159"/>
      <c r="C139" s="159"/>
      <c r="D139" s="159"/>
      <c r="E139" s="159"/>
    </row>
    <row r="140" spans="1:5" s="160" customFormat="1" ht="15" customHeight="1">
      <c r="A140" s="159"/>
      <c r="B140" s="159"/>
      <c r="C140" s="159"/>
      <c r="D140" s="159"/>
      <c r="E140" s="159"/>
    </row>
    <row r="141" spans="1:5" s="160" customFormat="1" ht="15" customHeight="1">
      <c r="A141" s="159"/>
      <c r="B141" s="159"/>
      <c r="C141" s="159"/>
      <c r="D141" s="159"/>
      <c r="E141" s="159"/>
    </row>
    <row r="142" spans="1:5" s="160" customFormat="1" ht="15" customHeight="1">
      <c r="A142" s="159"/>
      <c r="B142" s="159"/>
      <c r="C142" s="159"/>
      <c r="D142" s="159"/>
      <c r="E142" s="159"/>
    </row>
    <row r="143" spans="1:5" s="160" customFormat="1" ht="15" customHeight="1">
      <c r="A143" s="159"/>
      <c r="B143" s="159"/>
      <c r="C143" s="159"/>
      <c r="D143" s="159"/>
      <c r="E143" s="159"/>
    </row>
    <row r="144" spans="1:5" s="160" customFormat="1" ht="15" customHeight="1">
      <c r="A144" s="159"/>
      <c r="B144" s="159"/>
      <c r="C144" s="159"/>
      <c r="D144" s="159"/>
      <c r="E144" s="159"/>
    </row>
    <row r="145" spans="1:5" s="160" customFormat="1" ht="15" customHeight="1">
      <c r="A145" s="159"/>
      <c r="B145" s="159"/>
      <c r="C145" s="159"/>
      <c r="D145" s="159"/>
      <c r="E145" s="159"/>
    </row>
    <row r="146" spans="1:5" s="160" customFormat="1" ht="15" customHeight="1">
      <c r="A146" s="159"/>
      <c r="B146" s="159"/>
      <c r="C146" s="159"/>
      <c r="D146" s="159"/>
      <c r="E146" s="159"/>
    </row>
    <row r="147" spans="1:5" s="160" customFormat="1" ht="15" customHeight="1">
      <c r="A147" s="159"/>
      <c r="B147" s="159"/>
      <c r="C147" s="159"/>
      <c r="D147" s="159"/>
      <c r="E147" s="159"/>
    </row>
    <row r="148" spans="1:5" s="160" customFormat="1" ht="15" customHeight="1">
      <c r="A148" s="159"/>
      <c r="B148" s="159"/>
      <c r="C148" s="159"/>
      <c r="D148" s="159"/>
      <c r="E148" s="159"/>
    </row>
    <row r="149" spans="1:5" s="160" customFormat="1" ht="15" customHeight="1">
      <c r="A149" s="159"/>
      <c r="B149" s="159"/>
      <c r="C149" s="159"/>
      <c r="D149" s="159"/>
      <c r="E149" s="159"/>
    </row>
    <row r="150" spans="1:5" s="160" customFormat="1" ht="15" customHeight="1">
      <c r="A150" s="159"/>
      <c r="B150" s="159"/>
      <c r="C150" s="159"/>
      <c r="D150" s="159"/>
      <c r="E150" s="159"/>
    </row>
    <row r="151" spans="1:5" s="160" customFormat="1" ht="15" customHeight="1">
      <c r="A151" s="159"/>
      <c r="B151" s="159"/>
      <c r="C151" s="159"/>
      <c r="D151" s="159"/>
      <c r="E151" s="159"/>
    </row>
    <row r="152" spans="1:5" s="160" customFormat="1" ht="15" customHeight="1">
      <c r="A152" s="159"/>
      <c r="B152" s="159"/>
      <c r="C152" s="159"/>
      <c r="D152" s="159"/>
      <c r="E152" s="159"/>
    </row>
    <row r="153" spans="1:5" s="160" customFormat="1" ht="15" customHeight="1">
      <c r="A153" s="159"/>
      <c r="B153" s="159"/>
      <c r="C153" s="159"/>
      <c r="D153" s="159"/>
      <c r="E153" s="159"/>
    </row>
    <row r="154" spans="1:5" s="160" customFormat="1" ht="15" customHeight="1">
      <c r="A154" s="159"/>
      <c r="B154" s="159"/>
      <c r="C154" s="159"/>
      <c r="D154" s="159"/>
      <c r="E154" s="159"/>
    </row>
    <row r="155" spans="1:5" s="160" customFormat="1" ht="15" customHeight="1">
      <c r="A155" s="159"/>
      <c r="B155" s="159"/>
      <c r="C155" s="159"/>
      <c r="D155" s="159"/>
      <c r="E155" s="159"/>
    </row>
    <row r="156" spans="1:5" s="160" customFormat="1" ht="15" customHeight="1">
      <c r="A156" s="159"/>
      <c r="B156" s="159"/>
      <c r="C156" s="159"/>
      <c r="D156" s="159"/>
      <c r="E156" s="159"/>
    </row>
    <row r="157" spans="1:5" s="160" customFormat="1" ht="15" customHeight="1">
      <c r="A157" s="159"/>
      <c r="B157" s="159"/>
      <c r="C157" s="159"/>
      <c r="D157" s="159"/>
      <c r="E157" s="159"/>
    </row>
    <row r="158" spans="1:5" s="160" customFormat="1" ht="15" customHeight="1">
      <c r="A158" s="159"/>
      <c r="B158" s="159"/>
      <c r="C158" s="159"/>
      <c r="D158" s="159"/>
      <c r="E158" s="159"/>
    </row>
    <row r="159" spans="1:5" s="160" customFormat="1" ht="15" customHeight="1">
      <c r="A159" s="159"/>
      <c r="B159" s="159"/>
      <c r="C159" s="159"/>
      <c r="D159" s="159"/>
      <c r="E159" s="159"/>
    </row>
    <row r="160" spans="1:5" s="160" customFormat="1" ht="15" customHeight="1">
      <c r="A160" s="159"/>
      <c r="B160" s="159"/>
      <c r="C160" s="159"/>
      <c r="D160" s="159"/>
      <c r="E160" s="159"/>
    </row>
    <row r="161" spans="1:5" s="160" customFormat="1" ht="15" customHeight="1">
      <c r="A161" s="159"/>
      <c r="B161" s="159"/>
      <c r="C161" s="159"/>
      <c r="D161" s="159"/>
      <c r="E161" s="159"/>
    </row>
    <row r="162" spans="1:5" s="160" customFormat="1" ht="15" customHeight="1">
      <c r="A162" s="159"/>
      <c r="B162" s="159"/>
      <c r="C162" s="159"/>
      <c r="D162" s="159"/>
      <c r="E162" s="159"/>
    </row>
    <row r="163" spans="1:5" s="160" customFormat="1" ht="15" customHeight="1">
      <c r="A163" s="159"/>
      <c r="B163" s="159"/>
      <c r="C163" s="159"/>
      <c r="D163" s="159"/>
      <c r="E163" s="159"/>
    </row>
    <row r="164" spans="1:5" s="160" customFormat="1" ht="15" customHeight="1">
      <c r="A164" s="159"/>
      <c r="B164" s="159"/>
      <c r="C164" s="159"/>
      <c r="D164" s="159"/>
      <c r="E164" s="159"/>
    </row>
    <row r="165" spans="1:5" s="160" customFormat="1" ht="15" customHeight="1">
      <c r="A165" s="159"/>
      <c r="B165" s="159"/>
      <c r="C165" s="159"/>
      <c r="D165" s="159"/>
      <c r="E165" s="159"/>
    </row>
    <row r="166" spans="1:5" s="160" customFormat="1" ht="15" customHeight="1">
      <c r="A166" s="159"/>
      <c r="B166" s="159"/>
      <c r="C166" s="159"/>
      <c r="D166" s="159"/>
      <c r="E166" s="159"/>
    </row>
    <row r="167" spans="1:5" s="160" customFormat="1" ht="15" customHeight="1">
      <c r="A167" s="159"/>
      <c r="B167" s="159"/>
      <c r="C167" s="159"/>
      <c r="D167" s="159"/>
      <c r="E167" s="159"/>
    </row>
    <row r="168" spans="1:5" s="160" customFormat="1" ht="15" customHeight="1">
      <c r="A168" s="159"/>
      <c r="B168" s="159"/>
      <c r="C168" s="159"/>
      <c r="D168" s="159"/>
      <c r="E168" s="159"/>
    </row>
    <row r="169" spans="1:5" s="160" customFormat="1" ht="15" customHeight="1">
      <c r="A169" s="159"/>
      <c r="B169" s="159"/>
      <c r="C169" s="159"/>
      <c r="D169" s="159"/>
      <c r="E169" s="159"/>
    </row>
    <row r="170" spans="1:5" s="160" customFormat="1" ht="15" customHeight="1">
      <c r="A170" s="159"/>
      <c r="B170" s="159"/>
      <c r="C170" s="159"/>
      <c r="D170" s="159"/>
      <c r="E170" s="159"/>
    </row>
    <row r="171" spans="1:5" s="160" customFormat="1" ht="15" customHeight="1">
      <c r="A171" s="159"/>
      <c r="B171" s="159"/>
      <c r="C171" s="159"/>
      <c r="D171" s="159"/>
      <c r="E171" s="159"/>
    </row>
    <row r="172" spans="1:5" s="160" customFormat="1" ht="15" customHeight="1">
      <c r="A172" s="159"/>
      <c r="B172" s="159"/>
      <c r="C172" s="159"/>
      <c r="D172" s="159"/>
      <c r="E172" s="159"/>
    </row>
    <row r="173" spans="1:5" s="160" customFormat="1" ht="15" customHeight="1">
      <c r="A173" s="159"/>
      <c r="B173" s="159"/>
      <c r="C173" s="159"/>
      <c r="D173" s="159"/>
      <c r="E173" s="159"/>
    </row>
    <row r="174" spans="1:5" s="160" customFormat="1" ht="15" customHeight="1">
      <c r="A174" s="159"/>
      <c r="B174" s="159"/>
      <c r="C174" s="159"/>
      <c r="D174" s="159"/>
      <c r="E174" s="159"/>
    </row>
    <row r="175" spans="1:5" s="160" customFormat="1" ht="15" customHeight="1">
      <c r="A175" s="159"/>
      <c r="B175" s="159"/>
      <c r="C175" s="159"/>
      <c r="D175" s="159"/>
      <c r="E175" s="159"/>
    </row>
    <row r="176" spans="1:5" s="160" customFormat="1" ht="15" customHeight="1">
      <c r="A176" s="159"/>
      <c r="B176" s="159"/>
      <c r="C176" s="159"/>
      <c r="D176" s="159"/>
      <c r="E176" s="159"/>
    </row>
    <row r="177" spans="1:5" s="160" customFormat="1" ht="15" customHeight="1">
      <c r="A177" s="159"/>
      <c r="B177" s="159"/>
      <c r="C177" s="159"/>
      <c r="D177" s="159"/>
      <c r="E177" s="159"/>
    </row>
    <row r="178" spans="1:5" s="160" customFormat="1" ht="15" customHeight="1">
      <c r="A178" s="159"/>
      <c r="B178" s="159"/>
      <c r="C178" s="159"/>
      <c r="D178" s="159"/>
      <c r="E178" s="159"/>
    </row>
    <row r="179" spans="1:5" s="160" customFormat="1" ht="15" customHeight="1">
      <c r="A179" s="159"/>
      <c r="B179" s="159"/>
      <c r="C179" s="159"/>
      <c r="D179" s="159"/>
      <c r="E179" s="159"/>
    </row>
    <row r="180" spans="1:5" s="160" customFormat="1" ht="15" customHeight="1">
      <c r="A180" s="159"/>
      <c r="B180" s="159"/>
      <c r="C180" s="159"/>
      <c r="D180" s="159"/>
      <c r="E180" s="159"/>
    </row>
    <row r="181" spans="1:5" s="160" customFormat="1" ht="15" customHeight="1">
      <c r="A181" s="159"/>
      <c r="B181" s="159"/>
      <c r="C181" s="159"/>
      <c r="D181" s="159"/>
      <c r="E181" s="159"/>
    </row>
    <row r="182" spans="1:5" s="160" customFormat="1" ht="15" customHeight="1">
      <c r="A182" s="159"/>
      <c r="B182" s="159"/>
      <c r="C182" s="159"/>
      <c r="D182" s="159"/>
      <c r="E182" s="159"/>
    </row>
    <row r="183" spans="1:5" s="160" customFormat="1" ht="15" customHeight="1">
      <c r="A183" s="159"/>
      <c r="B183" s="159"/>
      <c r="C183" s="159"/>
      <c r="D183" s="159"/>
      <c r="E183" s="159"/>
    </row>
  </sheetData>
  <sheetProtection password="B1B1" sheet="1"/>
  <mergeCells count="1">
    <mergeCell ref="B1:E1"/>
  </mergeCells>
  <phoneticPr fontId="4" type="noConversion"/>
  <printOptions gridLines="1"/>
  <pageMargins left="0.7" right="0.7" top="0.75" bottom="0.75" header="0.3" footer="0.3"/>
  <pageSetup paperSize="9" orientation="portrait" verticalDpi="0" r:id="rId1"/>
</worksheet>
</file>

<file path=xl/worksheets/sheet20.xml><?xml version="1.0" encoding="utf-8"?>
<worksheet xmlns="http://schemas.openxmlformats.org/spreadsheetml/2006/main" xmlns:r="http://schemas.openxmlformats.org/officeDocument/2006/relationships">
  <dimension ref="A1:IV32"/>
  <sheetViews>
    <sheetView workbookViewId="0">
      <selection activeCell="D12" sqref="D12"/>
    </sheetView>
  </sheetViews>
  <sheetFormatPr defaultRowHeight="12.75"/>
  <cols>
    <col min="1" max="1" width="20.140625" customWidth="1"/>
    <col min="2" max="2" width="11.42578125" customWidth="1"/>
    <col min="3" max="3" width="5.5703125" customWidth="1"/>
    <col min="4" max="4" width="11" customWidth="1"/>
    <col min="5" max="5" width="5.5703125" customWidth="1"/>
    <col min="6" max="6" width="9.5703125" customWidth="1"/>
    <col min="7" max="7" width="5.5703125" customWidth="1"/>
    <col min="8" max="8" width="7" customWidth="1"/>
    <col min="9" max="9" width="5.5703125" customWidth="1"/>
    <col min="10" max="10" width="8.7109375" customWidth="1"/>
    <col min="11" max="11" width="5.5703125" customWidth="1"/>
    <col min="13" max="13" width="5.5703125" customWidth="1"/>
    <col min="15" max="15" width="5.5703125" customWidth="1"/>
    <col min="17" max="17" width="5.5703125" customWidth="1"/>
  </cols>
  <sheetData>
    <row r="1" spans="1:256" ht="22.5" customHeight="1">
      <c r="A1" s="415" t="s">
        <v>867</v>
      </c>
      <c r="B1" s="416" t="s">
        <v>868</v>
      </c>
      <c r="C1" s="417"/>
      <c r="D1" s="418" t="s">
        <v>869</v>
      </c>
      <c r="E1" s="419"/>
      <c r="F1" s="420" t="s">
        <v>612</v>
      </c>
      <c r="G1" s="421"/>
      <c r="H1" s="422" t="s">
        <v>870</v>
      </c>
      <c r="I1" s="423"/>
      <c r="J1" s="422" t="s">
        <v>870</v>
      </c>
      <c r="K1" s="423"/>
      <c r="L1" s="424" t="s">
        <v>120</v>
      </c>
      <c r="M1" s="425"/>
      <c r="N1" s="426" t="s">
        <v>871</v>
      </c>
      <c r="O1" s="427"/>
      <c r="P1" s="416" t="s">
        <v>872</v>
      </c>
      <c r="Q1" s="417"/>
      <c r="R1" s="428" t="s">
        <v>873</v>
      </c>
      <c r="S1" s="339"/>
      <c r="T1" s="429"/>
      <c r="U1" s="339"/>
      <c r="V1" s="429"/>
      <c r="W1" s="339"/>
      <c r="X1" s="429"/>
      <c r="Y1" s="339"/>
      <c r="Z1" s="429"/>
      <c r="AA1" s="339"/>
      <c r="AB1" s="429"/>
      <c r="AC1" s="339"/>
      <c r="AD1" s="429"/>
      <c r="AE1" s="339"/>
      <c r="AF1" s="429"/>
      <c r="AG1" s="339"/>
      <c r="AH1" s="429"/>
      <c r="AI1" s="339"/>
      <c r="AJ1" s="429"/>
      <c r="AK1" s="339"/>
      <c r="AL1" s="429"/>
      <c r="AM1" s="339"/>
      <c r="AN1" s="429"/>
      <c r="AO1" s="339"/>
      <c r="AP1" s="429"/>
      <c r="AQ1" s="339"/>
      <c r="AR1" s="429"/>
      <c r="AS1" s="339"/>
      <c r="AT1" s="429"/>
      <c r="AU1" s="339"/>
      <c r="AV1" s="429"/>
      <c r="AW1" s="339"/>
      <c r="AX1" s="429"/>
      <c r="AY1" s="339"/>
      <c r="AZ1" s="429"/>
      <c r="BA1" s="339"/>
      <c r="BB1" s="429"/>
      <c r="BC1" s="339"/>
      <c r="BD1" s="429"/>
      <c r="BE1" s="339"/>
      <c r="BF1" s="429"/>
      <c r="BG1" s="339"/>
      <c r="BH1" s="429"/>
      <c r="BI1" s="339"/>
      <c r="BJ1" s="429"/>
      <c r="BK1" s="339"/>
      <c r="BL1" s="429"/>
      <c r="BM1" s="339"/>
      <c r="BN1" s="429"/>
      <c r="BO1" s="339"/>
      <c r="BP1" s="429"/>
      <c r="BQ1" s="339"/>
      <c r="BR1" s="429"/>
      <c r="BS1" s="339"/>
      <c r="BT1" s="429"/>
      <c r="BU1" s="339"/>
      <c r="BV1" s="429"/>
      <c r="BW1" s="339"/>
      <c r="BX1" s="429"/>
      <c r="BY1" s="339"/>
      <c r="BZ1" s="429"/>
      <c r="CA1" s="339"/>
      <c r="CB1" s="429"/>
      <c r="CC1" s="339"/>
      <c r="CD1" s="429"/>
      <c r="CE1" s="339"/>
      <c r="CF1" s="429"/>
      <c r="CG1" s="339"/>
      <c r="CH1" s="429"/>
      <c r="CI1" s="339"/>
      <c r="CJ1" s="429"/>
      <c r="CK1" s="339"/>
      <c r="CL1" s="429"/>
      <c r="CM1" s="339"/>
      <c r="CN1" s="429"/>
      <c r="CO1" s="339"/>
      <c r="CP1" s="429"/>
      <c r="CQ1" s="339"/>
      <c r="CR1" s="429"/>
      <c r="CS1" s="339"/>
      <c r="CT1" s="429"/>
      <c r="CU1" s="339"/>
      <c r="CV1" s="429"/>
      <c r="CW1" s="339"/>
      <c r="CX1" s="429"/>
      <c r="CY1" s="339"/>
      <c r="CZ1" s="429"/>
      <c r="DA1" s="339"/>
      <c r="DB1" s="429"/>
      <c r="DC1" s="339"/>
      <c r="DD1" s="429"/>
      <c r="DE1" s="339"/>
      <c r="DF1" s="429"/>
      <c r="DG1" s="339"/>
      <c r="DH1" s="429"/>
      <c r="DI1" s="339"/>
      <c r="DJ1" s="429"/>
      <c r="DK1" s="339"/>
      <c r="DL1" s="429"/>
      <c r="DM1" s="339"/>
      <c r="DN1" s="429"/>
      <c r="DO1" s="339"/>
      <c r="DP1" s="429"/>
      <c r="DQ1" s="339"/>
      <c r="DR1" s="429"/>
      <c r="DS1" s="339"/>
      <c r="DT1" s="429"/>
      <c r="DU1" s="339"/>
      <c r="DV1" s="429"/>
      <c r="DW1" s="339"/>
      <c r="DX1" s="429"/>
      <c r="DY1" s="339"/>
      <c r="DZ1" s="429"/>
      <c r="EA1" s="339"/>
      <c r="EB1" s="429"/>
      <c r="EC1" s="339"/>
      <c r="ED1" s="429"/>
      <c r="EE1" s="339"/>
      <c r="EF1" s="429"/>
      <c r="EG1" s="339"/>
      <c r="EH1" s="429"/>
      <c r="EI1" s="339"/>
      <c r="EJ1" s="429"/>
      <c r="EK1" s="339"/>
      <c r="EL1" s="429"/>
      <c r="EM1" s="339"/>
      <c r="EN1" s="429"/>
      <c r="EO1" s="339"/>
      <c r="EP1" s="429"/>
      <c r="EQ1" s="339"/>
      <c r="ER1" s="429"/>
      <c r="ES1" s="339"/>
      <c r="ET1" s="429"/>
      <c r="EU1" s="339"/>
      <c r="EV1" s="429"/>
      <c r="EW1" s="339"/>
      <c r="EX1" s="429"/>
      <c r="EY1" s="339"/>
      <c r="EZ1" s="429"/>
      <c r="FA1" s="339"/>
      <c r="FB1" s="429"/>
      <c r="FC1" s="339"/>
      <c r="FD1" s="429"/>
      <c r="FE1" s="339"/>
      <c r="FF1" s="429"/>
      <c r="FG1" s="339"/>
      <c r="FH1" s="429"/>
      <c r="FI1" s="339"/>
      <c r="FJ1" s="429"/>
      <c r="FK1" s="339"/>
      <c r="FL1" s="429"/>
      <c r="FM1" s="339"/>
      <c r="FN1" s="429"/>
      <c r="FO1" s="339"/>
      <c r="FP1" s="429"/>
      <c r="FQ1" s="339"/>
      <c r="FR1" s="429"/>
      <c r="FS1" s="339"/>
      <c r="FT1" s="429"/>
      <c r="FU1" s="339"/>
      <c r="FV1" s="429"/>
      <c r="FW1" s="339"/>
      <c r="FX1" s="429"/>
      <c r="FY1" s="339"/>
      <c r="FZ1" s="429"/>
      <c r="GA1" s="339"/>
      <c r="GB1" s="429"/>
      <c r="GC1" s="339"/>
      <c r="GD1" s="429"/>
      <c r="GE1" s="339"/>
      <c r="GF1" s="429"/>
      <c r="GG1" s="339"/>
      <c r="GH1" s="429"/>
      <c r="GI1" s="339"/>
      <c r="GJ1" s="429"/>
      <c r="GK1" s="339"/>
      <c r="GL1" s="429"/>
      <c r="GM1" s="339"/>
      <c r="GN1" s="429"/>
      <c r="GO1" s="339"/>
      <c r="GP1" s="429"/>
      <c r="GQ1" s="339"/>
      <c r="GR1" s="429"/>
      <c r="GS1" s="339"/>
      <c r="GT1" s="429"/>
      <c r="GU1" s="339"/>
      <c r="GV1" s="429"/>
      <c r="GW1" s="339"/>
      <c r="GX1" s="429"/>
      <c r="GY1" s="339"/>
      <c r="GZ1" s="429"/>
      <c r="HA1" s="339"/>
      <c r="HB1" s="429"/>
      <c r="HC1" s="339"/>
      <c r="HD1" s="429"/>
      <c r="HE1" s="339"/>
      <c r="HF1" s="429"/>
      <c r="HG1" s="339"/>
      <c r="HH1" s="429"/>
      <c r="HI1" s="339"/>
      <c r="HJ1" s="429"/>
      <c r="HK1" s="339"/>
      <c r="HL1" s="429"/>
      <c r="HM1" s="339"/>
      <c r="HN1" s="429"/>
      <c r="HO1" s="339"/>
      <c r="HP1" s="429"/>
      <c r="HQ1" s="339"/>
      <c r="HR1" s="429"/>
      <c r="HS1" s="339"/>
      <c r="HT1" s="429"/>
      <c r="HU1" s="339"/>
      <c r="HV1" s="429"/>
      <c r="HW1" s="339"/>
      <c r="HX1" s="429"/>
      <c r="HY1" s="339"/>
      <c r="HZ1" s="429"/>
      <c r="IA1" s="339"/>
      <c r="IB1" s="429"/>
      <c r="IC1" s="339"/>
      <c r="ID1" s="429"/>
      <c r="IE1" s="339"/>
      <c r="IF1" s="429"/>
      <c r="IG1" s="339"/>
      <c r="IH1" s="429"/>
      <c r="II1" s="339"/>
      <c r="IJ1" s="429"/>
      <c r="IK1" s="339"/>
      <c r="IL1" s="429"/>
      <c r="IM1" s="339"/>
      <c r="IN1" s="429"/>
      <c r="IO1" s="339"/>
      <c r="IP1" s="429"/>
      <c r="IQ1" s="339"/>
      <c r="IR1" s="429"/>
      <c r="IS1" s="339"/>
      <c r="IT1" s="429"/>
      <c r="IU1" s="339"/>
      <c r="IV1" s="429"/>
    </row>
    <row r="2" spans="1:256">
      <c r="A2" s="430" t="s">
        <v>946</v>
      </c>
      <c r="B2" s="432" t="s">
        <v>875</v>
      </c>
      <c r="C2" s="433">
        <v>10</v>
      </c>
      <c r="D2" s="432" t="s">
        <v>875</v>
      </c>
      <c r="E2" s="433">
        <v>10</v>
      </c>
      <c r="F2" s="434" t="s">
        <v>878</v>
      </c>
      <c r="G2" s="433">
        <v>44</v>
      </c>
      <c r="H2" s="434" t="s">
        <v>879</v>
      </c>
      <c r="I2" s="433">
        <v>67</v>
      </c>
      <c r="J2" s="434" t="s">
        <v>879</v>
      </c>
      <c r="K2" s="433">
        <v>67</v>
      </c>
      <c r="L2" s="434" t="s">
        <v>880</v>
      </c>
      <c r="M2" s="433">
        <v>14</v>
      </c>
      <c r="N2" s="434"/>
      <c r="O2" s="436"/>
      <c r="P2" s="434" t="s">
        <v>881</v>
      </c>
      <c r="Q2" s="433">
        <v>13</v>
      </c>
      <c r="R2" s="437"/>
    </row>
    <row r="3" spans="1:256">
      <c r="A3" s="430" t="s">
        <v>947</v>
      </c>
      <c r="B3" s="432" t="s">
        <v>875</v>
      </c>
      <c r="C3" s="433">
        <v>20</v>
      </c>
      <c r="D3" s="434" t="s">
        <v>877</v>
      </c>
      <c r="E3" s="433">
        <v>7</v>
      </c>
      <c r="F3" s="434" t="s">
        <v>878</v>
      </c>
      <c r="G3" s="433">
        <v>51</v>
      </c>
      <c r="H3" s="434" t="s">
        <v>879</v>
      </c>
      <c r="I3" s="433">
        <v>73</v>
      </c>
      <c r="J3" s="434" t="s">
        <v>879</v>
      </c>
      <c r="K3" s="433">
        <v>73</v>
      </c>
      <c r="L3" s="434" t="s">
        <v>880</v>
      </c>
      <c r="M3" s="433">
        <v>21</v>
      </c>
      <c r="N3" s="434" t="s">
        <v>881</v>
      </c>
      <c r="O3" s="436">
        <v>8</v>
      </c>
      <c r="P3" s="434" t="s">
        <v>881</v>
      </c>
      <c r="Q3" s="433">
        <v>8</v>
      </c>
      <c r="R3" s="437">
        <v>0.2</v>
      </c>
    </row>
    <row r="4" spans="1:256">
      <c r="A4" s="430" t="s">
        <v>735</v>
      </c>
      <c r="B4" s="432" t="s">
        <v>875</v>
      </c>
      <c r="C4" s="433">
        <v>11</v>
      </c>
      <c r="D4" s="432" t="s">
        <v>875</v>
      </c>
      <c r="E4" s="433">
        <v>11</v>
      </c>
      <c r="F4" s="434" t="s">
        <v>878</v>
      </c>
      <c r="G4" s="433">
        <v>43</v>
      </c>
      <c r="H4" s="434" t="s">
        <v>879</v>
      </c>
      <c r="I4" s="433">
        <v>65</v>
      </c>
      <c r="J4" s="434" t="s">
        <v>879</v>
      </c>
      <c r="K4" s="433">
        <v>65</v>
      </c>
      <c r="L4" s="434" t="s">
        <v>880</v>
      </c>
      <c r="M4" s="433">
        <v>15</v>
      </c>
      <c r="N4" s="434" t="s">
        <v>881</v>
      </c>
      <c r="O4" s="436">
        <v>15</v>
      </c>
      <c r="P4" s="434" t="s">
        <v>881</v>
      </c>
      <c r="Q4" s="433">
        <v>15</v>
      </c>
      <c r="R4" s="437">
        <v>0.2</v>
      </c>
    </row>
    <row r="5" spans="1:256">
      <c r="A5" s="430" t="s">
        <v>948</v>
      </c>
      <c r="B5" s="432" t="s">
        <v>875</v>
      </c>
      <c r="C5" s="433">
        <v>4</v>
      </c>
      <c r="D5" s="434" t="s">
        <v>875</v>
      </c>
      <c r="E5" s="433">
        <v>4</v>
      </c>
      <c r="F5" s="434" t="s">
        <v>878</v>
      </c>
      <c r="G5" s="433">
        <v>46</v>
      </c>
      <c r="H5" s="434" t="s">
        <v>879</v>
      </c>
      <c r="I5" s="433">
        <v>70</v>
      </c>
      <c r="J5" s="434" t="s">
        <v>879</v>
      </c>
      <c r="K5" s="433">
        <v>70</v>
      </c>
      <c r="L5" s="434" t="s">
        <v>880</v>
      </c>
      <c r="M5" s="433">
        <v>14</v>
      </c>
      <c r="N5" s="434" t="s">
        <v>881</v>
      </c>
      <c r="O5" s="436"/>
      <c r="P5" s="434" t="s">
        <v>881</v>
      </c>
      <c r="Q5" s="433">
        <v>13</v>
      </c>
      <c r="R5" s="437">
        <v>0.2</v>
      </c>
    </row>
    <row r="6" spans="1:256" ht="38.25">
      <c r="A6" s="431" t="s">
        <v>949</v>
      </c>
      <c r="B6" s="434" t="s">
        <v>874</v>
      </c>
      <c r="C6" s="433">
        <v>5</v>
      </c>
      <c r="D6" s="434" t="s">
        <v>874</v>
      </c>
      <c r="E6" s="433">
        <v>5</v>
      </c>
      <c r="F6" s="434" t="s">
        <v>878</v>
      </c>
      <c r="G6" s="433">
        <v>57</v>
      </c>
      <c r="H6" s="434" t="s">
        <v>879</v>
      </c>
      <c r="I6" s="433">
        <v>76</v>
      </c>
      <c r="J6" s="434" t="s">
        <v>879</v>
      </c>
      <c r="K6" s="433">
        <v>76</v>
      </c>
      <c r="L6" s="434" t="s">
        <v>880</v>
      </c>
      <c r="M6" s="433">
        <v>16</v>
      </c>
      <c r="N6" s="434"/>
      <c r="O6" s="436"/>
      <c r="P6" s="434" t="s">
        <v>881</v>
      </c>
      <c r="Q6" s="433">
        <v>7</v>
      </c>
      <c r="R6" s="437"/>
    </row>
    <row r="7" spans="1:256">
      <c r="A7" s="430" t="s">
        <v>950</v>
      </c>
      <c r="B7" s="434" t="s">
        <v>874</v>
      </c>
      <c r="C7" s="433">
        <v>6.5</v>
      </c>
      <c r="D7" s="434" t="s">
        <v>874</v>
      </c>
      <c r="E7" s="433">
        <v>6.5</v>
      </c>
      <c r="F7" s="434" t="s">
        <v>878</v>
      </c>
      <c r="G7" s="433">
        <v>55</v>
      </c>
      <c r="H7" s="434" t="s">
        <v>879</v>
      </c>
      <c r="I7" s="433">
        <v>74</v>
      </c>
      <c r="J7" s="434" t="s">
        <v>879</v>
      </c>
      <c r="K7" s="433">
        <v>74</v>
      </c>
      <c r="L7" s="434" t="s">
        <v>880</v>
      </c>
      <c r="M7" s="435">
        <v>16</v>
      </c>
      <c r="N7" s="434"/>
      <c r="O7" s="436"/>
      <c r="P7" s="434" t="s">
        <v>881</v>
      </c>
      <c r="Q7" s="433">
        <v>8</v>
      </c>
      <c r="R7" s="437"/>
    </row>
    <row r="8" spans="1:256">
      <c r="A8" s="430" t="s">
        <v>951</v>
      </c>
      <c r="B8" s="432" t="s">
        <v>875</v>
      </c>
      <c r="C8" s="433">
        <v>13</v>
      </c>
      <c r="D8" s="434" t="s">
        <v>121</v>
      </c>
      <c r="E8" s="433">
        <v>4</v>
      </c>
      <c r="F8" s="434" t="s">
        <v>878</v>
      </c>
      <c r="G8" s="433">
        <v>46</v>
      </c>
      <c r="H8" s="434" t="s">
        <v>879</v>
      </c>
      <c r="I8" s="433">
        <v>68</v>
      </c>
      <c r="J8" s="434" t="s">
        <v>879</v>
      </c>
      <c r="K8" s="433">
        <v>68</v>
      </c>
      <c r="L8" s="434" t="s">
        <v>880</v>
      </c>
      <c r="M8" s="433">
        <v>18</v>
      </c>
      <c r="N8" s="434" t="s">
        <v>881</v>
      </c>
      <c r="O8" s="436"/>
      <c r="P8" s="434" t="s">
        <v>881</v>
      </c>
      <c r="Q8" s="433">
        <v>18</v>
      </c>
      <c r="R8" s="437">
        <v>0.2</v>
      </c>
    </row>
    <row r="9" spans="1:256">
      <c r="A9" s="430" t="s">
        <v>952</v>
      </c>
      <c r="B9" s="434" t="s">
        <v>876</v>
      </c>
      <c r="C9" s="433">
        <v>8.5</v>
      </c>
      <c r="D9" s="434" t="s">
        <v>876</v>
      </c>
      <c r="E9" s="433">
        <v>8.5</v>
      </c>
      <c r="F9" s="434" t="s">
        <v>878</v>
      </c>
      <c r="G9" s="433">
        <v>54</v>
      </c>
      <c r="H9" s="434" t="s">
        <v>879</v>
      </c>
      <c r="I9" s="433">
        <v>78</v>
      </c>
      <c r="J9" s="434" t="s">
        <v>879</v>
      </c>
      <c r="K9" s="433">
        <v>78</v>
      </c>
      <c r="L9" s="434" t="s">
        <v>880</v>
      </c>
      <c r="M9" s="433">
        <v>18</v>
      </c>
      <c r="N9" s="434" t="s">
        <v>881</v>
      </c>
      <c r="O9" s="436">
        <v>6</v>
      </c>
      <c r="P9" s="434" t="s">
        <v>881</v>
      </c>
      <c r="Q9" s="433">
        <v>6</v>
      </c>
      <c r="R9" s="437">
        <v>0.2</v>
      </c>
    </row>
    <row r="10" spans="1:256">
      <c r="A10" s="430" t="s">
        <v>953</v>
      </c>
      <c r="B10" s="434" t="s">
        <v>874</v>
      </c>
      <c r="C10" s="433">
        <v>8</v>
      </c>
      <c r="D10" s="434" t="s">
        <v>874</v>
      </c>
      <c r="E10" s="433">
        <v>8</v>
      </c>
      <c r="F10" s="434" t="s">
        <v>878</v>
      </c>
      <c r="G10" s="433">
        <v>48</v>
      </c>
      <c r="H10" s="434" t="s">
        <v>879</v>
      </c>
      <c r="I10" s="433">
        <v>71</v>
      </c>
      <c r="J10" s="434" t="s">
        <v>879</v>
      </c>
      <c r="K10" s="433">
        <v>71</v>
      </c>
      <c r="L10" s="434" t="s">
        <v>880</v>
      </c>
      <c r="M10" s="433">
        <v>18</v>
      </c>
      <c r="N10" s="434"/>
      <c r="O10" s="436"/>
      <c r="P10" s="434" t="s">
        <v>881</v>
      </c>
      <c r="Q10" s="433">
        <v>9</v>
      </c>
      <c r="R10" s="437"/>
    </row>
    <row r="11" spans="1:256">
      <c r="A11" s="430" t="s">
        <v>954</v>
      </c>
      <c r="B11" s="432" t="s">
        <v>875</v>
      </c>
      <c r="C11" s="433">
        <v>17</v>
      </c>
      <c r="D11" s="434" t="s">
        <v>877</v>
      </c>
      <c r="E11" s="433">
        <v>5</v>
      </c>
      <c r="F11" s="434" t="s">
        <v>878</v>
      </c>
      <c r="G11" s="433">
        <v>48</v>
      </c>
      <c r="H11" s="434" t="s">
        <v>879</v>
      </c>
      <c r="I11" s="433">
        <v>69</v>
      </c>
      <c r="J11" s="434" t="s">
        <v>879</v>
      </c>
      <c r="K11" s="433">
        <v>69</v>
      </c>
      <c r="L11" s="434" t="s">
        <v>880</v>
      </c>
      <c r="M11" s="433">
        <v>19</v>
      </c>
      <c r="N11" s="434" t="s">
        <v>881</v>
      </c>
      <c r="O11" s="436">
        <v>10</v>
      </c>
      <c r="P11" s="434" t="s">
        <v>881</v>
      </c>
      <c r="Q11" s="433">
        <v>10</v>
      </c>
      <c r="R11" s="437">
        <v>0.2</v>
      </c>
    </row>
    <row r="12" spans="1:256">
      <c r="A12" s="430" t="s">
        <v>955</v>
      </c>
      <c r="B12" s="432" t="s">
        <v>875</v>
      </c>
      <c r="C12" s="433">
        <v>6</v>
      </c>
      <c r="D12" s="434" t="s">
        <v>875</v>
      </c>
      <c r="E12" s="433">
        <v>6</v>
      </c>
      <c r="F12" s="434" t="s">
        <v>878</v>
      </c>
      <c r="G12" s="433">
        <v>41</v>
      </c>
      <c r="H12" s="434" t="s">
        <v>879</v>
      </c>
      <c r="I12" s="433">
        <v>65</v>
      </c>
      <c r="J12" s="434" t="s">
        <v>879</v>
      </c>
      <c r="K12" s="433">
        <v>65</v>
      </c>
      <c r="L12" s="434" t="s">
        <v>880</v>
      </c>
      <c r="M12" s="433">
        <v>10</v>
      </c>
      <c r="N12" s="434"/>
      <c r="O12" s="436"/>
      <c r="P12" s="434" t="s">
        <v>881</v>
      </c>
      <c r="Q12" s="433">
        <v>19</v>
      </c>
      <c r="R12" s="437"/>
    </row>
    <row r="13" spans="1:256">
      <c r="A13" s="430" t="s">
        <v>956</v>
      </c>
      <c r="B13" s="434" t="s">
        <v>874</v>
      </c>
      <c r="C13" s="433">
        <v>8</v>
      </c>
      <c r="D13" s="434" t="s">
        <v>874</v>
      </c>
      <c r="E13" s="433">
        <v>6</v>
      </c>
      <c r="F13" s="434" t="s">
        <v>878</v>
      </c>
      <c r="G13" s="433">
        <v>51</v>
      </c>
      <c r="H13" s="434" t="s">
        <v>879</v>
      </c>
      <c r="I13" s="433">
        <v>73</v>
      </c>
      <c r="J13" s="434" t="s">
        <v>879</v>
      </c>
      <c r="K13" s="433">
        <v>73</v>
      </c>
      <c r="L13" s="434" t="s">
        <v>880</v>
      </c>
      <c r="M13" s="433">
        <v>18</v>
      </c>
      <c r="N13" s="434" t="s">
        <v>881</v>
      </c>
      <c r="O13" s="436">
        <v>7</v>
      </c>
      <c r="P13" s="434" t="s">
        <v>881</v>
      </c>
      <c r="Q13" s="433">
        <v>7</v>
      </c>
      <c r="R13" s="437">
        <v>0.2</v>
      </c>
    </row>
    <row r="14" spans="1:256">
      <c r="A14" s="430" t="s">
        <v>957</v>
      </c>
      <c r="B14" s="434" t="s">
        <v>875</v>
      </c>
      <c r="C14" s="433">
        <v>19</v>
      </c>
      <c r="D14" s="434" t="s">
        <v>877</v>
      </c>
      <c r="E14" s="433">
        <v>4</v>
      </c>
      <c r="F14" s="434" t="s">
        <v>878</v>
      </c>
      <c r="G14" s="433">
        <v>50</v>
      </c>
      <c r="H14" s="434" t="s">
        <v>879</v>
      </c>
      <c r="I14" s="433">
        <v>71</v>
      </c>
      <c r="J14" s="434" t="s">
        <v>879</v>
      </c>
      <c r="K14" s="433">
        <v>71</v>
      </c>
      <c r="L14" s="434" t="s">
        <v>880</v>
      </c>
      <c r="M14" s="433">
        <v>21</v>
      </c>
      <c r="N14" s="434"/>
      <c r="O14" s="436"/>
      <c r="P14" s="434" t="s">
        <v>881</v>
      </c>
      <c r="Q14" s="433">
        <v>8</v>
      </c>
      <c r="R14" s="437"/>
    </row>
    <row r="15" spans="1:256">
      <c r="A15" s="430" t="s">
        <v>958</v>
      </c>
      <c r="B15" s="434" t="s">
        <v>875</v>
      </c>
      <c r="C15" s="433">
        <v>19</v>
      </c>
      <c r="D15" s="434" t="s">
        <v>877</v>
      </c>
      <c r="E15" s="433">
        <v>6</v>
      </c>
      <c r="F15" s="434" t="s">
        <v>878</v>
      </c>
      <c r="G15" s="433">
        <v>50</v>
      </c>
      <c r="H15" s="434" t="s">
        <v>879</v>
      </c>
      <c r="I15" s="433">
        <v>72</v>
      </c>
      <c r="J15" s="434" t="s">
        <v>879</v>
      </c>
      <c r="K15" s="433">
        <v>72</v>
      </c>
      <c r="L15" s="434" t="s">
        <v>880</v>
      </c>
      <c r="M15" s="433">
        <v>20</v>
      </c>
      <c r="N15" s="434" t="s">
        <v>881</v>
      </c>
      <c r="O15" s="436">
        <v>8</v>
      </c>
      <c r="P15" s="434" t="s">
        <v>881</v>
      </c>
      <c r="Q15" s="433">
        <v>8</v>
      </c>
      <c r="R15" s="437">
        <v>0.2</v>
      </c>
    </row>
    <row r="16" spans="1:256">
      <c r="A16" s="430" t="s">
        <v>959</v>
      </c>
      <c r="B16" s="434" t="s">
        <v>874</v>
      </c>
      <c r="C16" s="433">
        <v>6</v>
      </c>
      <c r="D16" s="434" t="s">
        <v>874</v>
      </c>
      <c r="E16" s="433">
        <v>6</v>
      </c>
      <c r="F16" s="434" t="s">
        <v>878</v>
      </c>
      <c r="G16" s="433">
        <v>53</v>
      </c>
      <c r="H16" s="434" t="s">
        <v>879</v>
      </c>
      <c r="I16" s="433">
        <v>75</v>
      </c>
      <c r="J16" s="434" t="s">
        <v>879</v>
      </c>
      <c r="K16" s="433">
        <v>75</v>
      </c>
      <c r="L16" s="434" t="s">
        <v>880</v>
      </c>
      <c r="M16" s="433">
        <v>20</v>
      </c>
      <c r="N16" s="434"/>
      <c r="O16" s="436"/>
      <c r="P16" s="434" t="s">
        <v>881</v>
      </c>
      <c r="Q16" s="433">
        <v>17</v>
      </c>
      <c r="R16" s="437"/>
    </row>
    <row r="17" spans="1:18">
      <c r="A17" s="430" t="s">
        <v>960</v>
      </c>
      <c r="B17" s="434" t="s">
        <v>875</v>
      </c>
      <c r="C17" s="433">
        <v>10</v>
      </c>
      <c r="D17" s="434" t="s">
        <v>875</v>
      </c>
      <c r="E17" s="433">
        <v>10</v>
      </c>
      <c r="F17" s="434" t="s">
        <v>878</v>
      </c>
      <c r="G17" s="433">
        <v>45</v>
      </c>
      <c r="H17" s="434" t="s">
        <v>879</v>
      </c>
      <c r="I17" s="433">
        <v>68</v>
      </c>
      <c r="J17" s="434" t="s">
        <v>879</v>
      </c>
      <c r="K17" s="433">
        <v>68</v>
      </c>
      <c r="L17" s="434" t="s">
        <v>880</v>
      </c>
      <c r="M17" s="433">
        <v>13</v>
      </c>
      <c r="N17" s="434" t="s">
        <v>882</v>
      </c>
      <c r="O17" s="433">
        <v>13.5</v>
      </c>
      <c r="P17" s="434" t="s">
        <v>881</v>
      </c>
      <c r="Q17" s="433">
        <v>12</v>
      </c>
      <c r="R17" s="438">
        <v>0.2</v>
      </c>
    </row>
    <row r="18" spans="1:18">
      <c r="A18" s="430" t="s">
        <v>961</v>
      </c>
      <c r="B18" s="434" t="s">
        <v>875</v>
      </c>
      <c r="C18" s="433">
        <v>4</v>
      </c>
      <c r="D18" s="434" t="s">
        <v>875</v>
      </c>
      <c r="E18" s="433">
        <v>4</v>
      </c>
      <c r="F18" s="434" t="s">
        <v>878</v>
      </c>
      <c r="G18" s="433">
        <v>47</v>
      </c>
      <c r="H18" s="434" t="s">
        <v>879</v>
      </c>
      <c r="I18" s="433">
        <v>71</v>
      </c>
      <c r="J18" s="434" t="s">
        <v>879</v>
      </c>
      <c r="K18" s="433">
        <v>71</v>
      </c>
      <c r="L18" s="434" t="s">
        <v>880</v>
      </c>
      <c r="M18" s="433">
        <v>15</v>
      </c>
      <c r="N18" s="434" t="s">
        <v>881</v>
      </c>
      <c r="O18" s="436">
        <v>23</v>
      </c>
      <c r="P18" s="434" t="s">
        <v>881</v>
      </c>
      <c r="Q18" s="433">
        <v>13</v>
      </c>
      <c r="R18" s="437">
        <v>0.2</v>
      </c>
    </row>
    <row r="19" spans="1:18">
      <c r="A19" s="430" t="s">
        <v>962</v>
      </c>
      <c r="B19" s="434" t="s">
        <v>875</v>
      </c>
      <c r="C19" s="433">
        <v>8</v>
      </c>
      <c r="D19" s="434" t="s">
        <v>875</v>
      </c>
      <c r="E19" s="433">
        <v>8</v>
      </c>
      <c r="F19" s="434" t="s">
        <v>878</v>
      </c>
      <c r="G19" s="433">
        <v>43</v>
      </c>
      <c r="H19" s="434" t="s">
        <v>879</v>
      </c>
      <c r="I19" s="433">
        <v>67</v>
      </c>
      <c r="J19" s="434" t="s">
        <v>879</v>
      </c>
      <c r="K19" s="433">
        <v>67</v>
      </c>
      <c r="L19" s="434" t="s">
        <v>880</v>
      </c>
      <c r="M19" s="433">
        <v>12</v>
      </c>
      <c r="N19" s="434"/>
      <c r="O19" s="436"/>
      <c r="P19" s="434" t="s">
        <v>881</v>
      </c>
      <c r="Q19" s="433">
        <v>18</v>
      </c>
      <c r="R19" s="437"/>
    </row>
    <row r="20" spans="1:18">
      <c r="A20" s="430" t="s">
        <v>963</v>
      </c>
      <c r="B20" s="434" t="s">
        <v>875</v>
      </c>
      <c r="C20" s="433">
        <v>5</v>
      </c>
      <c r="D20" s="434" t="s">
        <v>875</v>
      </c>
      <c r="E20" s="433">
        <v>5</v>
      </c>
      <c r="F20" s="434" t="s">
        <v>878</v>
      </c>
      <c r="G20" s="433">
        <v>48</v>
      </c>
      <c r="H20" s="434" t="s">
        <v>879</v>
      </c>
      <c r="I20" s="433">
        <v>72</v>
      </c>
      <c r="J20" s="434" t="s">
        <v>879</v>
      </c>
      <c r="K20" s="433">
        <v>72</v>
      </c>
      <c r="L20" s="434" t="s">
        <v>880</v>
      </c>
      <c r="M20" s="433">
        <v>16</v>
      </c>
      <c r="N20" s="434" t="s">
        <v>881</v>
      </c>
      <c r="O20" s="436">
        <v>24</v>
      </c>
      <c r="P20" s="434" t="s">
        <v>881</v>
      </c>
      <c r="Q20" s="433">
        <v>14</v>
      </c>
      <c r="R20" s="437">
        <v>0.2</v>
      </c>
    </row>
    <row r="21" spans="1:18">
      <c r="A21" s="430" t="s">
        <v>964</v>
      </c>
      <c r="B21" s="434" t="s">
        <v>875</v>
      </c>
      <c r="C21" s="433">
        <v>18</v>
      </c>
      <c r="D21" s="434" t="s">
        <v>875</v>
      </c>
      <c r="E21" s="433">
        <v>18</v>
      </c>
      <c r="F21" s="434" t="s">
        <v>878</v>
      </c>
      <c r="G21" s="433">
        <v>52</v>
      </c>
      <c r="H21" s="434" t="s">
        <v>879</v>
      </c>
      <c r="I21" s="433">
        <v>74</v>
      </c>
      <c r="J21" s="434" t="s">
        <v>879</v>
      </c>
      <c r="K21" s="433">
        <v>74</v>
      </c>
      <c r="L21" s="434" t="s">
        <v>880</v>
      </c>
      <c r="M21" s="433">
        <v>22</v>
      </c>
      <c r="N21" s="434" t="s">
        <v>881</v>
      </c>
      <c r="O21" s="436">
        <v>10</v>
      </c>
      <c r="P21" s="434" t="s">
        <v>881</v>
      </c>
      <c r="Q21" s="433">
        <v>10</v>
      </c>
      <c r="R21" s="437">
        <v>0.2</v>
      </c>
    </row>
    <row r="22" spans="1:18">
      <c r="A22" s="430" t="s">
        <v>965</v>
      </c>
      <c r="B22" s="434" t="s">
        <v>875</v>
      </c>
      <c r="C22" s="433">
        <v>13</v>
      </c>
      <c r="D22" s="434" t="s">
        <v>877</v>
      </c>
      <c r="E22" s="433">
        <v>6</v>
      </c>
      <c r="F22" s="434" t="s">
        <v>878</v>
      </c>
      <c r="G22" s="433">
        <v>47</v>
      </c>
      <c r="H22" s="434" t="s">
        <v>879</v>
      </c>
      <c r="I22" s="433">
        <v>68</v>
      </c>
      <c r="J22" s="434" t="s">
        <v>879</v>
      </c>
      <c r="K22" s="433">
        <v>68</v>
      </c>
      <c r="L22" s="434" t="s">
        <v>880</v>
      </c>
      <c r="M22" s="433">
        <v>18</v>
      </c>
      <c r="N22" s="434" t="s">
        <v>881</v>
      </c>
      <c r="O22" s="436">
        <v>11</v>
      </c>
      <c r="P22" s="434" t="s">
        <v>881</v>
      </c>
      <c r="Q22" s="433">
        <v>11</v>
      </c>
      <c r="R22" s="437">
        <v>0.2</v>
      </c>
    </row>
    <row r="23" spans="1:18">
      <c r="A23" s="430" t="s">
        <v>966</v>
      </c>
      <c r="B23" s="434" t="s">
        <v>875</v>
      </c>
      <c r="C23" s="433">
        <v>14</v>
      </c>
      <c r="D23" s="434" t="s">
        <v>877</v>
      </c>
      <c r="E23" s="433">
        <v>5</v>
      </c>
      <c r="F23" s="434" t="s">
        <v>878</v>
      </c>
      <c r="G23" s="433">
        <v>48</v>
      </c>
      <c r="H23" s="434" t="s">
        <v>879</v>
      </c>
      <c r="I23" s="433">
        <v>69</v>
      </c>
      <c r="J23" s="434" t="s">
        <v>879</v>
      </c>
      <c r="K23" s="433">
        <v>69</v>
      </c>
      <c r="L23" s="434" t="s">
        <v>880</v>
      </c>
      <c r="M23" s="433">
        <v>19</v>
      </c>
      <c r="N23" s="434"/>
      <c r="O23" s="436"/>
      <c r="P23" s="434" t="s">
        <v>881</v>
      </c>
      <c r="Q23" s="433">
        <v>12</v>
      </c>
      <c r="R23" s="437"/>
    </row>
    <row r="24" spans="1:18">
      <c r="A24" s="430" t="s">
        <v>967</v>
      </c>
      <c r="B24" s="434" t="s">
        <v>876</v>
      </c>
      <c r="C24" s="433">
        <v>4</v>
      </c>
      <c r="D24" s="434" t="s">
        <v>876</v>
      </c>
      <c r="E24" s="433">
        <v>4</v>
      </c>
      <c r="F24" s="434" t="s">
        <v>878</v>
      </c>
      <c r="G24" s="433">
        <v>53</v>
      </c>
      <c r="H24" s="434" t="s">
        <v>879</v>
      </c>
      <c r="I24" s="433">
        <v>75</v>
      </c>
      <c r="J24" s="434" t="s">
        <v>879</v>
      </c>
      <c r="K24" s="433">
        <v>75</v>
      </c>
      <c r="L24" s="434" t="s">
        <v>880</v>
      </c>
      <c r="M24" s="433">
        <v>20</v>
      </c>
      <c r="N24" s="434"/>
      <c r="O24" s="436"/>
      <c r="P24" s="434" t="s">
        <v>881</v>
      </c>
      <c r="Q24" s="433">
        <v>5</v>
      </c>
      <c r="R24" s="437"/>
    </row>
    <row r="25" spans="1:18">
      <c r="A25" s="430" t="s">
        <v>968</v>
      </c>
      <c r="B25" s="432" t="s">
        <v>874</v>
      </c>
      <c r="C25" s="433">
        <v>7</v>
      </c>
      <c r="D25" s="434" t="s">
        <v>874</v>
      </c>
      <c r="E25" s="433">
        <v>7</v>
      </c>
      <c r="F25" s="434" t="s">
        <v>878</v>
      </c>
      <c r="G25" s="433">
        <v>57</v>
      </c>
      <c r="H25" s="434" t="s">
        <v>879</v>
      </c>
      <c r="I25" s="433">
        <v>76</v>
      </c>
      <c r="J25" s="434" t="s">
        <v>879</v>
      </c>
      <c r="K25" s="433">
        <v>76</v>
      </c>
      <c r="L25" s="434" t="s">
        <v>880</v>
      </c>
      <c r="M25" s="433">
        <v>16</v>
      </c>
      <c r="N25" s="434"/>
      <c r="O25" s="436"/>
      <c r="P25" s="434" t="s">
        <v>881</v>
      </c>
      <c r="Q25" s="433">
        <v>7</v>
      </c>
      <c r="R25" s="437"/>
    </row>
    <row r="26" spans="1:18">
      <c r="A26" s="430" t="s">
        <v>969</v>
      </c>
      <c r="B26" s="434" t="s">
        <v>875</v>
      </c>
      <c r="C26" s="433">
        <v>6</v>
      </c>
      <c r="D26" s="434" t="s">
        <v>875</v>
      </c>
      <c r="E26" s="433">
        <v>6</v>
      </c>
      <c r="F26" s="434" t="s">
        <v>878</v>
      </c>
      <c r="G26" s="433">
        <v>41</v>
      </c>
      <c r="H26" s="434" t="s">
        <v>879</v>
      </c>
      <c r="I26" s="433">
        <v>65</v>
      </c>
      <c r="J26" s="434" t="s">
        <v>879</v>
      </c>
      <c r="K26" s="433">
        <v>65</v>
      </c>
      <c r="L26" s="434" t="s">
        <v>880</v>
      </c>
      <c r="M26" s="433">
        <v>10</v>
      </c>
      <c r="N26" s="434" t="s">
        <v>881</v>
      </c>
      <c r="O26" s="436">
        <v>19</v>
      </c>
      <c r="P26" s="434" t="s">
        <v>881</v>
      </c>
      <c r="Q26" s="433">
        <v>19</v>
      </c>
      <c r="R26" s="437">
        <v>0.2</v>
      </c>
    </row>
    <row r="27" spans="1:18">
      <c r="A27" s="430" t="s">
        <v>970</v>
      </c>
      <c r="B27" s="434" t="s">
        <v>875</v>
      </c>
      <c r="C27" s="433">
        <v>12</v>
      </c>
      <c r="D27" s="434" t="s">
        <v>877</v>
      </c>
      <c r="E27" s="433">
        <v>7</v>
      </c>
      <c r="F27" s="434" t="s">
        <v>878</v>
      </c>
      <c r="G27" s="433">
        <v>46</v>
      </c>
      <c r="H27" s="434" t="s">
        <v>879</v>
      </c>
      <c r="I27" s="433">
        <v>67</v>
      </c>
      <c r="J27" s="434" t="s">
        <v>879</v>
      </c>
      <c r="K27" s="433">
        <v>67</v>
      </c>
      <c r="L27" s="434" t="s">
        <v>880</v>
      </c>
      <c r="M27" s="433">
        <v>17</v>
      </c>
      <c r="N27" s="434"/>
      <c r="O27" s="436"/>
      <c r="P27" s="434" t="s">
        <v>881</v>
      </c>
      <c r="Q27" s="433">
        <v>12</v>
      </c>
      <c r="R27" s="437"/>
    </row>
    <row r="28" spans="1:18">
      <c r="E28" s="6"/>
      <c r="G28" s="6"/>
      <c r="I28" s="6"/>
      <c r="K28" s="6"/>
      <c r="M28" s="6"/>
    </row>
    <row r="29" spans="1:18">
      <c r="K29" s="6"/>
      <c r="M29" s="6"/>
    </row>
    <row r="30" spans="1:18">
      <c r="K30" s="6"/>
      <c r="M30" s="6"/>
    </row>
    <row r="31" spans="1:18">
      <c r="K31" s="6"/>
      <c r="M31" s="6"/>
    </row>
    <row r="32" spans="1:18">
      <c r="K32" s="6"/>
      <c r="M32" s="6"/>
    </row>
  </sheetData>
  <sheetProtection password="B1B1" sheet="1"/>
  <phoneticPr fontId="4" type="noConversion"/>
  <pageMargins left="0.75" right="0.75" top="1" bottom="1" header="0.5" footer="0.5"/>
  <headerFooter alignWithMargins="0"/>
</worksheet>
</file>

<file path=xl/worksheets/sheet21.xml><?xml version="1.0" encoding="utf-8"?>
<worksheet xmlns="http://schemas.openxmlformats.org/spreadsheetml/2006/main" xmlns:r="http://schemas.openxmlformats.org/officeDocument/2006/relationships">
  <sheetPr>
    <tabColor rgb="FF00B0F0"/>
  </sheetPr>
  <dimension ref="A1:R1140"/>
  <sheetViews>
    <sheetView view="pageBreakPreview" zoomScaleNormal="70" zoomScaleSheetLayoutView="100" workbookViewId="0">
      <pane ySplit="5" topLeftCell="A1123" activePane="bottomLeft" state="frozen"/>
      <selection activeCell="B32" sqref="B32"/>
      <selection pane="bottomLeft" activeCell="B32" sqref="B32"/>
    </sheetView>
  </sheetViews>
  <sheetFormatPr defaultColWidth="13.85546875" defaultRowHeight="16.5"/>
  <cols>
    <col min="1" max="1" width="8.7109375" style="243" customWidth="1"/>
    <col min="2" max="2" width="4.7109375" style="1081" customWidth="1"/>
    <col min="3" max="3" width="48" style="249" customWidth="1"/>
    <col min="4" max="4" width="6.85546875" style="250" customWidth="1"/>
    <col min="5" max="5" width="9.28515625" style="251" customWidth="1"/>
    <col min="6" max="6" width="8.7109375" style="251" customWidth="1"/>
    <col min="7" max="7" width="9.140625" style="252" bestFit="1" customWidth="1"/>
    <col min="8" max="8" width="8.42578125" style="381" customWidth="1"/>
    <col min="9" max="9" width="9" style="381" customWidth="1"/>
    <col min="10" max="10" width="8.85546875" style="381" customWidth="1"/>
    <col min="11" max="12" width="9.140625" style="381" customWidth="1"/>
    <col min="13" max="13" width="9.85546875" style="381" customWidth="1"/>
    <col min="14" max="15" width="8" style="381" customWidth="1"/>
    <col min="16" max="16" width="9" style="381" customWidth="1"/>
    <col min="17" max="17" width="9.85546875" style="381" customWidth="1"/>
    <col min="18" max="16384" width="13.85546875" style="245"/>
  </cols>
  <sheetData>
    <row r="1" spans="1:17" ht="15" customHeight="1">
      <c r="B1" s="1402" t="s">
        <v>791</v>
      </c>
      <c r="C1" s="1402"/>
      <c r="D1" s="1402"/>
      <c r="E1" s="1402"/>
      <c r="F1" s="1402"/>
      <c r="G1" s="244"/>
      <c r="H1" s="245"/>
      <c r="I1" s="245"/>
      <c r="J1" s="245"/>
      <c r="K1" s="245"/>
      <c r="L1" s="245"/>
      <c r="M1" s="245"/>
      <c r="N1" s="245"/>
      <c r="O1" s="245"/>
      <c r="P1" s="245"/>
      <c r="Q1" s="245"/>
    </row>
    <row r="2" spans="1:17" ht="15" customHeight="1">
      <c r="C2" s="383" t="s">
        <v>792</v>
      </c>
      <c r="D2" s="382">
        <v>0</v>
      </c>
      <c r="E2" s="1081"/>
      <c r="F2" s="1081"/>
      <c r="G2" s="244"/>
      <c r="H2" s="245"/>
      <c r="I2" s="245"/>
      <c r="J2" s="245"/>
      <c r="K2" s="245"/>
      <c r="L2" s="245"/>
      <c r="M2" s="245"/>
      <c r="N2" s="245"/>
      <c r="O2" s="245"/>
      <c r="P2" s="245"/>
      <c r="Q2" s="245"/>
    </row>
    <row r="3" spans="1:17" ht="15" customHeight="1">
      <c r="C3" s="384" t="s">
        <v>793</v>
      </c>
      <c r="D3" s="382">
        <v>0</v>
      </c>
      <c r="E3" s="1081"/>
      <c r="F3" s="1081"/>
      <c r="G3" s="244"/>
      <c r="H3" s="245"/>
      <c r="I3" s="245"/>
      <c r="J3" s="245"/>
      <c r="K3" s="245"/>
      <c r="L3" s="245"/>
      <c r="M3" s="245"/>
      <c r="N3" s="245"/>
      <c r="O3" s="245"/>
      <c r="P3" s="245"/>
      <c r="Q3" s="245"/>
    </row>
    <row r="4" spans="1:17" s="476" customFormat="1" ht="51" customHeight="1">
      <c r="A4" s="476" t="s">
        <v>152</v>
      </c>
      <c r="B4" s="477" t="s">
        <v>425</v>
      </c>
      <c r="C4" s="476" t="s">
        <v>426</v>
      </c>
      <c r="D4" s="476" t="s">
        <v>155</v>
      </c>
      <c r="E4" s="478" t="s">
        <v>100</v>
      </c>
      <c r="F4" s="478" t="s">
        <v>157</v>
      </c>
      <c r="G4" s="479" t="s">
        <v>633</v>
      </c>
      <c r="H4" s="1042" t="s">
        <v>795</v>
      </c>
      <c r="I4" s="1042" t="s">
        <v>796</v>
      </c>
      <c r="J4" s="1042" t="s">
        <v>797</v>
      </c>
      <c r="K4" s="1042" t="s">
        <v>798</v>
      </c>
      <c r="L4" s="1042" t="s">
        <v>859</v>
      </c>
      <c r="M4" s="1042" t="s">
        <v>1034</v>
      </c>
      <c r="N4" s="1042" t="s">
        <v>800</v>
      </c>
      <c r="O4" s="1042" t="s">
        <v>855</v>
      </c>
      <c r="P4" s="1042" t="s">
        <v>801</v>
      </c>
      <c r="Q4" s="1042" t="s">
        <v>790</v>
      </c>
    </row>
    <row r="5" spans="1:17" s="246" customFormat="1" ht="15" customHeight="1">
      <c r="B5" s="246">
        <v>1</v>
      </c>
      <c r="C5" s="246">
        <v>2</v>
      </c>
      <c r="D5" s="246">
        <v>3</v>
      </c>
      <c r="E5" s="247">
        <v>4</v>
      </c>
      <c r="F5" s="247">
        <v>5</v>
      </c>
      <c r="G5" s="247">
        <v>6</v>
      </c>
      <c r="H5" s="1043"/>
      <c r="I5" s="1043"/>
      <c r="J5" s="1043"/>
      <c r="K5" s="1043"/>
      <c r="L5" s="1043"/>
      <c r="M5" s="1043"/>
      <c r="N5" s="1043"/>
      <c r="O5" s="1043"/>
      <c r="P5" s="1043"/>
      <c r="Q5" s="1043"/>
    </row>
    <row r="6" spans="1:17" s="1080" customFormat="1" ht="27" customHeight="1">
      <c r="B6" s="283">
        <v>1</v>
      </c>
      <c r="C6" s="1080" t="s">
        <v>1032</v>
      </c>
      <c r="D6" s="1080" t="s">
        <v>427</v>
      </c>
      <c r="E6" s="284" t="s">
        <v>101</v>
      </c>
      <c r="F6" s="284" t="s">
        <v>102</v>
      </c>
      <c r="G6" s="285"/>
      <c r="H6" s="1042"/>
      <c r="I6" s="1042"/>
      <c r="J6" s="1042"/>
      <c r="K6" s="1042"/>
      <c r="L6" s="1042"/>
      <c r="M6" s="1042"/>
      <c r="N6" s="1042"/>
      <c r="O6" s="1042"/>
      <c r="P6" s="1042"/>
      <c r="Q6" s="1042"/>
    </row>
    <row r="7" spans="1:17" s="248" customFormat="1" ht="18" customHeight="1">
      <c r="B7" s="286"/>
      <c r="C7" s="1082" t="s">
        <v>1029</v>
      </c>
      <c r="D7" s="287">
        <v>0.48</v>
      </c>
      <c r="E7" s="287">
        <f>'lead 1'!M17</f>
        <v>1989.2</v>
      </c>
      <c r="F7" s="287">
        <f>ROUND(D7*E7,2)</f>
        <v>954.82</v>
      </c>
      <c r="G7" s="288"/>
    </row>
    <row r="8" spans="1:17" s="248" customFormat="1" ht="18" customHeight="1">
      <c r="B8" s="286"/>
      <c r="C8" s="1082" t="s">
        <v>1028</v>
      </c>
      <c r="D8" s="287">
        <v>0.12</v>
      </c>
      <c r="E8" s="287">
        <f>'lead 1'!M18</f>
        <v>1729.2</v>
      </c>
      <c r="F8" s="287">
        <f>ROUND(D8*E8,2)</f>
        <v>207.5</v>
      </c>
      <c r="G8" s="288"/>
      <c r="H8" s="361"/>
      <c r="I8" s="361"/>
      <c r="J8" s="361"/>
      <c r="K8" s="361"/>
      <c r="L8" s="361"/>
      <c r="M8" s="361"/>
      <c r="N8" s="361"/>
      <c r="O8" s="361"/>
      <c r="P8" s="361"/>
      <c r="Q8" s="361"/>
    </row>
    <row r="9" spans="1:17" s="248" customFormat="1" ht="18" hidden="1" customHeight="1">
      <c r="B9" s="286"/>
      <c r="C9" s="1082" t="s">
        <v>1030</v>
      </c>
      <c r="D9" s="287">
        <v>0.15</v>
      </c>
      <c r="E9" s="287">
        <f>'lead 1'!M19</f>
        <v>1569.2</v>
      </c>
      <c r="F9" s="287"/>
      <c r="G9" s="288"/>
      <c r="H9" s="361"/>
      <c r="I9" s="361"/>
      <c r="J9" s="361"/>
      <c r="K9" s="361"/>
      <c r="L9" s="361"/>
      <c r="M9" s="361"/>
      <c r="N9" s="361"/>
      <c r="O9" s="361"/>
      <c r="P9" s="361"/>
      <c r="Q9" s="361"/>
    </row>
    <row r="10" spans="1:17" s="248" customFormat="1" ht="18" hidden="1" customHeight="1">
      <c r="B10" s="286"/>
      <c r="C10" s="1082" t="s">
        <v>1031</v>
      </c>
      <c r="D10" s="287">
        <v>0.1</v>
      </c>
      <c r="E10" s="287">
        <f>'lead 1'!M20</f>
        <v>1374.2</v>
      </c>
      <c r="F10" s="287"/>
      <c r="G10" s="288"/>
      <c r="H10" s="361"/>
      <c r="I10" s="361"/>
      <c r="J10" s="361"/>
      <c r="K10" s="361"/>
      <c r="L10" s="361"/>
      <c r="M10" s="361"/>
      <c r="N10" s="361"/>
      <c r="O10" s="361"/>
      <c r="P10" s="361"/>
      <c r="Q10" s="361"/>
    </row>
    <row r="11" spans="1:17" s="248" customFormat="1" ht="18" customHeight="1">
      <c r="B11" s="286"/>
      <c r="C11" s="1082" t="s">
        <v>1030</v>
      </c>
      <c r="D11" s="287">
        <v>0.12</v>
      </c>
      <c r="E11" s="287">
        <f>'lead 1'!M19</f>
        <v>1569.2</v>
      </c>
      <c r="F11" s="287">
        <f>ROUND(D11*E11,2)</f>
        <v>188.3</v>
      </c>
      <c r="G11" s="288"/>
      <c r="H11" s="361"/>
      <c r="I11" s="361"/>
      <c r="J11" s="361"/>
      <c r="K11" s="361"/>
      <c r="L11" s="361"/>
      <c r="M11" s="361"/>
      <c r="N11" s="361"/>
      <c r="O11" s="361"/>
      <c r="P11" s="361"/>
      <c r="Q11" s="361"/>
    </row>
    <row r="12" spans="1:17" s="248" customFormat="1" ht="18" customHeight="1">
      <c r="B12" s="286"/>
      <c r="C12" s="1082" t="s">
        <v>1031</v>
      </c>
      <c r="D12" s="287">
        <v>0.08</v>
      </c>
      <c r="E12" s="287">
        <f>'lead 1'!M20</f>
        <v>1374.2</v>
      </c>
      <c r="F12" s="287">
        <f>ROUND(D12*E12,2)</f>
        <v>109.94</v>
      </c>
      <c r="G12" s="288"/>
      <c r="H12" s="361"/>
      <c r="I12" s="361"/>
      <c r="J12" s="361"/>
      <c r="K12" s="361"/>
      <c r="L12" s="361"/>
      <c r="M12" s="361"/>
      <c r="N12" s="361"/>
      <c r="O12" s="361"/>
      <c r="P12" s="361"/>
      <c r="Q12" s="361"/>
    </row>
    <row r="13" spans="1:17" s="248" customFormat="1" ht="18" customHeight="1">
      <c r="B13" s="286"/>
      <c r="C13" s="289" t="s">
        <v>418</v>
      </c>
      <c r="D13" s="290"/>
      <c r="E13" s="290"/>
      <c r="F13" s="291">
        <f>SUM(F7:F12)</f>
        <v>1460.5600000000002</v>
      </c>
      <c r="G13" s="288"/>
      <c r="H13" s="362"/>
      <c r="I13" s="362"/>
      <c r="J13" s="362"/>
      <c r="K13" s="362"/>
      <c r="L13" s="362"/>
      <c r="M13" s="362"/>
      <c r="N13" s="362"/>
      <c r="O13" s="362"/>
      <c r="P13" s="362"/>
      <c r="Q13" s="362"/>
    </row>
    <row r="14" spans="1:17" s="292" customFormat="1" ht="57.75" customHeight="1">
      <c r="A14" s="1080" t="s">
        <v>200</v>
      </c>
      <c r="B14" s="293">
        <f>B6+1</f>
        <v>2</v>
      </c>
      <c r="C14" s="1312" t="s">
        <v>428</v>
      </c>
      <c r="D14" s="1312"/>
      <c r="E14" s="1312"/>
      <c r="F14" s="1312"/>
      <c r="G14" s="1312"/>
      <c r="H14" s="362"/>
      <c r="I14" s="362"/>
      <c r="J14" s="362"/>
      <c r="K14" s="362"/>
      <c r="L14" s="362"/>
      <c r="M14" s="362"/>
      <c r="N14" s="362"/>
      <c r="O14" s="362"/>
      <c r="P14" s="362"/>
      <c r="Q14" s="362"/>
    </row>
    <row r="15" spans="1:17" s="292" customFormat="1" ht="18" customHeight="1">
      <c r="A15" s="292" t="s">
        <v>154</v>
      </c>
      <c r="B15" s="293"/>
      <c r="C15" s="1082" t="s">
        <v>429</v>
      </c>
      <c r="D15" s="287"/>
      <c r="E15" s="294"/>
      <c r="F15" s="295"/>
      <c r="G15" s="296"/>
      <c r="H15" s="361"/>
      <c r="I15" s="361"/>
      <c r="J15" s="361"/>
      <c r="K15" s="361"/>
      <c r="L15" s="361"/>
      <c r="M15" s="361"/>
      <c r="N15" s="361"/>
      <c r="O15" s="361"/>
      <c r="P15" s="361"/>
      <c r="Q15" s="362"/>
    </row>
    <row r="16" spans="1:17" s="292" customFormat="1" ht="18" customHeight="1">
      <c r="B16" s="293"/>
      <c r="C16" s="1082" t="s">
        <v>1411</v>
      </c>
      <c r="D16" s="287"/>
      <c r="E16" s="287"/>
      <c r="F16" s="287"/>
      <c r="G16" s="297"/>
      <c r="H16" s="362"/>
      <c r="I16" s="362"/>
      <c r="J16" s="362"/>
      <c r="K16" s="362"/>
      <c r="L16" s="362"/>
      <c r="M16" s="362"/>
      <c r="N16" s="362"/>
      <c r="O16" s="362"/>
      <c r="P16" s="362"/>
      <c r="Q16" s="362"/>
    </row>
    <row r="17" spans="1:18" s="292" customFormat="1" ht="18" customHeight="1">
      <c r="B17" s="293"/>
      <c r="C17" s="1082" t="s">
        <v>430</v>
      </c>
      <c r="D17" s="287"/>
      <c r="E17" s="287"/>
      <c r="F17" s="287"/>
      <c r="G17" s="297"/>
      <c r="H17" s="362"/>
      <c r="I17" s="362"/>
      <c r="J17" s="362"/>
      <c r="K17" s="362"/>
      <c r="L17" s="362"/>
      <c r="M17" s="362"/>
      <c r="N17" s="362"/>
      <c r="O17" s="362"/>
      <c r="P17" s="362"/>
      <c r="Q17" s="362"/>
    </row>
    <row r="18" spans="1:18" s="292" customFormat="1" ht="18" customHeight="1">
      <c r="B18" s="293"/>
      <c r="C18" s="1082" t="s">
        <v>1412</v>
      </c>
      <c r="D18" s="287"/>
      <c r="E18" s="287"/>
      <c r="F18" s="287"/>
      <c r="G18" s="297">
        <v>124.4</v>
      </c>
      <c r="H18" s="361">
        <f>ROUND(G18/1,2)</f>
        <v>124.4</v>
      </c>
      <c r="I18" s="361"/>
      <c r="J18" s="361"/>
      <c r="K18" s="361"/>
      <c r="L18" s="361"/>
      <c r="M18" s="361"/>
      <c r="N18" s="361"/>
      <c r="O18" s="361"/>
      <c r="P18" s="361"/>
      <c r="Q18" s="361"/>
    </row>
    <row r="19" spans="1:18" s="292" customFormat="1" ht="18" customHeight="1">
      <c r="B19" s="293"/>
      <c r="C19" s="1082" t="s">
        <v>433</v>
      </c>
      <c r="D19" s="287" t="s">
        <v>161</v>
      </c>
      <c r="E19" s="287">
        <v>0.75</v>
      </c>
      <c r="F19" s="287">
        <f>G18</f>
        <v>124.4</v>
      </c>
      <c r="G19" s="297"/>
      <c r="H19" s="361"/>
      <c r="I19" s="361"/>
      <c r="J19" s="361"/>
      <c r="K19" s="361"/>
      <c r="L19" s="361"/>
      <c r="M19" s="361"/>
      <c r="N19" s="361"/>
      <c r="O19" s="361"/>
      <c r="P19" s="361"/>
      <c r="Q19" s="361"/>
    </row>
    <row r="20" spans="1:18" s="293" customFormat="1" ht="18" customHeight="1">
      <c r="C20" s="1084" t="s">
        <v>794</v>
      </c>
      <c r="D20" s="256">
        <f>G18+G19</f>
        <v>124.4</v>
      </c>
      <c r="E20" s="256"/>
      <c r="F20" s="256"/>
      <c r="G20" s="298">
        <f>ROUND(D20*D3,2)</f>
        <v>0</v>
      </c>
      <c r="H20" s="362"/>
      <c r="I20" s="362"/>
      <c r="J20" s="362"/>
      <c r="K20" s="362"/>
      <c r="L20" s="362"/>
      <c r="M20" s="362"/>
      <c r="N20" s="362"/>
      <c r="O20" s="362"/>
      <c r="P20" s="362"/>
      <c r="Q20" s="362"/>
    </row>
    <row r="21" spans="1:18" s="292" customFormat="1" ht="18" customHeight="1">
      <c r="B21" s="293"/>
      <c r="C21" s="1082" t="s">
        <v>434</v>
      </c>
      <c r="D21" s="287"/>
      <c r="E21" s="287"/>
      <c r="F21" s="287"/>
      <c r="G21" s="297">
        <f>SUM(G18:G20)</f>
        <v>124.4</v>
      </c>
      <c r="H21" s="362"/>
      <c r="I21" s="362"/>
      <c r="J21" s="362"/>
      <c r="K21" s="362"/>
      <c r="L21" s="362"/>
      <c r="M21" s="362"/>
      <c r="N21" s="362"/>
      <c r="O21" s="362"/>
      <c r="P21" s="362"/>
      <c r="Q21" s="362"/>
    </row>
    <row r="22" spans="1:18" s="293" customFormat="1" ht="18" customHeight="1">
      <c r="C22" s="1084" t="s">
        <v>690</v>
      </c>
      <c r="D22" s="256">
        <f>G21</f>
        <v>124.4</v>
      </c>
      <c r="E22" s="256"/>
      <c r="F22" s="256"/>
      <c r="G22" s="298">
        <f>ROUND(D22*D2,2)</f>
        <v>0</v>
      </c>
      <c r="H22" s="362"/>
      <c r="I22" s="362"/>
      <c r="J22" s="362"/>
      <c r="K22" s="362"/>
      <c r="L22" s="362"/>
      <c r="M22" s="362"/>
      <c r="N22" s="362"/>
      <c r="O22" s="362"/>
      <c r="P22" s="362"/>
      <c r="Q22" s="362"/>
    </row>
    <row r="23" spans="1:18" s="293" customFormat="1" ht="18" customHeight="1">
      <c r="C23" s="1084" t="s">
        <v>436</v>
      </c>
      <c r="D23" s="256"/>
      <c r="E23" s="294" t="s">
        <v>437</v>
      </c>
      <c r="F23" s="298" t="s">
        <v>438</v>
      </c>
      <c r="G23" s="1044">
        <f>ROUND(SUM(G21:G22)/1,2)</f>
        <v>124.4</v>
      </c>
      <c r="H23" s="361">
        <f t="shared" ref="H23:P23" si="0">SUM(H18:H22)</f>
        <v>124.4</v>
      </c>
      <c r="I23" s="361">
        <f t="shared" si="0"/>
        <v>0</v>
      </c>
      <c r="J23" s="361">
        <f t="shared" si="0"/>
        <v>0</v>
      </c>
      <c r="K23" s="361">
        <f t="shared" si="0"/>
        <v>0</v>
      </c>
      <c r="L23" s="361"/>
      <c r="M23" s="361">
        <f t="shared" si="0"/>
        <v>0</v>
      </c>
      <c r="N23" s="361">
        <f t="shared" si="0"/>
        <v>0</v>
      </c>
      <c r="O23" s="361"/>
      <c r="P23" s="361">
        <f t="shared" si="0"/>
        <v>0</v>
      </c>
      <c r="Q23" s="361">
        <f>SUM(H23:P23)</f>
        <v>124.4</v>
      </c>
      <c r="R23" s="361"/>
    </row>
    <row r="24" spans="1:18" s="293" customFormat="1" ht="18" customHeight="1">
      <c r="C24" s="1084"/>
      <c r="D24" s="256"/>
      <c r="E24" s="294"/>
      <c r="F24" s="298"/>
      <c r="G24" s="298"/>
      <c r="H24" s="361"/>
      <c r="I24" s="361"/>
      <c r="J24" s="361"/>
      <c r="K24" s="361"/>
      <c r="L24" s="361"/>
      <c r="M24" s="361"/>
      <c r="N24" s="361"/>
      <c r="O24" s="361"/>
      <c r="P24" s="361"/>
      <c r="Q24" s="361"/>
    </row>
    <row r="25" spans="1:18" s="292" customFormat="1" ht="57.75" hidden="1" customHeight="1">
      <c r="A25" s="1080" t="s">
        <v>200</v>
      </c>
      <c r="B25" s="293">
        <f>B14+1</f>
        <v>3</v>
      </c>
      <c r="C25" s="1312" t="s">
        <v>439</v>
      </c>
      <c r="D25" s="1312"/>
      <c r="E25" s="1312"/>
      <c r="F25" s="1312"/>
      <c r="G25" s="1312"/>
      <c r="H25" s="362"/>
      <c r="I25" s="362"/>
      <c r="J25" s="362"/>
      <c r="K25" s="362"/>
      <c r="L25" s="362"/>
      <c r="M25" s="362"/>
      <c r="N25" s="362"/>
      <c r="O25" s="362"/>
      <c r="P25" s="362"/>
      <c r="Q25" s="362"/>
    </row>
    <row r="26" spans="1:18" s="292" customFormat="1" ht="18" hidden="1" customHeight="1">
      <c r="A26" s="292" t="s">
        <v>154</v>
      </c>
      <c r="B26" s="293"/>
      <c r="C26" s="1082" t="s">
        <v>429</v>
      </c>
      <c r="D26" s="287"/>
      <c r="E26" s="294"/>
      <c r="F26" s="295"/>
      <c r="G26" s="296"/>
      <c r="H26" s="361"/>
      <c r="I26" s="361"/>
      <c r="J26" s="361"/>
      <c r="K26" s="361"/>
      <c r="L26" s="361"/>
      <c r="M26" s="361"/>
      <c r="N26" s="361"/>
      <c r="O26" s="361"/>
      <c r="P26" s="361"/>
      <c r="Q26" s="361"/>
    </row>
    <row r="27" spans="1:18" s="292" customFormat="1" ht="18" hidden="1" customHeight="1">
      <c r="B27" s="293"/>
      <c r="C27" s="1082" t="s">
        <v>1411</v>
      </c>
      <c r="D27" s="287"/>
      <c r="E27" s="287"/>
      <c r="F27" s="287"/>
      <c r="G27" s="297"/>
      <c r="H27" s="362"/>
      <c r="I27" s="362"/>
      <c r="J27" s="362"/>
      <c r="K27" s="362"/>
      <c r="L27" s="362"/>
      <c r="M27" s="362"/>
      <c r="N27" s="362"/>
      <c r="O27" s="362"/>
      <c r="P27" s="362"/>
      <c r="Q27" s="362"/>
    </row>
    <row r="28" spans="1:18" s="292" customFormat="1" ht="18" hidden="1" customHeight="1">
      <c r="B28" s="293"/>
      <c r="C28" s="1082" t="s">
        <v>430</v>
      </c>
      <c r="D28" s="287"/>
      <c r="E28" s="287"/>
      <c r="F28" s="287"/>
      <c r="G28" s="297"/>
      <c r="H28" s="362"/>
      <c r="I28" s="362"/>
      <c r="J28" s="362"/>
      <c r="K28" s="362"/>
      <c r="L28" s="362"/>
      <c r="M28" s="362"/>
      <c r="N28" s="362"/>
      <c r="O28" s="362"/>
      <c r="P28" s="362"/>
      <c r="Q28" s="362"/>
    </row>
    <row r="29" spans="1:18" s="292" customFormat="1" ht="18" hidden="1" customHeight="1">
      <c r="B29" s="293"/>
      <c r="C29" s="1082" t="s">
        <v>1412</v>
      </c>
      <c r="D29" s="287"/>
      <c r="E29" s="287"/>
      <c r="F29" s="287"/>
      <c r="G29" s="297">
        <v>124.4</v>
      </c>
      <c r="H29" s="361">
        <f>ROUND(G29/1,2)</f>
        <v>124.4</v>
      </c>
      <c r="I29" s="361"/>
      <c r="J29" s="361"/>
      <c r="K29" s="361"/>
      <c r="L29" s="361"/>
      <c r="M29" s="361"/>
      <c r="N29" s="361"/>
      <c r="O29" s="361"/>
      <c r="P29" s="361"/>
      <c r="Q29" s="361"/>
    </row>
    <row r="30" spans="1:18" s="293" customFormat="1" ht="18" hidden="1" customHeight="1">
      <c r="C30" s="1084" t="s">
        <v>794</v>
      </c>
      <c r="D30" s="256">
        <f>G29</f>
        <v>124.4</v>
      </c>
      <c r="E30" s="256"/>
      <c r="F30" s="256"/>
      <c r="G30" s="298">
        <f>ROUND(D30*D3,2)</f>
        <v>0</v>
      </c>
      <c r="H30" s="362"/>
      <c r="I30" s="362"/>
      <c r="J30" s="362"/>
      <c r="K30" s="362"/>
      <c r="L30" s="362"/>
      <c r="M30" s="362"/>
      <c r="N30" s="362"/>
      <c r="O30" s="362"/>
      <c r="P30" s="362"/>
      <c r="Q30" s="362"/>
    </row>
    <row r="31" spans="1:18" s="292" customFormat="1" ht="18" hidden="1" customHeight="1">
      <c r="B31" s="293"/>
      <c r="C31" s="1082" t="s">
        <v>434</v>
      </c>
      <c r="D31" s="287"/>
      <c r="E31" s="287"/>
      <c r="F31" s="287"/>
      <c r="G31" s="298">
        <f>SUM(G29:G30)</f>
        <v>124.4</v>
      </c>
      <c r="H31" s="361"/>
      <c r="I31" s="361"/>
      <c r="J31" s="361"/>
      <c r="K31" s="361"/>
      <c r="L31" s="361"/>
      <c r="M31" s="361"/>
      <c r="N31" s="361"/>
      <c r="O31" s="361"/>
      <c r="P31" s="361"/>
      <c r="Q31" s="361"/>
    </row>
    <row r="32" spans="1:18" s="293" customFormat="1" ht="18" hidden="1" customHeight="1">
      <c r="C32" s="1084" t="s">
        <v>690</v>
      </c>
      <c r="D32" s="256">
        <f>G31</f>
        <v>124.4</v>
      </c>
      <c r="E32" s="256"/>
      <c r="F32" s="256"/>
      <c r="G32" s="298">
        <f>ROUND(D32*D2,2)</f>
        <v>0</v>
      </c>
      <c r="H32" s="362"/>
      <c r="I32" s="362"/>
      <c r="J32" s="362"/>
      <c r="K32" s="362"/>
      <c r="L32" s="362"/>
      <c r="M32" s="362"/>
      <c r="N32" s="362"/>
      <c r="O32" s="362"/>
      <c r="P32" s="362"/>
      <c r="Q32" s="362"/>
    </row>
    <row r="33" spans="1:17" s="293" customFormat="1" ht="18" hidden="1" customHeight="1">
      <c r="C33" s="1084" t="s">
        <v>435</v>
      </c>
      <c r="D33" s="256"/>
      <c r="E33" s="256"/>
      <c r="F33" s="256"/>
      <c r="G33" s="298">
        <f>SUM(G31:G32)</f>
        <v>124.4</v>
      </c>
      <c r="H33" s="362"/>
      <c r="I33" s="362"/>
      <c r="J33" s="362"/>
      <c r="K33" s="362"/>
      <c r="L33" s="362"/>
      <c r="M33" s="362"/>
      <c r="N33" s="362"/>
      <c r="O33" s="362"/>
      <c r="P33" s="362"/>
      <c r="Q33" s="362"/>
    </row>
    <row r="34" spans="1:17" s="293" customFormat="1" ht="18" hidden="1" customHeight="1">
      <c r="C34" s="1084" t="s">
        <v>436</v>
      </c>
      <c r="D34" s="256"/>
      <c r="E34" s="294" t="s">
        <v>437</v>
      </c>
      <c r="F34" s="298" t="s">
        <v>438</v>
      </c>
      <c r="G34" s="1044">
        <f>ROUND(G33/10,2)</f>
        <v>12.44</v>
      </c>
      <c r="H34" s="361">
        <f>SUM(H29:H33)</f>
        <v>124.4</v>
      </c>
      <c r="I34" s="361">
        <f>SUM(I29:I33)</f>
        <v>0</v>
      </c>
      <c r="J34" s="361">
        <f>SUM(J29:J33)</f>
        <v>0</v>
      </c>
      <c r="K34" s="361">
        <f>SUM(K29:K33)</f>
        <v>0</v>
      </c>
      <c r="L34" s="361"/>
      <c r="M34" s="361">
        <f>SUM(M29:M33)</f>
        <v>0</v>
      </c>
      <c r="N34" s="361">
        <f>SUM(N29:N33)</f>
        <v>0</v>
      </c>
      <c r="O34" s="361"/>
      <c r="P34" s="361">
        <f>SUM(P29:P33)</f>
        <v>0</v>
      </c>
      <c r="Q34" s="361">
        <f>SUM(H34:P34)</f>
        <v>124.4</v>
      </c>
    </row>
    <row r="35" spans="1:17" s="292" customFormat="1" ht="57.75" customHeight="1">
      <c r="A35" s="1080" t="s">
        <v>440</v>
      </c>
      <c r="B35" s="293">
        <v>3</v>
      </c>
      <c r="C35" s="1312" t="s">
        <v>441</v>
      </c>
      <c r="D35" s="1312"/>
      <c r="E35" s="1312"/>
      <c r="F35" s="1312"/>
      <c r="G35" s="1312"/>
      <c r="H35" s="361"/>
      <c r="I35" s="361"/>
      <c r="J35" s="361"/>
      <c r="K35" s="361"/>
      <c r="L35" s="361"/>
      <c r="M35" s="361"/>
      <c r="N35" s="361"/>
      <c r="O35" s="361"/>
      <c r="P35" s="361"/>
      <c r="Q35" s="361"/>
    </row>
    <row r="36" spans="1:17" s="292" customFormat="1" ht="18" customHeight="1">
      <c r="A36" s="292" t="s">
        <v>154</v>
      </c>
      <c r="B36" s="293"/>
      <c r="C36" s="1082" t="s">
        <v>442</v>
      </c>
      <c r="D36" s="287"/>
      <c r="E36" s="287"/>
      <c r="F36" s="287"/>
      <c r="G36" s="297"/>
      <c r="H36" s="362"/>
      <c r="I36" s="362"/>
      <c r="J36" s="362"/>
      <c r="K36" s="362"/>
      <c r="L36" s="362"/>
      <c r="M36" s="362"/>
      <c r="N36" s="362"/>
      <c r="O36" s="362"/>
      <c r="P36" s="362"/>
      <c r="Q36" s="362"/>
    </row>
    <row r="37" spans="1:17" s="292" customFormat="1" ht="18" customHeight="1">
      <c r="B37" s="293"/>
      <c r="C37" s="1082" t="s">
        <v>708</v>
      </c>
      <c r="D37" s="287"/>
      <c r="E37" s="287"/>
      <c r="F37" s="287"/>
      <c r="G37" s="297"/>
      <c r="H37" s="362"/>
      <c r="I37" s="362"/>
      <c r="J37" s="362"/>
      <c r="K37" s="362"/>
      <c r="L37" s="362"/>
      <c r="M37" s="362"/>
      <c r="N37" s="362"/>
      <c r="O37" s="362"/>
      <c r="P37" s="362"/>
      <c r="Q37" s="362"/>
    </row>
    <row r="38" spans="1:17" s="292" customFormat="1" ht="18" customHeight="1">
      <c r="B38" s="293"/>
      <c r="C38" s="1082" t="s">
        <v>430</v>
      </c>
      <c r="D38" s="287"/>
      <c r="E38" s="287"/>
      <c r="F38" s="287"/>
      <c r="G38" s="297"/>
      <c r="H38" s="362"/>
      <c r="I38" s="362"/>
      <c r="J38" s="362"/>
      <c r="K38" s="362"/>
      <c r="L38" s="362"/>
      <c r="M38" s="362"/>
      <c r="N38" s="362"/>
      <c r="O38" s="362"/>
      <c r="P38" s="362"/>
      <c r="Q38" s="362"/>
    </row>
    <row r="39" spans="1:17" s="292" customFormat="1" ht="18" customHeight="1">
      <c r="B39" s="293"/>
      <c r="C39" s="1082" t="s">
        <v>1412</v>
      </c>
      <c r="D39" s="287"/>
      <c r="E39" s="287"/>
      <c r="F39" s="287"/>
      <c r="G39" s="297">
        <v>25.59</v>
      </c>
      <c r="H39" s="361">
        <f>G39</f>
        <v>25.59</v>
      </c>
      <c r="I39" s="361"/>
      <c r="J39" s="361"/>
      <c r="K39" s="361"/>
      <c r="L39" s="361"/>
      <c r="M39" s="361"/>
      <c r="N39" s="361"/>
      <c r="O39" s="361"/>
      <c r="P39" s="361"/>
      <c r="Q39" s="361"/>
    </row>
    <row r="40" spans="1:17" s="292" customFormat="1" ht="18" customHeight="1">
      <c r="C40" s="1082" t="s">
        <v>794</v>
      </c>
      <c r="D40" s="287">
        <f>G39</f>
        <v>25.59</v>
      </c>
      <c r="E40" s="287"/>
      <c r="F40" s="287"/>
      <c r="G40" s="297">
        <f>ROUND(D40*D3,2)</f>
        <v>0</v>
      </c>
      <c r="H40" s="362"/>
      <c r="I40" s="362"/>
      <c r="J40" s="362"/>
      <c r="K40" s="362"/>
      <c r="L40" s="362"/>
      <c r="M40" s="362"/>
      <c r="N40" s="362"/>
      <c r="O40" s="362"/>
      <c r="P40" s="362"/>
      <c r="Q40" s="362"/>
    </row>
    <row r="41" spans="1:17" s="292" customFormat="1" ht="18" customHeight="1">
      <c r="B41" s="293"/>
      <c r="C41" s="1082" t="s">
        <v>443</v>
      </c>
      <c r="D41" s="287" t="s">
        <v>161</v>
      </c>
      <c r="E41" s="287">
        <v>1</v>
      </c>
      <c r="F41" s="287">
        <f>'lead 1'!M14</f>
        <v>1334.4</v>
      </c>
      <c r="G41" s="297">
        <f>ROUND(F41*E41,2)</f>
        <v>1334.4</v>
      </c>
      <c r="H41" s="362"/>
      <c r="J41" s="362">
        <f>G41</f>
        <v>1334.4</v>
      </c>
      <c r="K41" s="362"/>
      <c r="L41" s="362"/>
      <c r="M41" s="362"/>
      <c r="N41" s="362"/>
      <c r="O41" s="362"/>
      <c r="P41" s="362"/>
      <c r="Q41" s="362"/>
    </row>
    <row r="42" spans="1:17" s="292" customFormat="1" ht="18" customHeight="1">
      <c r="B42" s="293"/>
      <c r="C42" s="1082" t="s">
        <v>80</v>
      </c>
      <c r="D42" s="287" t="s">
        <v>457</v>
      </c>
      <c r="E42" s="287">
        <v>1</v>
      </c>
      <c r="F42" s="287">
        <v>80</v>
      </c>
      <c r="G42" s="297">
        <f>ROUND(F42*E42,2)</f>
        <v>80</v>
      </c>
      <c r="H42" s="362"/>
      <c r="I42" s="362"/>
      <c r="J42" s="362"/>
      <c r="K42" s="362"/>
      <c r="L42" s="362"/>
      <c r="M42" s="362"/>
      <c r="N42" s="362"/>
      <c r="O42" s="362"/>
      <c r="P42" s="362">
        <f>G42</f>
        <v>80</v>
      </c>
      <c r="Q42" s="362"/>
    </row>
    <row r="43" spans="1:17" s="292" customFormat="1" ht="18" customHeight="1">
      <c r="C43" s="1082" t="s">
        <v>444</v>
      </c>
      <c r="D43" s="287"/>
      <c r="E43" s="287"/>
      <c r="F43" s="287"/>
      <c r="G43" s="298">
        <f>SUM(G39:G42)</f>
        <v>1439.99</v>
      </c>
      <c r="H43" s="361"/>
      <c r="I43" s="361"/>
      <c r="J43" s="361"/>
      <c r="K43" s="361"/>
      <c r="L43" s="361"/>
      <c r="M43" s="361"/>
      <c r="N43" s="361"/>
      <c r="O43" s="361"/>
      <c r="P43" s="361"/>
      <c r="Q43" s="361"/>
    </row>
    <row r="44" spans="1:17" s="292" customFormat="1" ht="18" customHeight="1">
      <c r="C44" s="1082" t="s">
        <v>690</v>
      </c>
      <c r="D44" s="287">
        <f>G43</f>
        <v>1439.99</v>
      </c>
      <c r="E44" s="287"/>
      <c r="F44" s="287"/>
      <c r="G44" s="297">
        <f>ROUND(D44*D2,2)</f>
        <v>0</v>
      </c>
      <c r="H44" s="362"/>
      <c r="I44" s="362"/>
      <c r="J44" s="362"/>
      <c r="K44" s="362"/>
      <c r="L44" s="362"/>
      <c r="M44" s="362"/>
      <c r="N44" s="362"/>
      <c r="O44" s="362"/>
      <c r="P44" s="362"/>
      <c r="Q44" s="362"/>
    </row>
    <row r="45" spans="1:17" s="292" customFormat="1" ht="18" customHeight="1">
      <c r="C45" s="1082" t="s">
        <v>444</v>
      </c>
      <c r="D45" s="287"/>
      <c r="E45" s="287"/>
      <c r="F45" s="297" t="s">
        <v>438</v>
      </c>
      <c r="G45" s="1044">
        <f>ROUND(SUM(G43:G44),2)</f>
        <v>1439.99</v>
      </c>
      <c r="H45" s="362">
        <f>SUM(H39:H44)</f>
        <v>25.59</v>
      </c>
      <c r="I45" s="362">
        <f>SUM(I39:I44)</f>
        <v>0</v>
      </c>
      <c r="J45" s="362">
        <f>SUM(J39:J44)</f>
        <v>1334.4</v>
      </c>
      <c r="K45" s="362">
        <f>SUM(K39:K44)</f>
        <v>0</v>
      </c>
      <c r="L45" s="362"/>
      <c r="M45" s="362">
        <f>SUM(M39:M44)</f>
        <v>0</v>
      </c>
      <c r="N45" s="362">
        <f>SUM(N39:N44)</f>
        <v>0</v>
      </c>
      <c r="O45" s="362"/>
      <c r="P45" s="362">
        <f>SUM(P39:P44)</f>
        <v>80</v>
      </c>
      <c r="Q45" s="362">
        <f>SUM(H45:P45)</f>
        <v>1439.99</v>
      </c>
    </row>
    <row r="46" spans="1:17" s="293" customFormat="1" ht="18" customHeight="1">
      <c r="C46" s="1084"/>
      <c r="D46" s="256"/>
      <c r="E46" s="256"/>
      <c r="F46" s="256"/>
      <c r="G46" s="298"/>
      <c r="H46" s="362"/>
      <c r="I46" s="362"/>
      <c r="J46" s="362"/>
      <c r="K46" s="362"/>
      <c r="L46" s="362"/>
      <c r="M46" s="362"/>
      <c r="N46" s="362"/>
      <c r="O46" s="362"/>
      <c r="P46" s="362"/>
      <c r="Q46" s="362"/>
    </row>
    <row r="47" spans="1:17" s="292" customFormat="1" ht="57.75" customHeight="1">
      <c r="A47" s="1080" t="s">
        <v>445</v>
      </c>
      <c r="B47" s="293">
        <v>4</v>
      </c>
      <c r="C47" s="1312" t="s">
        <v>446</v>
      </c>
      <c r="D47" s="1312"/>
      <c r="E47" s="1312"/>
      <c r="F47" s="1312"/>
      <c r="G47" s="1312"/>
      <c r="H47" s="362"/>
      <c r="I47" s="362"/>
      <c r="J47" s="362"/>
      <c r="K47" s="362"/>
      <c r="L47" s="362"/>
      <c r="M47" s="362"/>
      <c r="N47" s="362"/>
      <c r="O47" s="362"/>
      <c r="P47" s="362"/>
      <c r="Q47" s="362"/>
    </row>
    <row r="48" spans="1:17" s="299" customFormat="1" ht="18" customHeight="1">
      <c r="B48" s="300"/>
      <c r="C48" s="301" t="s">
        <v>447</v>
      </c>
      <c r="D48" s="302"/>
      <c r="E48" s="264"/>
      <c r="F48" s="303"/>
      <c r="G48" s="303"/>
      <c r="H48" s="361"/>
      <c r="I48" s="361"/>
      <c r="J48" s="361"/>
      <c r="K48" s="361"/>
      <c r="L48" s="361"/>
      <c r="M48" s="361"/>
      <c r="N48" s="361"/>
      <c r="O48" s="361"/>
      <c r="P48" s="361"/>
      <c r="Q48" s="361"/>
    </row>
    <row r="49" spans="1:17" s="299" customFormat="1" ht="18" customHeight="1">
      <c r="B49" s="300"/>
      <c r="C49" s="301" t="s">
        <v>448</v>
      </c>
      <c r="D49" s="302"/>
      <c r="E49" s="264"/>
      <c r="F49" s="303"/>
      <c r="G49" s="303"/>
      <c r="H49" s="362"/>
      <c r="I49" s="362"/>
      <c r="J49" s="362"/>
      <c r="K49" s="362"/>
      <c r="L49" s="362"/>
      <c r="M49" s="362"/>
      <c r="N49" s="362"/>
      <c r="O49" s="362"/>
      <c r="P49" s="362"/>
      <c r="Q49" s="362"/>
    </row>
    <row r="50" spans="1:17" s="299" customFormat="1" ht="18" customHeight="1">
      <c r="B50" s="300"/>
      <c r="C50" s="301" t="s">
        <v>449</v>
      </c>
      <c r="D50" s="302"/>
      <c r="E50" s="264"/>
      <c r="F50" s="303"/>
      <c r="G50" s="303"/>
      <c r="H50" s="362"/>
      <c r="I50" s="362"/>
      <c r="J50" s="362"/>
      <c r="K50" s="362"/>
      <c r="L50" s="362"/>
      <c r="M50" s="362"/>
      <c r="N50" s="362"/>
      <c r="O50" s="362"/>
      <c r="P50" s="362"/>
      <c r="Q50" s="362"/>
    </row>
    <row r="51" spans="1:17" s="299" customFormat="1" ht="18" customHeight="1">
      <c r="B51" s="300"/>
      <c r="C51" s="301" t="s">
        <v>450</v>
      </c>
      <c r="D51" s="271" t="s">
        <v>186</v>
      </c>
      <c r="E51" s="264" t="s">
        <v>183</v>
      </c>
      <c r="F51" s="303"/>
      <c r="G51" s="303"/>
      <c r="H51" s="363"/>
      <c r="I51" s="363"/>
      <c r="J51" s="363"/>
      <c r="K51" s="363"/>
      <c r="L51" s="363"/>
      <c r="M51" s="363"/>
      <c r="N51" s="363"/>
      <c r="O51" s="363"/>
      <c r="P51" s="363"/>
      <c r="Q51" s="363"/>
    </row>
    <row r="52" spans="1:17" s="299" customFormat="1" ht="18" customHeight="1">
      <c r="B52" s="300"/>
      <c r="C52" s="301" t="s">
        <v>1412</v>
      </c>
      <c r="D52" s="271"/>
      <c r="E52" s="264"/>
      <c r="F52" s="287"/>
      <c r="G52" s="1045">
        <v>25.59</v>
      </c>
      <c r="H52" s="364">
        <f>G52</f>
        <v>25.59</v>
      </c>
      <c r="I52" s="364"/>
      <c r="J52" s="364"/>
      <c r="K52" s="364"/>
      <c r="L52" s="364"/>
      <c r="M52" s="364"/>
      <c r="N52" s="364"/>
      <c r="O52" s="364"/>
      <c r="P52" s="364"/>
      <c r="Q52" s="364"/>
    </row>
    <row r="53" spans="1:17" s="292" customFormat="1" ht="18" customHeight="1">
      <c r="C53" s="1082" t="s">
        <v>794</v>
      </c>
      <c r="D53" s="287">
        <f>G52</f>
        <v>25.59</v>
      </c>
      <c r="E53" s="287"/>
      <c r="F53" s="287"/>
      <c r="G53" s="297">
        <f>ROUND(D53*D3,2)</f>
        <v>0</v>
      </c>
      <c r="H53" s="362"/>
      <c r="I53" s="362"/>
      <c r="J53" s="362"/>
      <c r="K53" s="362"/>
      <c r="L53" s="362"/>
      <c r="M53" s="362"/>
      <c r="N53" s="362"/>
      <c r="O53" s="362"/>
      <c r="P53" s="362"/>
      <c r="Q53" s="362"/>
    </row>
    <row r="54" spans="1:17" s="292" customFormat="1" ht="18" customHeight="1">
      <c r="C54" s="1082"/>
      <c r="D54" s="287"/>
      <c r="E54" s="287"/>
      <c r="F54" s="287"/>
      <c r="G54" s="298">
        <f>SUM(G52:G53)</f>
        <v>25.59</v>
      </c>
      <c r="H54" s="362"/>
      <c r="I54" s="362"/>
      <c r="J54" s="362"/>
      <c r="K54" s="362"/>
      <c r="L54" s="362"/>
      <c r="M54" s="362"/>
      <c r="N54" s="362"/>
      <c r="O54" s="362"/>
      <c r="P54" s="362"/>
      <c r="Q54" s="362"/>
    </row>
    <row r="55" spans="1:17" s="292" customFormat="1" ht="18" customHeight="1">
      <c r="C55" s="1082" t="s">
        <v>690</v>
      </c>
      <c r="D55" s="287">
        <f>G54</f>
        <v>25.59</v>
      </c>
      <c r="E55" s="287"/>
      <c r="F55" s="287"/>
      <c r="G55" s="297">
        <f>ROUND(D55*D2,2)</f>
        <v>0</v>
      </c>
      <c r="H55" s="362"/>
      <c r="I55" s="362"/>
      <c r="J55" s="362"/>
      <c r="K55" s="362"/>
      <c r="L55" s="362"/>
      <c r="M55" s="362"/>
      <c r="N55" s="362"/>
      <c r="O55" s="362"/>
      <c r="P55" s="362"/>
      <c r="Q55" s="362"/>
    </row>
    <row r="56" spans="1:17" s="299" customFormat="1" ht="18" customHeight="1">
      <c r="B56" s="300"/>
      <c r="C56" s="301" t="s">
        <v>451</v>
      </c>
      <c r="D56" s="302"/>
      <c r="E56" s="264"/>
      <c r="F56" s="303"/>
      <c r="G56" s="1046">
        <f>SUM(G54:G55)</f>
        <v>25.59</v>
      </c>
      <c r="H56" s="362"/>
      <c r="I56" s="362"/>
      <c r="J56" s="362"/>
      <c r="K56" s="362"/>
      <c r="L56" s="362"/>
      <c r="M56" s="362"/>
      <c r="N56" s="362"/>
      <c r="O56" s="362"/>
      <c r="P56" s="362"/>
      <c r="Q56" s="362"/>
    </row>
    <row r="57" spans="1:17" s="299" customFormat="1" ht="18" customHeight="1">
      <c r="B57" s="300"/>
      <c r="C57" s="301" t="s">
        <v>1149</v>
      </c>
      <c r="D57" s="302"/>
      <c r="E57" s="264"/>
      <c r="F57" s="303"/>
      <c r="G57" s="1047">
        <f>ROUNDUP(G56,2)</f>
        <v>25.59</v>
      </c>
      <c r="H57" s="362">
        <f>SUM(H52:H56)</f>
        <v>25.59</v>
      </c>
      <c r="I57" s="362">
        <f>SUM(I52:I56)</f>
        <v>0</v>
      </c>
      <c r="J57" s="362">
        <f>SUM(J52:J56)</f>
        <v>0</v>
      </c>
      <c r="K57" s="362">
        <f>SUM(K52:K56)</f>
        <v>0</v>
      </c>
      <c r="L57" s="362"/>
      <c r="M57" s="362">
        <f>SUM(M52:M56)</f>
        <v>0</v>
      </c>
      <c r="N57" s="362">
        <f>SUM(N52:N56)</f>
        <v>0</v>
      </c>
      <c r="O57" s="362"/>
      <c r="P57" s="362">
        <f>SUM(P52:P56)</f>
        <v>0</v>
      </c>
      <c r="Q57" s="362">
        <f>SUM(H57:P57)</f>
        <v>25.59</v>
      </c>
    </row>
    <row r="58" spans="1:17" s="299" customFormat="1" ht="45.75" hidden="1" customHeight="1">
      <c r="B58" s="300"/>
      <c r="C58" s="1403" t="s">
        <v>452</v>
      </c>
      <c r="D58" s="1403"/>
      <c r="E58" s="1403"/>
      <c r="F58" s="1403"/>
      <c r="G58" s="303"/>
      <c r="H58" s="364"/>
      <c r="I58" s="364"/>
      <c r="J58" s="364"/>
      <c r="K58" s="364"/>
      <c r="L58" s="364"/>
      <c r="M58" s="364"/>
      <c r="N58" s="364"/>
      <c r="O58" s="364"/>
      <c r="P58" s="364"/>
      <c r="Q58" s="364"/>
    </row>
    <row r="59" spans="1:17" s="292" customFormat="1" ht="57" hidden="1" customHeight="1">
      <c r="A59" s="1080" t="s">
        <v>440</v>
      </c>
      <c r="B59" s="293">
        <f>B47+1</f>
        <v>5</v>
      </c>
      <c r="C59" s="1312" t="s">
        <v>709</v>
      </c>
      <c r="D59" s="1312"/>
      <c r="E59" s="1312"/>
      <c r="F59" s="1312"/>
      <c r="G59" s="1312"/>
      <c r="H59" s="364"/>
      <c r="I59" s="364"/>
      <c r="J59" s="364"/>
      <c r="K59" s="364"/>
      <c r="L59" s="364"/>
      <c r="M59" s="364"/>
      <c r="N59" s="364"/>
      <c r="O59" s="364"/>
      <c r="P59" s="364"/>
      <c r="Q59" s="364"/>
    </row>
    <row r="60" spans="1:17" s="292" customFormat="1" ht="18" hidden="1" customHeight="1">
      <c r="A60" s="292" t="s">
        <v>154</v>
      </c>
      <c r="B60" s="293"/>
      <c r="C60" s="1082" t="s">
        <v>429</v>
      </c>
      <c r="D60" s="287"/>
      <c r="E60" s="287"/>
      <c r="F60" s="287"/>
      <c r="G60" s="297"/>
      <c r="H60" s="362"/>
      <c r="I60" s="362"/>
      <c r="J60" s="362"/>
      <c r="K60" s="362"/>
      <c r="L60" s="362"/>
      <c r="M60" s="362"/>
      <c r="N60" s="362"/>
      <c r="O60" s="362"/>
      <c r="P60" s="362"/>
      <c r="Q60" s="362"/>
    </row>
    <row r="61" spans="1:17" s="292" customFormat="1" ht="18" hidden="1" customHeight="1">
      <c r="B61" s="293"/>
      <c r="C61" s="1082" t="s">
        <v>1146</v>
      </c>
      <c r="D61" s="287"/>
      <c r="E61" s="287"/>
      <c r="F61" s="287"/>
      <c r="G61" s="297"/>
      <c r="H61" s="362"/>
      <c r="I61" s="362"/>
      <c r="J61" s="362"/>
      <c r="K61" s="362"/>
      <c r="L61" s="362"/>
      <c r="M61" s="362"/>
      <c r="N61" s="362"/>
      <c r="O61" s="362"/>
      <c r="P61" s="362"/>
      <c r="Q61" s="362"/>
    </row>
    <row r="62" spans="1:17" s="292" customFormat="1" ht="18" hidden="1" customHeight="1">
      <c r="B62" s="293"/>
      <c r="C62" s="1082" t="s">
        <v>430</v>
      </c>
      <c r="D62" s="287"/>
      <c r="E62" s="287"/>
      <c r="F62" s="287"/>
      <c r="G62" s="297"/>
      <c r="H62" s="364"/>
      <c r="I62" s="364"/>
      <c r="J62" s="364"/>
      <c r="K62" s="364"/>
      <c r="L62" s="364"/>
      <c r="M62" s="364"/>
      <c r="N62" s="364"/>
      <c r="O62" s="364"/>
      <c r="P62" s="364"/>
      <c r="Q62" s="364"/>
    </row>
    <row r="63" spans="1:17" s="292" customFormat="1" ht="18" hidden="1" customHeight="1">
      <c r="B63" s="293"/>
      <c r="C63" s="1082" t="s">
        <v>431</v>
      </c>
      <c r="D63" s="287" t="s">
        <v>432</v>
      </c>
      <c r="E63" s="287">
        <v>0.31</v>
      </c>
      <c r="F63" s="287">
        <f>'lead 1'!M28</f>
        <v>420</v>
      </c>
      <c r="G63" s="297">
        <f>ROUND(F63*E63,2)</f>
        <v>130.19999999999999</v>
      </c>
      <c r="H63" s="365">
        <f>G63</f>
        <v>130.19999999999999</v>
      </c>
      <c r="I63" s="365"/>
      <c r="J63" s="365"/>
      <c r="K63" s="365"/>
      <c r="L63" s="365"/>
      <c r="M63" s="365"/>
      <c r="N63" s="365"/>
      <c r="O63" s="365"/>
      <c r="P63" s="365"/>
      <c r="Q63" s="365"/>
    </row>
    <row r="64" spans="1:17" s="292" customFormat="1" ht="18" hidden="1" customHeight="1">
      <c r="C64" s="1082" t="s">
        <v>794</v>
      </c>
      <c r="D64" s="287">
        <f>G63</f>
        <v>130.19999999999999</v>
      </c>
      <c r="E64" s="287"/>
      <c r="F64" s="287"/>
      <c r="G64" s="297">
        <f>ROUND(D64*D3,2)</f>
        <v>0</v>
      </c>
      <c r="H64" s="362"/>
      <c r="I64" s="362"/>
      <c r="J64" s="362"/>
      <c r="K64" s="362"/>
      <c r="L64" s="362"/>
      <c r="M64" s="362"/>
      <c r="N64" s="362"/>
      <c r="O64" s="362"/>
      <c r="P64" s="362">
        <f>G64</f>
        <v>0</v>
      </c>
      <c r="Q64" s="362"/>
    </row>
    <row r="65" spans="1:17" s="292" customFormat="1" ht="18" hidden="1" customHeight="1">
      <c r="B65" s="293"/>
      <c r="C65" s="1082" t="s">
        <v>710</v>
      </c>
      <c r="D65" s="287" t="s">
        <v>161</v>
      </c>
      <c r="E65" s="287">
        <v>1</v>
      </c>
      <c r="F65" s="287">
        <f>'lead 1'!M21</f>
        <v>999.2</v>
      </c>
      <c r="G65" s="297">
        <f>ROUND(F65*E65,2)</f>
        <v>999.2</v>
      </c>
      <c r="H65" s="362"/>
      <c r="I65" s="362"/>
      <c r="J65" s="362"/>
      <c r="K65" s="362"/>
      <c r="L65" s="362"/>
      <c r="M65" s="362"/>
      <c r="N65" s="362"/>
      <c r="O65" s="362"/>
      <c r="P65" s="362">
        <f>G65</f>
        <v>999.2</v>
      </c>
      <c r="Q65" s="362"/>
    </row>
    <row r="66" spans="1:17" s="292" customFormat="1" ht="18" hidden="1" customHeight="1">
      <c r="B66" s="293"/>
      <c r="C66" s="1082"/>
      <c r="D66" s="287"/>
      <c r="E66" s="287"/>
      <c r="F66" s="287"/>
      <c r="G66" s="298">
        <f>SUM(G63:G65)</f>
        <v>1129.4000000000001</v>
      </c>
      <c r="H66" s="362"/>
      <c r="I66" s="362"/>
      <c r="J66" s="362"/>
      <c r="K66" s="362"/>
      <c r="L66" s="362"/>
      <c r="M66" s="362"/>
      <c r="N66" s="362"/>
      <c r="O66" s="362"/>
      <c r="P66" s="362"/>
      <c r="Q66" s="362"/>
    </row>
    <row r="67" spans="1:17" s="292" customFormat="1" ht="18" hidden="1" customHeight="1">
      <c r="C67" s="1082" t="s">
        <v>690</v>
      </c>
      <c r="D67" s="287">
        <f>G66</f>
        <v>1129.4000000000001</v>
      </c>
      <c r="E67" s="287"/>
      <c r="F67" s="287"/>
      <c r="G67" s="297">
        <f>ROUND(D67*D2,2)</f>
        <v>0</v>
      </c>
      <c r="H67" s="362"/>
      <c r="I67" s="362"/>
      <c r="J67" s="362"/>
      <c r="K67" s="362"/>
      <c r="L67" s="362"/>
      <c r="M67" s="362"/>
      <c r="N67" s="362"/>
      <c r="O67" s="362"/>
      <c r="P67" s="362">
        <f>G67</f>
        <v>0</v>
      </c>
      <c r="Q67" s="362"/>
    </row>
    <row r="68" spans="1:17" s="293" customFormat="1" ht="18" hidden="1" customHeight="1">
      <c r="C68" s="1084" t="s">
        <v>444</v>
      </c>
      <c r="D68" s="256"/>
      <c r="E68" s="256"/>
      <c r="F68" s="298" t="s">
        <v>438</v>
      </c>
      <c r="G68" s="298">
        <f>SUM(G66:G67)</f>
        <v>1129.4000000000001</v>
      </c>
      <c r="H68" s="1048">
        <f>SUM(H63:H67)</f>
        <v>130.19999999999999</v>
      </c>
      <c r="I68" s="1048">
        <f>SUM(I63:I67)</f>
        <v>0</v>
      </c>
      <c r="J68" s="1048">
        <f>SUM(J63:J67)</f>
        <v>0</v>
      </c>
      <c r="K68" s="1048">
        <f>SUM(K63:K67)</f>
        <v>0</v>
      </c>
      <c r="L68" s="1048"/>
      <c r="M68" s="1048">
        <f>SUM(M63:M67)</f>
        <v>0</v>
      </c>
      <c r="N68" s="1048">
        <f>SUM(N63:N67)</f>
        <v>0</v>
      </c>
      <c r="O68" s="1048"/>
      <c r="P68" s="1048">
        <f>SUM(P63:P67)</f>
        <v>999.2</v>
      </c>
      <c r="Q68" s="362">
        <f>SUM(H68:P68)</f>
        <v>1129.4000000000001</v>
      </c>
    </row>
    <row r="69" spans="1:17" s="292" customFormat="1" ht="18" hidden="1" customHeight="1">
      <c r="A69" s="1080" t="s">
        <v>453</v>
      </c>
      <c r="B69" s="293">
        <f>B59+1</f>
        <v>6</v>
      </c>
      <c r="C69" s="1084" t="s">
        <v>454</v>
      </c>
      <c r="D69" s="1084"/>
      <c r="E69" s="1084"/>
      <c r="F69" s="1084"/>
      <c r="G69" s="1084"/>
      <c r="H69" s="362"/>
      <c r="I69" s="362"/>
      <c r="J69" s="362"/>
      <c r="K69" s="362"/>
      <c r="L69" s="362"/>
      <c r="M69" s="362"/>
      <c r="N69" s="362"/>
      <c r="O69" s="362"/>
      <c r="P69" s="362"/>
      <c r="Q69" s="362"/>
    </row>
    <row r="70" spans="1:17" s="304" customFormat="1" ht="18" hidden="1" customHeight="1">
      <c r="A70" s="300"/>
      <c r="B70" s="1080"/>
      <c r="C70" s="1082" t="s">
        <v>176</v>
      </c>
      <c r="D70" s="287"/>
      <c r="E70" s="287"/>
      <c r="F70" s="287"/>
      <c r="G70" s="297"/>
      <c r="H70" s="362"/>
      <c r="I70" s="362"/>
      <c r="J70" s="362"/>
      <c r="K70" s="362"/>
      <c r="L70" s="362"/>
      <c r="M70" s="362"/>
      <c r="N70" s="362"/>
      <c r="O70" s="362"/>
      <c r="P70" s="362"/>
      <c r="Q70" s="362"/>
    </row>
    <row r="71" spans="1:17" s="304" customFormat="1" ht="18" hidden="1" customHeight="1">
      <c r="A71" s="300"/>
      <c r="B71" s="1080"/>
      <c r="C71" s="1084" t="s">
        <v>177</v>
      </c>
      <c r="D71" s="287"/>
      <c r="E71" s="287"/>
      <c r="F71" s="287"/>
      <c r="G71" s="297"/>
      <c r="H71" s="362"/>
      <c r="I71" s="362"/>
      <c r="J71" s="362"/>
      <c r="K71" s="362"/>
      <c r="L71" s="362"/>
      <c r="M71" s="362"/>
      <c r="N71" s="362"/>
      <c r="O71" s="362"/>
      <c r="P71" s="362"/>
      <c r="Q71" s="362"/>
    </row>
    <row r="72" spans="1:17" s="304" customFormat="1" ht="18" hidden="1" customHeight="1">
      <c r="A72" s="300"/>
      <c r="B72" s="1080"/>
      <c r="C72" s="1082" t="s">
        <v>104</v>
      </c>
      <c r="D72" s="287" t="s">
        <v>178</v>
      </c>
      <c r="E72" s="287">
        <v>1440</v>
      </c>
      <c r="F72" s="287">
        <f>'lead 1'!M8</f>
        <v>4300</v>
      </c>
      <c r="G72" s="297">
        <f>ROUND(E72*F72/1000,2)</f>
        <v>6192</v>
      </c>
      <c r="H72" s="363"/>
      <c r="I72" s="363">
        <f>G72</f>
        <v>6192</v>
      </c>
      <c r="J72" s="363"/>
      <c r="K72" s="363"/>
      <c r="L72" s="363"/>
      <c r="M72" s="363"/>
      <c r="N72" s="363"/>
      <c r="O72" s="363"/>
      <c r="P72" s="363"/>
      <c r="Q72" s="363"/>
    </row>
    <row r="73" spans="1:17" s="304" customFormat="1" ht="18" hidden="1" customHeight="1">
      <c r="A73" s="300"/>
      <c r="B73" s="1080"/>
      <c r="C73" s="1082" t="s">
        <v>179</v>
      </c>
      <c r="D73" s="287" t="s">
        <v>112</v>
      </c>
      <c r="E73" s="287">
        <v>1.05</v>
      </c>
      <c r="F73" s="287">
        <f>'lead 1'!M12</f>
        <v>1549.4</v>
      </c>
      <c r="G73" s="297">
        <f>ROUND(E73*F73,2)</f>
        <v>1626.87</v>
      </c>
      <c r="H73" s="362"/>
      <c r="I73" s="362"/>
      <c r="J73" s="362"/>
      <c r="K73" s="362">
        <f>G73</f>
        <v>1626.87</v>
      </c>
      <c r="L73" s="362"/>
      <c r="M73" s="362"/>
      <c r="N73" s="362"/>
      <c r="O73" s="362"/>
      <c r="P73" s="362"/>
      <c r="Q73" s="362"/>
    </row>
    <row r="74" spans="1:17" s="304" customFormat="1" ht="18" hidden="1" customHeight="1">
      <c r="A74" s="300"/>
      <c r="B74" s="1080"/>
      <c r="C74" s="1082" t="s">
        <v>180</v>
      </c>
      <c r="D74" s="287" t="s">
        <v>112</v>
      </c>
      <c r="E74" s="287">
        <v>1.05</v>
      </c>
      <c r="F74" s="287"/>
      <c r="G74" s="297"/>
      <c r="H74" s="362"/>
      <c r="I74" s="362"/>
      <c r="J74" s="362"/>
      <c r="K74" s="362"/>
      <c r="L74" s="362"/>
      <c r="M74" s="362"/>
      <c r="N74" s="362"/>
      <c r="O74" s="362"/>
      <c r="P74" s="362"/>
      <c r="Q74" s="362"/>
    </row>
    <row r="75" spans="1:17" s="304" customFormat="1" ht="18" hidden="1" customHeight="1">
      <c r="A75" s="300"/>
      <c r="B75" s="1080"/>
      <c r="C75" s="1084" t="s">
        <v>181</v>
      </c>
      <c r="D75" s="287"/>
      <c r="E75" s="287"/>
      <c r="F75" s="287"/>
      <c r="G75" s="297"/>
      <c r="H75" s="362"/>
      <c r="I75" s="362"/>
      <c r="J75" s="362"/>
      <c r="K75" s="362"/>
      <c r="L75" s="362"/>
      <c r="M75" s="362"/>
      <c r="N75" s="362"/>
      <c r="O75" s="362"/>
      <c r="P75" s="362"/>
      <c r="Q75" s="362"/>
    </row>
    <row r="76" spans="1:17" s="304" customFormat="1" ht="18" hidden="1" customHeight="1">
      <c r="A76" s="300"/>
      <c r="B76" s="1080"/>
      <c r="C76" s="1082" t="s">
        <v>182</v>
      </c>
      <c r="D76" s="287" t="s">
        <v>183</v>
      </c>
      <c r="E76" s="287"/>
      <c r="F76" s="287"/>
      <c r="G76" s="297"/>
      <c r="H76" s="362"/>
      <c r="I76" s="362"/>
      <c r="J76" s="362"/>
      <c r="K76" s="362"/>
      <c r="L76" s="362"/>
      <c r="M76" s="362"/>
      <c r="N76" s="362"/>
      <c r="O76" s="362"/>
      <c r="P76" s="362"/>
      <c r="Q76" s="362"/>
    </row>
    <row r="77" spans="1:17" s="304" customFormat="1" ht="18" hidden="1" customHeight="1">
      <c r="A77" s="300"/>
      <c r="B77" s="1080"/>
      <c r="C77" s="1084" t="s">
        <v>184</v>
      </c>
      <c r="D77" s="287"/>
      <c r="E77" s="287"/>
      <c r="F77" s="287"/>
      <c r="G77" s="297"/>
      <c r="H77" s="362"/>
      <c r="I77" s="362"/>
      <c r="J77" s="362"/>
      <c r="K77" s="362"/>
      <c r="L77" s="362"/>
      <c r="M77" s="362"/>
      <c r="N77" s="362"/>
      <c r="O77" s="362"/>
      <c r="P77" s="362"/>
      <c r="Q77" s="362"/>
    </row>
    <row r="78" spans="1:17" s="304" customFormat="1" ht="18" hidden="1" customHeight="1">
      <c r="A78" s="300"/>
      <c r="B78" s="1080"/>
      <c r="C78" s="1082" t="s">
        <v>185</v>
      </c>
      <c r="D78" s="287" t="s">
        <v>186</v>
      </c>
      <c r="E78" s="287">
        <v>0.2</v>
      </c>
      <c r="F78" s="287">
        <f>'lead 1'!M28</f>
        <v>420</v>
      </c>
      <c r="G78" s="297">
        <f>ROUND(E78*F78,2)</f>
        <v>84</v>
      </c>
      <c r="H78" s="362"/>
      <c r="I78" s="362"/>
      <c r="J78" s="362"/>
      <c r="K78" s="362"/>
      <c r="L78" s="362"/>
      <c r="M78" s="362"/>
      <c r="N78" s="362"/>
      <c r="O78" s="362"/>
      <c r="P78" s="362">
        <f>G78</f>
        <v>84</v>
      </c>
      <c r="Q78" s="362"/>
    </row>
    <row r="79" spans="1:17" s="292" customFormat="1" ht="18" hidden="1" customHeight="1">
      <c r="C79" s="1082" t="s">
        <v>794</v>
      </c>
      <c r="D79" s="287">
        <f>G78</f>
        <v>84</v>
      </c>
      <c r="E79" s="287"/>
      <c r="F79" s="287"/>
      <c r="G79" s="297">
        <f>ROUND(D79*$D$3,2)</f>
        <v>0</v>
      </c>
      <c r="H79" s="362"/>
      <c r="I79" s="362"/>
      <c r="J79" s="362"/>
      <c r="K79" s="362"/>
      <c r="L79" s="362"/>
      <c r="M79" s="362"/>
      <c r="N79" s="362"/>
      <c r="O79" s="362"/>
      <c r="P79" s="362">
        <f>G79</f>
        <v>0</v>
      </c>
      <c r="Q79" s="362"/>
    </row>
    <row r="80" spans="1:17" s="304" customFormat="1" ht="18" hidden="1" customHeight="1">
      <c r="A80" s="300"/>
      <c r="B80" s="1080"/>
      <c r="C80" s="1084" t="s">
        <v>187</v>
      </c>
      <c r="D80" s="287"/>
      <c r="E80" s="287"/>
      <c r="F80" s="298" t="s">
        <v>438</v>
      </c>
      <c r="G80" s="298">
        <f>ROUND(SUM(G72:G79),2)</f>
        <v>7902.87</v>
      </c>
      <c r="H80" s="362"/>
      <c r="I80" s="362">
        <f>SUM(I70:I78)</f>
        <v>6192</v>
      </c>
      <c r="J80" s="362">
        <f t="shared" ref="J80:P80" si="1">SUM(J70:J78)</f>
        <v>0</v>
      </c>
      <c r="K80" s="362">
        <f t="shared" si="1"/>
        <v>1626.87</v>
      </c>
      <c r="L80" s="362">
        <f t="shared" si="1"/>
        <v>0</v>
      </c>
      <c r="M80" s="362">
        <f t="shared" si="1"/>
        <v>0</v>
      </c>
      <c r="N80" s="362">
        <f t="shared" si="1"/>
        <v>0</v>
      </c>
      <c r="O80" s="362"/>
      <c r="P80" s="362">
        <f t="shared" si="1"/>
        <v>84</v>
      </c>
      <c r="Q80" s="362">
        <f>SUM(I80:P80)</f>
        <v>7902.87</v>
      </c>
    </row>
    <row r="81" spans="1:17" s="292" customFormat="1" ht="24.75" hidden="1" customHeight="1">
      <c r="A81" s="1080" t="s">
        <v>174</v>
      </c>
      <c r="B81" s="293">
        <f>B69+1</f>
        <v>7</v>
      </c>
      <c r="C81" s="1084" t="s">
        <v>175</v>
      </c>
      <c r="D81" s="1084"/>
      <c r="E81" s="1084"/>
      <c r="F81" s="1084"/>
      <c r="G81" s="1084"/>
      <c r="H81" s="362"/>
      <c r="I81" s="362"/>
      <c r="J81" s="362"/>
      <c r="K81" s="362"/>
      <c r="L81" s="362"/>
      <c r="M81" s="362"/>
      <c r="N81" s="362"/>
      <c r="O81" s="362"/>
      <c r="P81" s="362"/>
      <c r="Q81" s="362"/>
    </row>
    <row r="82" spans="1:17" s="304" customFormat="1" ht="18" hidden="1" customHeight="1">
      <c r="A82" s="300"/>
      <c r="B82" s="1080"/>
      <c r="C82" s="1082" t="s">
        <v>176</v>
      </c>
      <c r="D82" s="287"/>
      <c r="E82" s="287"/>
      <c r="F82" s="287"/>
      <c r="G82" s="297"/>
      <c r="H82" s="362"/>
      <c r="I82" s="362"/>
      <c r="J82" s="362"/>
      <c r="K82" s="362"/>
      <c r="L82" s="362"/>
      <c r="M82" s="362"/>
      <c r="N82" s="362"/>
      <c r="O82" s="362"/>
      <c r="P82" s="362"/>
      <c r="Q82" s="362"/>
    </row>
    <row r="83" spans="1:17" s="304" customFormat="1" ht="18" hidden="1" customHeight="1">
      <c r="A83" s="300"/>
      <c r="B83" s="1080"/>
      <c r="C83" s="1084" t="s">
        <v>177</v>
      </c>
      <c r="D83" s="287"/>
      <c r="E83" s="287"/>
      <c r="F83" s="287"/>
      <c r="G83" s="297"/>
      <c r="H83" s="362"/>
      <c r="I83" s="362"/>
      <c r="J83" s="362"/>
      <c r="K83" s="362"/>
      <c r="L83" s="362"/>
      <c r="M83" s="362"/>
      <c r="N83" s="362"/>
      <c r="O83" s="362"/>
      <c r="P83" s="362"/>
      <c r="Q83" s="362"/>
    </row>
    <row r="84" spans="1:17" s="304" customFormat="1" ht="18" hidden="1" customHeight="1">
      <c r="A84" s="300"/>
      <c r="B84" s="1080"/>
      <c r="C84" s="1082" t="s">
        <v>104</v>
      </c>
      <c r="D84" s="287" t="s">
        <v>178</v>
      </c>
      <c r="E84" s="287">
        <v>720</v>
      </c>
      <c r="F84" s="287">
        <f>'lead 1'!M8</f>
        <v>4300</v>
      </c>
      <c r="G84" s="297">
        <f>ROUND(E84*F84/1000,2)</f>
        <v>3096</v>
      </c>
      <c r="H84" s="362"/>
      <c r="I84" s="362">
        <f>G84</f>
        <v>3096</v>
      </c>
      <c r="J84" s="362"/>
      <c r="K84" s="362"/>
      <c r="L84" s="362"/>
      <c r="M84" s="362"/>
      <c r="N84" s="362"/>
      <c r="O84" s="362"/>
      <c r="P84" s="362"/>
      <c r="Q84" s="362"/>
    </row>
    <row r="85" spans="1:17" s="304" customFormat="1" ht="18" hidden="1" customHeight="1">
      <c r="A85" s="300"/>
      <c r="B85" s="1080"/>
      <c r="C85" s="1082" t="s">
        <v>179</v>
      </c>
      <c r="D85" s="287" t="s">
        <v>112</v>
      </c>
      <c r="E85" s="287">
        <v>1.05</v>
      </c>
      <c r="F85" s="287">
        <f>'lead 1'!M12</f>
        <v>1549.4</v>
      </c>
      <c r="G85" s="297">
        <f>ROUND(E85*F85,2)</f>
        <v>1626.87</v>
      </c>
      <c r="H85" s="363"/>
      <c r="I85" s="363"/>
      <c r="J85" s="363"/>
      <c r="K85" s="363">
        <f>G85</f>
        <v>1626.87</v>
      </c>
      <c r="L85" s="363"/>
      <c r="M85" s="363"/>
      <c r="N85" s="363"/>
      <c r="O85" s="363"/>
      <c r="P85" s="363"/>
      <c r="Q85" s="363"/>
    </row>
    <row r="86" spans="1:17" s="304" customFormat="1" ht="18" hidden="1" customHeight="1">
      <c r="A86" s="300"/>
      <c r="B86" s="1080"/>
      <c r="C86" s="1082" t="s">
        <v>180</v>
      </c>
      <c r="D86" s="287" t="s">
        <v>112</v>
      </c>
      <c r="E86" s="287"/>
      <c r="F86" s="287"/>
      <c r="G86" s="297"/>
      <c r="H86" s="362"/>
      <c r="I86" s="362"/>
      <c r="J86" s="362"/>
      <c r="K86" s="362"/>
      <c r="L86" s="362"/>
      <c r="M86" s="362"/>
      <c r="N86" s="362"/>
      <c r="O86" s="362"/>
      <c r="P86" s="362"/>
      <c r="Q86" s="362"/>
    </row>
    <row r="87" spans="1:17" s="304" customFormat="1" ht="18" hidden="1" customHeight="1">
      <c r="A87" s="300"/>
      <c r="B87" s="1080"/>
      <c r="C87" s="1084" t="s">
        <v>181</v>
      </c>
      <c r="D87" s="287"/>
      <c r="E87" s="287"/>
      <c r="F87" s="287"/>
      <c r="G87" s="297"/>
      <c r="H87" s="362"/>
      <c r="I87" s="362"/>
      <c r="J87" s="362"/>
      <c r="K87" s="362"/>
      <c r="L87" s="362"/>
      <c r="M87" s="362"/>
      <c r="N87" s="362"/>
      <c r="O87" s="362"/>
      <c r="P87" s="362"/>
      <c r="Q87" s="362"/>
    </row>
    <row r="88" spans="1:17" s="304" customFormat="1" ht="18" hidden="1" customHeight="1">
      <c r="A88" s="300"/>
      <c r="B88" s="1080"/>
      <c r="C88" s="1082" t="s">
        <v>182</v>
      </c>
      <c r="D88" s="287" t="s">
        <v>183</v>
      </c>
      <c r="E88" s="287"/>
      <c r="F88" s="287"/>
      <c r="G88" s="297"/>
      <c r="H88" s="362"/>
      <c r="I88" s="362"/>
      <c r="J88" s="362"/>
      <c r="K88" s="362"/>
      <c r="L88" s="362"/>
      <c r="M88" s="362"/>
      <c r="N88" s="362"/>
      <c r="O88" s="362"/>
      <c r="P88" s="362"/>
      <c r="Q88" s="362"/>
    </row>
    <row r="89" spans="1:17" s="304" customFormat="1" ht="18" hidden="1" customHeight="1">
      <c r="A89" s="300"/>
      <c r="B89" s="1080"/>
      <c r="C89" s="1084" t="s">
        <v>184</v>
      </c>
      <c r="D89" s="287"/>
      <c r="E89" s="287"/>
      <c r="F89" s="287"/>
      <c r="G89" s="297"/>
      <c r="H89" s="362"/>
      <c r="I89" s="362"/>
      <c r="J89" s="362"/>
      <c r="K89" s="362"/>
      <c r="L89" s="362"/>
      <c r="M89" s="362"/>
      <c r="N89" s="362"/>
      <c r="O89" s="362"/>
      <c r="P89" s="362"/>
      <c r="Q89" s="362"/>
    </row>
    <row r="90" spans="1:17" s="304" customFormat="1" ht="18" hidden="1" customHeight="1">
      <c r="A90" s="300"/>
      <c r="B90" s="1080"/>
      <c r="C90" s="1082" t="s">
        <v>185</v>
      </c>
      <c r="D90" s="287" t="s">
        <v>186</v>
      </c>
      <c r="E90" s="287">
        <v>0.2</v>
      </c>
      <c r="F90" s="287">
        <f>'lead 1'!M28</f>
        <v>420</v>
      </c>
      <c r="G90" s="297">
        <f>ROUND(E90*F90,2)</f>
        <v>84</v>
      </c>
      <c r="H90" s="362"/>
      <c r="I90" s="362"/>
      <c r="J90" s="362"/>
      <c r="K90" s="362"/>
      <c r="L90" s="362"/>
      <c r="M90" s="362"/>
      <c r="N90" s="362"/>
      <c r="O90" s="362"/>
      <c r="P90" s="362">
        <f>G90</f>
        <v>84</v>
      </c>
      <c r="Q90" s="362"/>
    </row>
    <row r="91" spans="1:17" s="292" customFormat="1" ht="18" hidden="1" customHeight="1">
      <c r="C91" s="1082" t="s">
        <v>794</v>
      </c>
      <c r="D91" s="287">
        <f>G90</f>
        <v>84</v>
      </c>
      <c r="E91" s="287"/>
      <c r="F91" s="287"/>
      <c r="G91" s="297">
        <f>ROUND(D91*$D$3,2)</f>
        <v>0</v>
      </c>
      <c r="H91" s="362"/>
      <c r="I91" s="362"/>
      <c r="J91" s="362"/>
      <c r="K91" s="362"/>
      <c r="L91" s="362"/>
      <c r="M91" s="362"/>
      <c r="N91" s="362"/>
      <c r="O91" s="362"/>
      <c r="P91" s="362">
        <f>G91</f>
        <v>0</v>
      </c>
      <c r="Q91" s="362"/>
    </row>
    <row r="92" spans="1:17" s="304" customFormat="1" ht="18" hidden="1" customHeight="1">
      <c r="A92" s="300"/>
      <c r="B92" s="1080"/>
      <c r="C92" s="1084" t="s">
        <v>187</v>
      </c>
      <c r="D92" s="287"/>
      <c r="E92" s="287"/>
      <c r="F92" s="298" t="s">
        <v>438</v>
      </c>
      <c r="G92" s="298">
        <f>ROUND(SUM(G84:G91),2)</f>
        <v>4806.87</v>
      </c>
      <c r="H92" s="362"/>
      <c r="I92" s="362">
        <f>SUM(I83:I90)</f>
        <v>3096</v>
      </c>
      <c r="J92" s="362">
        <f t="shared" ref="J92:P92" si="2">SUM(J83:J90)</f>
        <v>0</v>
      </c>
      <c r="K92" s="362">
        <f t="shared" si="2"/>
        <v>1626.87</v>
      </c>
      <c r="L92" s="362">
        <f t="shared" si="2"/>
        <v>0</v>
      </c>
      <c r="M92" s="362">
        <f t="shared" si="2"/>
        <v>0</v>
      </c>
      <c r="N92" s="362">
        <f t="shared" si="2"/>
        <v>0</v>
      </c>
      <c r="O92" s="362"/>
      <c r="P92" s="362">
        <f t="shared" si="2"/>
        <v>84</v>
      </c>
      <c r="Q92" s="362">
        <f>SUM(I92:P92)</f>
        <v>4806.87</v>
      </c>
    </row>
    <row r="93" spans="1:17" s="292" customFormat="1" ht="25.5" customHeight="1">
      <c r="A93" s="1080" t="s">
        <v>188</v>
      </c>
      <c r="B93" s="293">
        <v>5</v>
      </c>
      <c r="C93" s="1084" t="s">
        <v>189</v>
      </c>
      <c r="D93" s="1084"/>
      <c r="E93" s="1084"/>
      <c r="F93" s="1084"/>
      <c r="G93" s="1084"/>
      <c r="H93" s="362"/>
      <c r="I93" s="362"/>
      <c r="J93" s="362"/>
      <c r="K93" s="362"/>
      <c r="L93" s="362"/>
      <c r="M93" s="362"/>
      <c r="N93" s="362"/>
      <c r="O93" s="362"/>
      <c r="P93" s="362"/>
      <c r="Q93" s="362"/>
    </row>
    <row r="94" spans="1:17" s="304" customFormat="1" ht="18" customHeight="1">
      <c r="A94" s="300"/>
      <c r="B94" s="1080"/>
      <c r="C94" s="1082" t="s">
        <v>176</v>
      </c>
      <c r="D94" s="287"/>
      <c r="E94" s="287"/>
      <c r="F94" s="287"/>
      <c r="G94" s="297"/>
      <c r="H94" s="362"/>
      <c r="I94" s="362"/>
      <c r="J94" s="362"/>
      <c r="K94" s="362"/>
      <c r="L94" s="362"/>
      <c r="M94" s="362"/>
      <c r="N94" s="362"/>
      <c r="O94" s="362"/>
      <c r="P94" s="362"/>
      <c r="Q94" s="362"/>
    </row>
    <row r="95" spans="1:17" s="304" customFormat="1" ht="18" customHeight="1">
      <c r="A95" s="300"/>
      <c r="B95" s="1080"/>
      <c r="C95" s="1084" t="s">
        <v>177</v>
      </c>
      <c r="D95" s="287"/>
      <c r="E95" s="287"/>
      <c r="F95" s="287"/>
      <c r="G95" s="297"/>
      <c r="H95" s="362"/>
      <c r="I95" s="362"/>
      <c r="J95" s="362"/>
      <c r="K95" s="362"/>
      <c r="L95" s="362"/>
      <c r="M95" s="362"/>
      <c r="N95" s="362"/>
      <c r="O95" s="362"/>
      <c r="P95" s="362"/>
      <c r="Q95" s="362"/>
    </row>
    <row r="96" spans="1:17" s="304" customFormat="1" ht="18" customHeight="1">
      <c r="A96" s="300"/>
      <c r="B96" s="1080"/>
      <c r="C96" s="1082" t="s">
        <v>104</v>
      </c>
      <c r="D96" s="287" t="s">
        <v>178</v>
      </c>
      <c r="E96" s="287">
        <v>480</v>
      </c>
      <c r="F96" s="287">
        <f>'lead 1'!M8</f>
        <v>4300</v>
      </c>
      <c r="G96" s="297">
        <f>ROUND(E96*F96/1000,2)</f>
        <v>2064</v>
      </c>
      <c r="H96" s="362"/>
      <c r="I96" s="362">
        <f>G96</f>
        <v>2064</v>
      </c>
      <c r="J96" s="362"/>
      <c r="K96" s="362"/>
      <c r="L96" s="362"/>
      <c r="M96" s="362"/>
      <c r="N96" s="362"/>
      <c r="O96" s="362"/>
      <c r="P96" s="362"/>
      <c r="Q96" s="362"/>
    </row>
    <row r="97" spans="1:17" s="304" customFormat="1" ht="18" customHeight="1">
      <c r="A97" s="300"/>
      <c r="B97" s="1080"/>
      <c r="C97" s="1082" t="s">
        <v>179</v>
      </c>
      <c r="D97" s="287" t="s">
        <v>112</v>
      </c>
      <c r="E97" s="287">
        <v>1.05</v>
      </c>
      <c r="F97" s="287">
        <f>'lead 1'!M12</f>
        <v>1549.4</v>
      </c>
      <c r="G97" s="297">
        <f>ROUND(E97*F97,2)</f>
        <v>1626.87</v>
      </c>
      <c r="H97" s="362"/>
      <c r="I97" s="362"/>
      <c r="J97" s="362"/>
      <c r="K97" s="362">
        <f>G97</f>
        <v>1626.87</v>
      </c>
      <c r="L97" s="362"/>
      <c r="M97" s="362"/>
      <c r="N97" s="362"/>
      <c r="O97" s="362"/>
      <c r="P97" s="362"/>
      <c r="Q97" s="362"/>
    </row>
    <row r="98" spans="1:17" s="304" customFormat="1" ht="18" customHeight="1">
      <c r="A98" s="300"/>
      <c r="B98" s="1080"/>
      <c r="C98" s="1082" t="s">
        <v>180</v>
      </c>
      <c r="D98" s="287" t="s">
        <v>112</v>
      </c>
      <c r="E98" s="287">
        <v>1.05</v>
      </c>
      <c r="F98" s="287"/>
      <c r="G98" s="297"/>
      <c r="H98" s="362"/>
      <c r="I98" s="362"/>
      <c r="J98" s="362"/>
      <c r="K98" s="362"/>
      <c r="L98" s="362"/>
      <c r="M98" s="362"/>
      <c r="N98" s="362"/>
      <c r="O98" s="362"/>
      <c r="P98" s="362"/>
      <c r="Q98" s="362"/>
    </row>
    <row r="99" spans="1:17" s="304" customFormat="1" ht="18" customHeight="1">
      <c r="A99" s="300"/>
      <c r="B99" s="1080"/>
      <c r="C99" s="1084" t="s">
        <v>181</v>
      </c>
      <c r="D99" s="287"/>
      <c r="E99" s="287"/>
      <c r="F99" s="287"/>
      <c r="G99" s="297"/>
      <c r="H99" s="364"/>
      <c r="I99" s="364"/>
      <c r="J99" s="364"/>
      <c r="K99" s="364"/>
      <c r="L99" s="364"/>
      <c r="M99" s="364"/>
      <c r="N99" s="364"/>
      <c r="O99" s="364"/>
      <c r="P99" s="364"/>
      <c r="Q99" s="364"/>
    </row>
    <row r="100" spans="1:17" s="304" customFormat="1" ht="18" customHeight="1">
      <c r="A100" s="300"/>
      <c r="B100" s="1080"/>
      <c r="C100" s="1082" t="s">
        <v>182</v>
      </c>
      <c r="D100" s="287" t="s">
        <v>183</v>
      </c>
      <c r="E100" s="287"/>
      <c r="F100" s="287"/>
      <c r="G100" s="297"/>
      <c r="H100" s="361"/>
      <c r="I100" s="361"/>
      <c r="J100" s="361"/>
      <c r="K100" s="361"/>
      <c r="L100" s="361"/>
      <c r="M100" s="361"/>
      <c r="N100" s="361"/>
      <c r="O100" s="361"/>
      <c r="P100" s="361"/>
      <c r="Q100" s="361"/>
    </row>
    <row r="101" spans="1:17" s="304" customFormat="1" ht="18" customHeight="1">
      <c r="A101" s="300"/>
      <c r="B101" s="1080"/>
      <c r="C101" s="1084" t="s">
        <v>184</v>
      </c>
      <c r="D101" s="287"/>
      <c r="E101" s="287"/>
      <c r="F101" s="287"/>
      <c r="G101" s="297"/>
      <c r="H101" s="361"/>
      <c r="I101" s="361"/>
      <c r="J101" s="361"/>
      <c r="K101" s="361"/>
      <c r="L101" s="361"/>
      <c r="M101" s="361"/>
      <c r="N101" s="361"/>
      <c r="O101" s="361"/>
      <c r="P101" s="361"/>
      <c r="Q101" s="361"/>
    </row>
    <row r="102" spans="1:17" s="304" customFormat="1" ht="18" customHeight="1">
      <c r="A102" s="300"/>
      <c r="B102" s="1080"/>
      <c r="C102" s="1082" t="s">
        <v>185</v>
      </c>
      <c r="D102" s="287" t="s">
        <v>186</v>
      </c>
      <c r="E102" s="287">
        <v>0.2</v>
      </c>
      <c r="F102" s="287">
        <f>'lead 1'!M28</f>
        <v>420</v>
      </c>
      <c r="G102" s="297">
        <f>ROUND(E102*F102,2)</f>
        <v>84</v>
      </c>
      <c r="H102" s="362"/>
      <c r="I102" s="362"/>
      <c r="J102" s="362"/>
      <c r="K102" s="362"/>
      <c r="L102" s="362"/>
      <c r="M102" s="362"/>
      <c r="N102" s="362"/>
      <c r="O102" s="362"/>
      <c r="P102" s="362">
        <f>G102</f>
        <v>84</v>
      </c>
      <c r="Q102" s="362"/>
    </row>
    <row r="103" spans="1:17" s="292" customFormat="1" ht="18" customHeight="1">
      <c r="C103" s="1082" t="s">
        <v>794</v>
      </c>
      <c r="D103" s="287">
        <f>G102</f>
        <v>84</v>
      </c>
      <c r="E103" s="287"/>
      <c r="F103" s="287"/>
      <c r="G103" s="297">
        <f>ROUND(D103*$D$3,2)</f>
        <v>0</v>
      </c>
      <c r="H103" s="362"/>
      <c r="I103" s="362"/>
      <c r="J103" s="362"/>
      <c r="K103" s="362"/>
      <c r="L103" s="362"/>
      <c r="M103" s="362"/>
      <c r="N103" s="362"/>
      <c r="O103" s="362"/>
      <c r="P103" s="362">
        <f>G103</f>
        <v>0</v>
      </c>
      <c r="Q103" s="362"/>
    </row>
    <row r="104" spans="1:17" s="304" customFormat="1" ht="18" customHeight="1">
      <c r="A104" s="300"/>
      <c r="B104" s="1080"/>
      <c r="C104" s="1084" t="s">
        <v>187</v>
      </c>
      <c r="D104" s="287"/>
      <c r="E104" s="287"/>
      <c r="F104" s="298" t="s">
        <v>438</v>
      </c>
      <c r="G104" s="298">
        <f>ROUND(SUM(G96:G103),2)</f>
        <v>3774.87</v>
      </c>
      <c r="H104" s="362"/>
      <c r="I104" s="362">
        <f>SUM(I94:I102)</f>
        <v>2064</v>
      </c>
      <c r="J104" s="362">
        <f t="shared" ref="J104:P104" si="3">SUM(J94:J102)</f>
        <v>0</v>
      </c>
      <c r="K104" s="362">
        <f t="shared" si="3"/>
        <v>1626.87</v>
      </c>
      <c r="L104" s="362">
        <f t="shared" si="3"/>
        <v>0</v>
      </c>
      <c r="M104" s="362">
        <f t="shared" si="3"/>
        <v>0</v>
      </c>
      <c r="N104" s="362">
        <f t="shared" si="3"/>
        <v>0</v>
      </c>
      <c r="O104" s="362"/>
      <c r="P104" s="362">
        <f t="shared" si="3"/>
        <v>84</v>
      </c>
      <c r="Q104" s="362">
        <f>SUM(I104:P104)</f>
        <v>3774.87</v>
      </c>
    </row>
    <row r="105" spans="1:17" s="292" customFormat="1" ht="26.25" hidden="1" customHeight="1">
      <c r="A105" s="1080" t="s">
        <v>190</v>
      </c>
      <c r="B105" s="293">
        <f>B93+1</f>
        <v>6</v>
      </c>
      <c r="C105" s="1084" t="s">
        <v>191</v>
      </c>
      <c r="D105" s="1084"/>
      <c r="E105" s="1084"/>
      <c r="F105" s="1084"/>
      <c r="G105" s="1084"/>
      <c r="H105" s="362"/>
      <c r="I105" s="362"/>
      <c r="J105" s="362"/>
      <c r="K105" s="362"/>
      <c r="L105" s="362"/>
      <c r="M105" s="362"/>
      <c r="N105" s="362"/>
      <c r="O105" s="362"/>
      <c r="P105" s="362"/>
      <c r="Q105" s="362"/>
    </row>
    <row r="106" spans="1:17" s="304" customFormat="1" ht="18" hidden="1" customHeight="1">
      <c r="A106" s="300"/>
      <c r="B106" s="1080"/>
      <c r="C106" s="1082" t="s">
        <v>176</v>
      </c>
      <c r="D106" s="287"/>
      <c r="E106" s="287"/>
      <c r="F106" s="287"/>
      <c r="G106" s="297"/>
      <c r="H106" s="361"/>
      <c r="I106" s="361"/>
      <c r="J106" s="361"/>
      <c r="K106" s="361"/>
      <c r="L106" s="361"/>
      <c r="M106" s="361"/>
      <c r="N106" s="361"/>
      <c r="O106" s="361"/>
      <c r="P106" s="361"/>
      <c r="Q106" s="361"/>
    </row>
    <row r="107" spans="1:17" s="304" customFormat="1" ht="18" hidden="1" customHeight="1">
      <c r="A107" s="300"/>
      <c r="B107" s="1080"/>
      <c r="C107" s="1084" t="s">
        <v>177</v>
      </c>
      <c r="D107" s="287"/>
      <c r="E107" s="287"/>
      <c r="F107" s="287"/>
      <c r="G107" s="297"/>
      <c r="H107" s="362"/>
      <c r="I107" s="362"/>
      <c r="J107" s="362"/>
      <c r="K107" s="362"/>
      <c r="L107" s="362"/>
      <c r="M107" s="362"/>
      <c r="N107" s="362"/>
      <c r="O107" s="362"/>
      <c r="P107" s="362"/>
      <c r="Q107" s="362"/>
    </row>
    <row r="108" spans="1:17" s="304" customFormat="1" ht="18" hidden="1" customHeight="1">
      <c r="A108" s="300"/>
      <c r="B108" s="1080"/>
      <c r="C108" s="1082" t="s">
        <v>104</v>
      </c>
      <c r="D108" s="287" t="s">
        <v>178</v>
      </c>
      <c r="E108" s="287">
        <v>360</v>
      </c>
      <c r="F108" s="287">
        <f>'lead 1'!M8</f>
        <v>4300</v>
      </c>
      <c r="G108" s="297">
        <f>ROUND(E108*F108/1000,2)</f>
        <v>1548</v>
      </c>
      <c r="H108" s="362"/>
      <c r="I108" s="362">
        <f>G108</f>
        <v>1548</v>
      </c>
      <c r="J108" s="362"/>
      <c r="K108" s="362"/>
      <c r="L108" s="362"/>
      <c r="M108" s="362"/>
      <c r="N108" s="362"/>
      <c r="O108" s="362"/>
      <c r="P108" s="362"/>
      <c r="Q108" s="362"/>
    </row>
    <row r="109" spans="1:17" s="304" customFormat="1" ht="18" hidden="1" customHeight="1">
      <c r="A109" s="300"/>
      <c r="B109" s="1080"/>
      <c r="C109" s="1082" t="s">
        <v>179</v>
      </c>
      <c r="D109" s="287" t="s">
        <v>112</v>
      </c>
      <c r="E109" s="287">
        <v>1.05</v>
      </c>
      <c r="F109" s="287">
        <f>'lead 1'!M12</f>
        <v>1549.4</v>
      </c>
      <c r="G109" s="297">
        <f>ROUND(E109*F109,2)</f>
        <v>1626.87</v>
      </c>
      <c r="H109" s="362"/>
      <c r="I109" s="362"/>
      <c r="J109" s="362"/>
      <c r="K109" s="362">
        <f>G109</f>
        <v>1626.87</v>
      </c>
      <c r="L109" s="362"/>
      <c r="M109" s="362"/>
      <c r="N109" s="362"/>
      <c r="O109" s="362"/>
      <c r="P109" s="362"/>
      <c r="Q109" s="362"/>
    </row>
    <row r="110" spans="1:17" s="304" customFormat="1" ht="18" hidden="1" customHeight="1">
      <c r="A110" s="300"/>
      <c r="B110" s="1080"/>
      <c r="C110" s="1082" t="s">
        <v>180</v>
      </c>
      <c r="D110" s="287" t="s">
        <v>112</v>
      </c>
      <c r="E110" s="287">
        <v>1.05</v>
      </c>
      <c r="F110" s="287"/>
      <c r="G110" s="297"/>
      <c r="H110" s="361"/>
      <c r="I110" s="361"/>
      <c r="J110" s="361"/>
      <c r="K110" s="361"/>
      <c r="L110" s="361"/>
      <c r="M110" s="361"/>
      <c r="N110" s="361"/>
      <c r="O110" s="361"/>
      <c r="P110" s="361"/>
      <c r="Q110" s="361"/>
    </row>
    <row r="111" spans="1:17" s="304" customFormat="1" ht="18" hidden="1" customHeight="1">
      <c r="A111" s="300"/>
      <c r="B111" s="1080"/>
      <c r="C111" s="1084" t="s">
        <v>181</v>
      </c>
      <c r="D111" s="287"/>
      <c r="E111" s="287"/>
      <c r="F111" s="287"/>
      <c r="G111" s="297"/>
      <c r="H111" s="362"/>
      <c r="I111" s="362"/>
      <c r="J111" s="362"/>
      <c r="K111" s="362"/>
      <c r="L111" s="362"/>
      <c r="M111" s="362"/>
      <c r="N111" s="362"/>
      <c r="O111" s="362"/>
      <c r="P111" s="362"/>
      <c r="Q111" s="362"/>
    </row>
    <row r="112" spans="1:17" s="304" customFormat="1" ht="18" hidden="1" customHeight="1">
      <c r="A112" s="300"/>
      <c r="B112" s="1080"/>
      <c r="C112" s="1082" t="s">
        <v>182</v>
      </c>
      <c r="D112" s="287" t="s">
        <v>183</v>
      </c>
      <c r="E112" s="287" t="s">
        <v>183</v>
      </c>
      <c r="F112" s="287"/>
      <c r="G112" s="297"/>
      <c r="H112" s="362"/>
      <c r="I112" s="362"/>
      <c r="J112" s="362"/>
      <c r="K112" s="362"/>
      <c r="L112" s="362"/>
      <c r="M112" s="362"/>
      <c r="N112" s="362"/>
      <c r="O112" s="362"/>
      <c r="P112" s="362"/>
      <c r="Q112" s="362"/>
    </row>
    <row r="113" spans="1:17" s="304" customFormat="1" ht="18" hidden="1" customHeight="1">
      <c r="A113" s="300"/>
      <c r="B113" s="1080"/>
      <c r="C113" s="1084" t="s">
        <v>184</v>
      </c>
      <c r="D113" s="287"/>
      <c r="E113" s="287"/>
      <c r="F113" s="287"/>
      <c r="G113" s="297"/>
      <c r="H113" s="362"/>
      <c r="I113" s="362"/>
      <c r="J113" s="362"/>
      <c r="K113" s="362"/>
      <c r="L113" s="362"/>
      <c r="M113" s="362"/>
      <c r="N113" s="362"/>
      <c r="O113" s="362"/>
      <c r="P113" s="362"/>
      <c r="Q113" s="362"/>
    </row>
    <row r="114" spans="1:17" s="304" customFormat="1" ht="18" hidden="1" customHeight="1">
      <c r="A114" s="300"/>
      <c r="B114" s="1080"/>
      <c r="C114" s="1082" t="s">
        <v>185</v>
      </c>
      <c r="D114" s="287" t="s">
        <v>186</v>
      </c>
      <c r="E114" s="287">
        <v>0.2</v>
      </c>
      <c r="F114" s="287">
        <f>'lead 1'!M28</f>
        <v>420</v>
      </c>
      <c r="G114" s="297">
        <f>ROUND(E114*F114,2)</f>
        <v>84</v>
      </c>
      <c r="H114" s="362"/>
      <c r="I114" s="362"/>
      <c r="J114" s="362"/>
      <c r="K114" s="362"/>
      <c r="L114" s="362"/>
      <c r="M114" s="362"/>
      <c r="N114" s="362"/>
      <c r="O114" s="362"/>
      <c r="P114" s="362">
        <f>G114</f>
        <v>84</v>
      </c>
      <c r="Q114" s="362"/>
    </row>
    <row r="115" spans="1:17" s="292" customFormat="1" ht="18" hidden="1" customHeight="1">
      <c r="C115" s="1082" t="s">
        <v>794</v>
      </c>
      <c r="D115" s="287">
        <f>G114</f>
        <v>84</v>
      </c>
      <c r="E115" s="287"/>
      <c r="F115" s="287"/>
      <c r="G115" s="297">
        <f>ROUND(D115*$D$3,2)</f>
        <v>0</v>
      </c>
      <c r="H115" s="362"/>
      <c r="I115" s="362"/>
      <c r="J115" s="362"/>
      <c r="K115" s="362"/>
      <c r="L115" s="362"/>
      <c r="M115" s="362"/>
      <c r="N115" s="362"/>
      <c r="O115" s="362"/>
      <c r="P115" s="362">
        <f>G115</f>
        <v>0</v>
      </c>
      <c r="Q115" s="362"/>
    </row>
    <row r="116" spans="1:17" s="304" customFormat="1" ht="18" hidden="1" customHeight="1">
      <c r="A116" s="300"/>
      <c r="B116" s="1080"/>
      <c r="C116" s="1084" t="s">
        <v>187</v>
      </c>
      <c r="D116" s="287"/>
      <c r="E116" s="287"/>
      <c r="F116" s="298" t="s">
        <v>438</v>
      </c>
      <c r="G116" s="298">
        <f>ROUND(SUM(G108:G115),2)</f>
        <v>3258.87</v>
      </c>
      <c r="H116" s="362"/>
      <c r="I116" s="362">
        <f>SUM(I106:I114)</f>
        <v>1548</v>
      </c>
      <c r="J116" s="362">
        <f t="shared" ref="J116:P116" si="4">SUM(J106:J114)</f>
        <v>0</v>
      </c>
      <c r="K116" s="362">
        <f t="shared" si="4"/>
        <v>1626.87</v>
      </c>
      <c r="L116" s="362">
        <f t="shared" si="4"/>
        <v>0</v>
      </c>
      <c r="M116" s="362">
        <f t="shared" si="4"/>
        <v>0</v>
      </c>
      <c r="N116" s="362">
        <f t="shared" si="4"/>
        <v>0</v>
      </c>
      <c r="O116" s="362"/>
      <c r="P116" s="362">
        <f t="shared" si="4"/>
        <v>84</v>
      </c>
      <c r="Q116" s="362">
        <f>SUM(I116:P116)</f>
        <v>3258.87</v>
      </c>
    </row>
    <row r="117" spans="1:17" s="292" customFormat="1" ht="27.75" customHeight="1">
      <c r="A117" s="1080" t="s">
        <v>192</v>
      </c>
      <c r="B117" s="293">
        <v>6</v>
      </c>
      <c r="C117" s="1084" t="s">
        <v>193</v>
      </c>
      <c r="D117" s="1084"/>
      <c r="E117" s="1084"/>
      <c r="F117" s="1084"/>
      <c r="G117" s="1084"/>
      <c r="H117" s="362"/>
      <c r="I117" s="362"/>
      <c r="J117" s="362"/>
      <c r="K117" s="362"/>
      <c r="L117" s="362"/>
      <c r="M117" s="362"/>
      <c r="N117" s="362"/>
      <c r="O117" s="362"/>
      <c r="P117" s="362"/>
      <c r="Q117" s="362"/>
    </row>
    <row r="118" spans="1:17" s="304" customFormat="1" ht="18" customHeight="1">
      <c r="A118" s="300"/>
      <c r="B118" s="1080"/>
      <c r="C118" s="1082" t="s">
        <v>176</v>
      </c>
      <c r="D118" s="287"/>
      <c r="E118" s="287"/>
      <c r="F118" s="287"/>
      <c r="G118" s="297"/>
      <c r="H118" s="364"/>
      <c r="I118" s="364"/>
      <c r="J118" s="364"/>
      <c r="K118" s="364"/>
      <c r="L118" s="364"/>
      <c r="M118" s="364"/>
      <c r="N118" s="364"/>
      <c r="O118" s="364"/>
      <c r="P118" s="364"/>
      <c r="Q118" s="364"/>
    </row>
    <row r="119" spans="1:17" s="304" customFormat="1" ht="18" customHeight="1">
      <c r="A119" s="300"/>
      <c r="B119" s="1080"/>
      <c r="C119" s="1084" t="s">
        <v>177</v>
      </c>
      <c r="D119" s="287"/>
      <c r="E119" s="287"/>
      <c r="F119" s="287"/>
      <c r="G119" s="297"/>
      <c r="H119" s="361"/>
      <c r="I119" s="361"/>
      <c r="J119" s="361"/>
      <c r="K119" s="361"/>
      <c r="L119" s="361"/>
      <c r="M119" s="361"/>
      <c r="N119" s="361"/>
      <c r="O119" s="361"/>
      <c r="P119" s="361"/>
      <c r="Q119" s="361"/>
    </row>
    <row r="120" spans="1:17" s="304" customFormat="1" ht="18" customHeight="1">
      <c r="A120" s="300"/>
      <c r="B120" s="1080"/>
      <c r="C120" s="1082" t="s">
        <v>104</v>
      </c>
      <c r="D120" s="287" t="s">
        <v>178</v>
      </c>
      <c r="E120" s="287">
        <v>288</v>
      </c>
      <c r="F120" s="287">
        <f>'lead 1'!M8</f>
        <v>4300</v>
      </c>
      <c r="G120" s="297">
        <f>ROUND(E120*F120/1000,2)</f>
        <v>1238.4000000000001</v>
      </c>
      <c r="H120" s="362"/>
      <c r="I120" s="362">
        <f>G120</f>
        <v>1238.4000000000001</v>
      </c>
      <c r="J120" s="362"/>
      <c r="K120" s="362"/>
      <c r="L120" s="362"/>
      <c r="M120" s="362"/>
      <c r="N120" s="362"/>
      <c r="O120" s="362"/>
      <c r="P120" s="362"/>
      <c r="Q120" s="362"/>
    </row>
    <row r="121" spans="1:17" s="304" customFormat="1" ht="18" customHeight="1">
      <c r="A121" s="300"/>
      <c r="B121" s="1080"/>
      <c r="C121" s="1082" t="s">
        <v>179</v>
      </c>
      <c r="D121" s="287" t="s">
        <v>112</v>
      </c>
      <c r="E121" s="287">
        <v>1.05</v>
      </c>
      <c r="F121" s="287">
        <f>'lead 1'!M12</f>
        <v>1549.4</v>
      </c>
      <c r="G121" s="297">
        <f>ROUND(E121*F121,2)</f>
        <v>1626.87</v>
      </c>
      <c r="H121" s="362"/>
      <c r="I121" s="362"/>
      <c r="J121" s="362"/>
      <c r="K121" s="362">
        <f>G121</f>
        <v>1626.87</v>
      </c>
      <c r="L121" s="362"/>
      <c r="M121" s="362"/>
      <c r="N121" s="362"/>
      <c r="O121" s="362"/>
      <c r="P121" s="362"/>
      <c r="Q121" s="362"/>
    </row>
    <row r="122" spans="1:17" s="304" customFormat="1" ht="18" customHeight="1">
      <c r="A122" s="300"/>
      <c r="B122" s="1080"/>
      <c r="C122" s="1082" t="s">
        <v>180</v>
      </c>
      <c r="D122" s="287" t="s">
        <v>112</v>
      </c>
      <c r="E122" s="287">
        <v>1.05</v>
      </c>
      <c r="F122" s="287"/>
      <c r="G122" s="297"/>
      <c r="H122" s="362"/>
      <c r="I122" s="362"/>
      <c r="J122" s="362"/>
      <c r="K122" s="362"/>
      <c r="L122" s="362"/>
      <c r="M122" s="362"/>
      <c r="N122" s="362"/>
      <c r="O122" s="362"/>
      <c r="P122" s="362"/>
      <c r="Q122" s="362"/>
    </row>
    <row r="123" spans="1:17" s="304" customFormat="1" ht="18" customHeight="1">
      <c r="A123" s="300"/>
      <c r="B123" s="1080"/>
      <c r="C123" s="1084" t="s">
        <v>181</v>
      </c>
      <c r="D123" s="287"/>
      <c r="E123" s="287"/>
      <c r="F123" s="287"/>
      <c r="G123" s="297"/>
      <c r="H123" s="362"/>
      <c r="I123" s="362"/>
      <c r="J123" s="362"/>
      <c r="K123" s="362"/>
      <c r="L123" s="362"/>
      <c r="M123" s="362"/>
      <c r="N123" s="362"/>
      <c r="O123" s="362"/>
      <c r="P123" s="362"/>
      <c r="Q123" s="362"/>
    </row>
    <row r="124" spans="1:17" s="304" customFormat="1" ht="18" customHeight="1">
      <c r="A124" s="300"/>
      <c r="B124" s="1080"/>
      <c r="C124" s="1082" t="s">
        <v>182</v>
      </c>
      <c r="D124" s="287" t="s">
        <v>183</v>
      </c>
      <c r="E124" s="287"/>
      <c r="F124" s="287"/>
      <c r="G124" s="297"/>
      <c r="H124" s="364"/>
      <c r="I124" s="364"/>
      <c r="J124" s="364"/>
      <c r="K124" s="364"/>
      <c r="L124" s="364"/>
      <c r="M124" s="364"/>
      <c r="N124" s="364"/>
      <c r="O124" s="364"/>
      <c r="P124" s="364"/>
      <c r="Q124" s="364"/>
    </row>
    <row r="125" spans="1:17" s="304" customFormat="1" ht="18" customHeight="1">
      <c r="A125" s="300"/>
      <c r="B125" s="1080"/>
      <c r="C125" s="1084" t="s">
        <v>184</v>
      </c>
      <c r="D125" s="287"/>
      <c r="E125" s="287"/>
      <c r="F125" s="287"/>
      <c r="G125" s="297"/>
      <c r="H125" s="361"/>
      <c r="I125" s="361"/>
      <c r="J125" s="361"/>
      <c r="K125" s="361"/>
      <c r="L125" s="361"/>
      <c r="M125" s="361"/>
      <c r="N125" s="361"/>
      <c r="O125" s="361"/>
      <c r="P125" s="361"/>
      <c r="Q125" s="361"/>
    </row>
    <row r="126" spans="1:17" s="304" customFormat="1" ht="18" customHeight="1">
      <c r="A126" s="300"/>
      <c r="B126" s="1080"/>
      <c r="C126" s="1082" t="s">
        <v>185</v>
      </c>
      <c r="D126" s="287" t="s">
        <v>186</v>
      </c>
      <c r="E126" s="287">
        <v>0.2</v>
      </c>
      <c r="F126" s="287">
        <f>'lead 1'!M28</f>
        <v>420</v>
      </c>
      <c r="G126" s="297">
        <f>ROUND(E126*F126,2)</f>
        <v>84</v>
      </c>
      <c r="H126" s="362"/>
      <c r="I126" s="362"/>
      <c r="J126" s="362"/>
      <c r="K126" s="362"/>
      <c r="L126" s="362"/>
      <c r="M126" s="362"/>
      <c r="N126" s="362"/>
      <c r="O126" s="362"/>
      <c r="P126" s="362">
        <f>G126</f>
        <v>84</v>
      </c>
      <c r="Q126" s="362"/>
    </row>
    <row r="127" spans="1:17" s="292" customFormat="1" ht="18" customHeight="1">
      <c r="C127" s="1082" t="s">
        <v>794</v>
      </c>
      <c r="D127" s="287">
        <f>G126</f>
        <v>84</v>
      </c>
      <c r="E127" s="287"/>
      <c r="F127" s="287"/>
      <c r="G127" s="297">
        <f>ROUND(D127*$D$3,2)</f>
        <v>0</v>
      </c>
      <c r="H127" s="362"/>
      <c r="I127" s="362"/>
      <c r="J127" s="362"/>
      <c r="K127" s="362"/>
      <c r="L127" s="362"/>
      <c r="M127" s="362"/>
      <c r="N127" s="362"/>
      <c r="O127" s="362"/>
      <c r="P127" s="362">
        <f>G127</f>
        <v>0</v>
      </c>
      <c r="Q127" s="362"/>
    </row>
    <row r="128" spans="1:17" s="304" customFormat="1" ht="18" customHeight="1">
      <c r="A128" s="300"/>
      <c r="B128" s="1080"/>
      <c r="C128" s="1084" t="s">
        <v>187</v>
      </c>
      <c r="D128" s="287"/>
      <c r="E128" s="287"/>
      <c r="F128" s="298" t="s">
        <v>438</v>
      </c>
      <c r="G128" s="298">
        <f>ROUND(SUM(G120:G127),2)</f>
        <v>2949.27</v>
      </c>
      <c r="H128" s="362"/>
      <c r="I128" s="362">
        <f>SUM(I119:I126)</f>
        <v>1238.4000000000001</v>
      </c>
      <c r="J128" s="362">
        <f t="shared" ref="J128:P128" si="5">SUM(J119:J126)</f>
        <v>0</v>
      </c>
      <c r="K128" s="362">
        <f t="shared" si="5"/>
        <v>1626.87</v>
      </c>
      <c r="L128" s="362">
        <f t="shared" si="5"/>
        <v>0</v>
      </c>
      <c r="M128" s="362">
        <f t="shared" si="5"/>
        <v>0</v>
      </c>
      <c r="N128" s="362">
        <f t="shared" si="5"/>
        <v>0</v>
      </c>
      <c r="O128" s="362"/>
      <c r="P128" s="362">
        <f t="shared" si="5"/>
        <v>84</v>
      </c>
      <c r="Q128" s="362">
        <f>SUM(I128:P128)</f>
        <v>2949.27</v>
      </c>
    </row>
    <row r="129" spans="1:17" s="292" customFormat="1" ht="28.5" customHeight="1">
      <c r="A129" s="1080" t="s">
        <v>194</v>
      </c>
      <c r="B129" s="293">
        <v>7</v>
      </c>
      <c r="C129" s="1084" t="s">
        <v>195</v>
      </c>
      <c r="D129" s="1084"/>
      <c r="E129" s="1084"/>
      <c r="F129" s="1084"/>
      <c r="G129" s="1084"/>
      <c r="H129" s="362"/>
      <c r="I129" s="362"/>
      <c r="J129" s="362"/>
      <c r="K129" s="362"/>
      <c r="L129" s="362"/>
      <c r="M129" s="362"/>
      <c r="N129" s="362"/>
      <c r="O129" s="362"/>
      <c r="P129" s="362"/>
      <c r="Q129" s="362"/>
    </row>
    <row r="130" spans="1:17" s="304" customFormat="1" ht="18" customHeight="1">
      <c r="A130" s="300"/>
      <c r="B130" s="1080"/>
      <c r="C130" s="1082" t="s">
        <v>176</v>
      </c>
      <c r="D130" s="287"/>
      <c r="E130" s="287"/>
      <c r="F130" s="287"/>
      <c r="G130" s="297"/>
      <c r="H130" s="362"/>
      <c r="I130" s="362"/>
      <c r="J130" s="362"/>
      <c r="K130" s="362"/>
      <c r="L130" s="362"/>
      <c r="M130" s="362"/>
      <c r="N130" s="362"/>
      <c r="O130" s="362"/>
      <c r="P130" s="362"/>
      <c r="Q130" s="362"/>
    </row>
    <row r="131" spans="1:17" s="304" customFormat="1" ht="18" customHeight="1">
      <c r="A131" s="300"/>
      <c r="B131" s="1080"/>
      <c r="C131" s="1084" t="s">
        <v>177</v>
      </c>
      <c r="D131" s="287"/>
      <c r="E131" s="287"/>
      <c r="F131" s="287"/>
      <c r="G131" s="297"/>
      <c r="H131" s="364"/>
      <c r="I131" s="364"/>
      <c r="J131" s="364"/>
      <c r="K131" s="364"/>
      <c r="L131" s="364"/>
      <c r="M131" s="364"/>
      <c r="N131" s="364"/>
      <c r="O131" s="364"/>
      <c r="P131" s="364"/>
      <c r="Q131" s="364"/>
    </row>
    <row r="132" spans="1:17" s="304" customFormat="1" ht="18" customHeight="1">
      <c r="A132" s="300"/>
      <c r="B132" s="1080"/>
      <c r="C132" s="1082" t="s">
        <v>104</v>
      </c>
      <c r="D132" s="287" t="s">
        <v>178</v>
      </c>
      <c r="E132" s="287">
        <v>240</v>
      </c>
      <c r="F132" s="287">
        <f>'lead 1'!M8</f>
        <v>4300</v>
      </c>
      <c r="G132" s="297">
        <f>ROUND(E132*F132/1000,2)</f>
        <v>1032</v>
      </c>
      <c r="H132" s="361"/>
      <c r="I132" s="361">
        <f>G132</f>
        <v>1032</v>
      </c>
      <c r="J132" s="361"/>
      <c r="K132" s="361"/>
      <c r="L132" s="361"/>
      <c r="M132" s="361"/>
      <c r="N132" s="361"/>
      <c r="O132" s="361"/>
      <c r="P132" s="361"/>
      <c r="Q132" s="361"/>
    </row>
    <row r="133" spans="1:17" s="304" customFormat="1" ht="18" customHeight="1">
      <c r="A133" s="300"/>
      <c r="B133" s="1080"/>
      <c r="C133" s="1082" t="s">
        <v>179</v>
      </c>
      <c r="D133" s="287" t="s">
        <v>112</v>
      </c>
      <c r="E133" s="287">
        <v>1.05</v>
      </c>
      <c r="F133" s="287">
        <f>'lead 1'!M12</f>
        <v>1549.4</v>
      </c>
      <c r="G133" s="297">
        <f>ROUND(E133*F133,2)</f>
        <v>1626.87</v>
      </c>
      <c r="H133" s="362"/>
      <c r="I133" s="362"/>
      <c r="J133" s="362"/>
      <c r="K133" s="362">
        <f>G133</f>
        <v>1626.87</v>
      </c>
      <c r="L133" s="362"/>
      <c r="M133" s="362"/>
      <c r="N133" s="362"/>
      <c r="O133" s="362"/>
      <c r="P133" s="362"/>
      <c r="Q133" s="362"/>
    </row>
    <row r="134" spans="1:17" s="304" customFormat="1" ht="18" customHeight="1">
      <c r="A134" s="300"/>
      <c r="B134" s="1080"/>
      <c r="C134" s="1082" t="s">
        <v>180</v>
      </c>
      <c r="D134" s="287" t="s">
        <v>112</v>
      </c>
      <c r="E134" s="287">
        <v>1.05</v>
      </c>
      <c r="F134" s="287"/>
      <c r="G134" s="297"/>
      <c r="H134" s="362"/>
      <c r="I134" s="362"/>
      <c r="J134" s="362"/>
      <c r="K134" s="362"/>
      <c r="L134" s="362"/>
      <c r="M134" s="362"/>
      <c r="N134" s="362"/>
      <c r="O134" s="362"/>
      <c r="P134" s="362"/>
      <c r="Q134" s="362"/>
    </row>
    <row r="135" spans="1:17" s="304" customFormat="1" ht="18" customHeight="1">
      <c r="A135" s="300"/>
      <c r="B135" s="1080"/>
      <c r="C135" s="1084" t="s">
        <v>181</v>
      </c>
      <c r="D135" s="287"/>
      <c r="E135" s="287"/>
      <c r="F135" s="287"/>
      <c r="G135" s="297"/>
      <c r="H135" s="362"/>
      <c r="I135" s="362"/>
      <c r="J135" s="362"/>
      <c r="K135" s="362"/>
      <c r="L135" s="362"/>
      <c r="M135" s="362"/>
      <c r="N135" s="362"/>
      <c r="O135" s="362"/>
      <c r="P135" s="362"/>
      <c r="Q135" s="362"/>
    </row>
    <row r="136" spans="1:17" s="304" customFormat="1" ht="18" customHeight="1">
      <c r="A136" s="300"/>
      <c r="B136" s="1080"/>
      <c r="C136" s="1082" t="s">
        <v>182</v>
      </c>
      <c r="D136" s="287" t="s">
        <v>183</v>
      </c>
      <c r="E136" s="287"/>
      <c r="F136" s="287"/>
      <c r="G136" s="297"/>
      <c r="H136" s="364"/>
      <c r="I136" s="364"/>
      <c r="J136" s="364"/>
      <c r="K136" s="364"/>
      <c r="L136" s="364"/>
      <c r="M136" s="364"/>
      <c r="N136" s="364"/>
      <c r="O136" s="364"/>
      <c r="P136" s="364"/>
      <c r="Q136" s="364"/>
    </row>
    <row r="137" spans="1:17" s="304" customFormat="1" ht="18" customHeight="1">
      <c r="A137" s="300"/>
      <c r="B137" s="1080"/>
      <c r="C137" s="1084" t="s">
        <v>184</v>
      </c>
      <c r="D137" s="287"/>
      <c r="E137" s="287"/>
      <c r="F137" s="287"/>
      <c r="G137" s="297"/>
      <c r="H137" s="366"/>
      <c r="I137" s="366"/>
      <c r="J137" s="366"/>
      <c r="K137" s="366"/>
      <c r="L137" s="366"/>
      <c r="M137" s="366"/>
      <c r="N137" s="366"/>
      <c r="O137" s="366"/>
      <c r="P137" s="366"/>
      <c r="Q137" s="366"/>
    </row>
    <row r="138" spans="1:17" s="304" customFormat="1" ht="18" customHeight="1">
      <c r="A138" s="300"/>
      <c r="B138" s="1080"/>
      <c r="C138" s="1082" t="s">
        <v>185</v>
      </c>
      <c r="D138" s="287" t="s">
        <v>186</v>
      </c>
      <c r="E138" s="287">
        <v>0.2</v>
      </c>
      <c r="F138" s="287">
        <f>'lead 1'!M28</f>
        <v>420</v>
      </c>
      <c r="G138" s="297">
        <f>ROUND(E138*F138,2)</f>
        <v>84</v>
      </c>
      <c r="H138" s="366"/>
      <c r="I138" s="366"/>
      <c r="J138" s="366"/>
      <c r="K138" s="366"/>
      <c r="L138" s="366"/>
      <c r="M138" s="366"/>
      <c r="N138" s="366"/>
      <c r="O138" s="366"/>
      <c r="P138" s="366">
        <f>G138</f>
        <v>84</v>
      </c>
      <c r="Q138" s="366"/>
    </row>
    <row r="139" spans="1:17" s="292" customFormat="1" ht="18" customHeight="1">
      <c r="C139" s="1082" t="s">
        <v>794</v>
      </c>
      <c r="D139" s="287">
        <f>G138</f>
        <v>84</v>
      </c>
      <c r="E139" s="287"/>
      <c r="F139" s="287"/>
      <c r="G139" s="297">
        <f>ROUND(D139*$D$3,2)</f>
        <v>0</v>
      </c>
      <c r="H139" s="362"/>
      <c r="I139" s="362"/>
      <c r="J139" s="362"/>
      <c r="K139" s="362"/>
      <c r="L139" s="362"/>
      <c r="M139" s="362"/>
      <c r="N139" s="362"/>
      <c r="O139" s="362"/>
      <c r="P139" s="362">
        <f>G139</f>
        <v>0</v>
      </c>
      <c r="Q139" s="362"/>
    </row>
    <row r="140" spans="1:17" s="304" customFormat="1" ht="18" customHeight="1">
      <c r="A140" s="300"/>
      <c r="B140" s="1080"/>
      <c r="C140" s="1084" t="s">
        <v>187</v>
      </c>
      <c r="D140" s="287"/>
      <c r="E140" s="287"/>
      <c r="F140" s="298" t="s">
        <v>438</v>
      </c>
      <c r="G140" s="298">
        <f>ROUND(SUM(G132:G139),2)</f>
        <v>2742.87</v>
      </c>
      <c r="H140" s="367"/>
      <c r="I140" s="367">
        <f>SUM(I130:I138)</f>
        <v>1032</v>
      </c>
      <c r="J140" s="367">
        <f t="shared" ref="J140:P140" si="6">SUM(J130:J138)</f>
        <v>0</v>
      </c>
      <c r="K140" s="367">
        <f t="shared" si="6"/>
        <v>1626.87</v>
      </c>
      <c r="L140" s="367">
        <f t="shared" si="6"/>
        <v>0</v>
      </c>
      <c r="M140" s="367">
        <f t="shared" si="6"/>
        <v>0</v>
      </c>
      <c r="N140" s="367">
        <f t="shared" si="6"/>
        <v>0</v>
      </c>
      <c r="O140" s="367"/>
      <c r="P140" s="367">
        <f t="shared" si="6"/>
        <v>84</v>
      </c>
      <c r="Q140" s="367">
        <f>SUM(I140:P140)</f>
        <v>2742.87</v>
      </c>
    </row>
    <row r="141" spans="1:17" s="292" customFormat="1" ht="24" customHeight="1">
      <c r="A141" s="1080" t="s">
        <v>196</v>
      </c>
      <c r="B141" s="293">
        <v>8</v>
      </c>
      <c r="C141" s="1084" t="s">
        <v>197</v>
      </c>
      <c r="D141" s="1084"/>
      <c r="E141" s="1084"/>
      <c r="F141" s="1084"/>
      <c r="G141" s="1084"/>
      <c r="H141" s="367"/>
      <c r="I141" s="367"/>
      <c r="J141" s="367"/>
      <c r="K141" s="367"/>
      <c r="L141" s="367"/>
      <c r="M141" s="367"/>
      <c r="N141" s="367"/>
      <c r="O141" s="367"/>
      <c r="P141" s="367"/>
      <c r="Q141" s="367"/>
    </row>
    <row r="142" spans="1:17" s="304" customFormat="1" ht="18" customHeight="1">
      <c r="A142" s="300"/>
      <c r="B142" s="1080"/>
      <c r="C142" s="1082" t="s">
        <v>176</v>
      </c>
      <c r="D142" s="287"/>
      <c r="E142" s="287"/>
      <c r="F142" s="287"/>
      <c r="G142" s="297"/>
      <c r="H142" s="367"/>
      <c r="I142" s="367"/>
      <c r="J142" s="367"/>
      <c r="K142" s="367"/>
      <c r="L142" s="367"/>
      <c r="M142" s="367"/>
      <c r="N142" s="367"/>
      <c r="O142" s="367"/>
      <c r="P142" s="367"/>
      <c r="Q142" s="367"/>
    </row>
    <row r="143" spans="1:17" s="304" customFormat="1" ht="18" customHeight="1">
      <c r="A143" s="300"/>
      <c r="B143" s="1080"/>
      <c r="C143" s="1084" t="s">
        <v>177</v>
      </c>
      <c r="D143" s="287"/>
      <c r="E143" s="287"/>
      <c r="F143" s="287"/>
      <c r="G143" s="297"/>
      <c r="H143" s="366"/>
      <c r="I143" s="366"/>
      <c r="J143" s="366"/>
      <c r="K143" s="366"/>
      <c r="L143" s="366"/>
      <c r="M143" s="366"/>
      <c r="N143" s="366"/>
      <c r="O143" s="366"/>
      <c r="P143" s="366"/>
      <c r="Q143" s="366"/>
    </row>
    <row r="144" spans="1:17" s="304" customFormat="1" ht="18" customHeight="1">
      <c r="A144" s="300"/>
      <c r="B144" s="1080"/>
      <c r="C144" s="1082" t="s">
        <v>104</v>
      </c>
      <c r="D144" s="287" t="s">
        <v>178</v>
      </c>
      <c r="E144" s="287">
        <v>180</v>
      </c>
      <c r="F144" s="287">
        <f>'lead 1'!M8</f>
        <v>4300</v>
      </c>
      <c r="G144" s="297">
        <f>ROUND(E144*F144/1000,2)</f>
        <v>774</v>
      </c>
      <c r="H144" s="367"/>
      <c r="I144" s="367">
        <f>G144</f>
        <v>774</v>
      </c>
      <c r="J144" s="367"/>
      <c r="K144" s="367"/>
      <c r="L144" s="367"/>
      <c r="M144" s="367"/>
      <c r="N144" s="367"/>
      <c r="O144" s="367"/>
      <c r="P144" s="367"/>
      <c r="Q144" s="367"/>
    </row>
    <row r="145" spans="1:17" s="304" customFormat="1" ht="18" customHeight="1">
      <c r="A145" s="300"/>
      <c r="B145" s="1080"/>
      <c r="C145" s="1082" t="s">
        <v>179</v>
      </c>
      <c r="D145" s="287" t="s">
        <v>112</v>
      </c>
      <c r="E145" s="287">
        <v>1.05</v>
      </c>
      <c r="F145" s="287">
        <f>'lead 1'!M12</f>
        <v>1549.4</v>
      </c>
      <c r="G145" s="297">
        <f>ROUND(E145*F145,2)</f>
        <v>1626.87</v>
      </c>
      <c r="H145" s="367"/>
      <c r="I145" s="367"/>
      <c r="J145" s="367"/>
      <c r="K145" s="367">
        <f>G145</f>
        <v>1626.87</v>
      </c>
      <c r="L145" s="367"/>
      <c r="M145" s="367"/>
      <c r="N145" s="367"/>
      <c r="O145" s="367"/>
      <c r="P145" s="367"/>
      <c r="Q145" s="367"/>
    </row>
    <row r="146" spans="1:17" s="304" customFormat="1" ht="18" customHeight="1">
      <c r="A146" s="300"/>
      <c r="B146" s="1080"/>
      <c r="C146" s="1082" t="s">
        <v>180</v>
      </c>
      <c r="D146" s="287" t="s">
        <v>112</v>
      </c>
      <c r="E146" s="287">
        <v>1.05</v>
      </c>
      <c r="F146" s="287"/>
      <c r="G146" s="297"/>
      <c r="H146" s="367"/>
      <c r="I146" s="367"/>
      <c r="J146" s="367"/>
      <c r="K146" s="367"/>
      <c r="L146" s="367"/>
      <c r="M146" s="367"/>
      <c r="N146" s="367"/>
      <c r="O146" s="367"/>
      <c r="P146" s="367"/>
      <c r="Q146" s="367"/>
    </row>
    <row r="147" spans="1:17" s="304" customFormat="1" ht="18" customHeight="1">
      <c r="A147" s="300"/>
      <c r="B147" s="1080"/>
      <c r="C147" s="1084" t="s">
        <v>181</v>
      </c>
      <c r="D147" s="287"/>
      <c r="E147" s="287"/>
      <c r="F147" s="287"/>
      <c r="G147" s="297"/>
      <c r="H147" s="366"/>
      <c r="I147" s="366"/>
      <c r="J147" s="366"/>
      <c r="K147" s="366"/>
      <c r="L147" s="366"/>
      <c r="M147" s="366"/>
      <c r="N147" s="366"/>
      <c r="O147" s="366"/>
      <c r="P147" s="366"/>
      <c r="Q147" s="366"/>
    </row>
    <row r="148" spans="1:17" s="304" customFormat="1" ht="18" customHeight="1">
      <c r="A148" s="300"/>
      <c r="B148" s="1080"/>
      <c r="C148" s="1082" t="s">
        <v>182</v>
      </c>
      <c r="D148" s="287" t="s">
        <v>183</v>
      </c>
      <c r="E148" s="287"/>
      <c r="F148" s="287"/>
      <c r="G148" s="297"/>
      <c r="H148" s="367"/>
      <c r="I148" s="367"/>
      <c r="J148" s="367"/>
      <c r="K148" s="367"/>
      <c r="L148" s="367"/>
      <c r="M148" s="367"/>
      <c r="N148" s="367"/>
      <c r="O148" s="367"/>
      <c r="P148" s="367"/>
      <c r="Q148" s="367"/>
    </row>
    <row r="149" spans="1:17" s="304" customFormat="1" ht="18" customHeight="1">
      <c r="A149" s="300"/>
      <c r="B149" s="1080"/>
      <c r="C149" s="1084" t="s">
        <v>184</v>
      </c>
      <c r="D149" s="287"/>
      <c r="E149" s="287"/>
      <c r="F149" s="287"/>
      <c r="G149" s="297"/>
      <c r="H149" s="362"/>
      <c r="I149" s="362"/>
      <c r="J149" s="362"/>
      <c r="K149" s="362"/>
      <c r="L149" s="362"/>
      <c r="M149" s="362"/>
      <c r="N149" s="362"/>
      <c r="O149" s="362"/>
      <c r="P149" s="362"/>
      <c r="Q149" s="362"/>
    </row>
    <row r="150" spans="1:17" s="304" customFormat="1" ht="18" customHeight="1">
      <c r="A150" s="300"/>
      <c r="B150" s="1080"/>
      <c r="C150" s="1082" t="s">
        <v>185</v>
      </c>
      <c r="D150" s="287" t="s">
        <v>186</v>
      </c>
      <c r="E150" s="287">
        <v>0.2</v>
      </c>
      <c r="F150" s="287">
        <f>'lead 1'!M28</f>
        <v>420</v>
      </c>
      <c r="G150" s="297">
        <f>ROUND(E150*F150,2)</f>
        <v>84</v>
      </c>
      <c r="H150" s="367"/>
      <c r="I150" s="367"/>
      <c r="J150" s="367"/>
      <c r="K150" s="367"/>
      <c r="L150" s="367"/>
      <c r="M150" s="367"/>
      <c r="N150" s="367"/>
      <c r="O150" s="367"/>
      <c r="P150" s="367">
        <f>G150</f>
        <v>84</v>
      </c>
      <c r="Q150" s="367"/>
    </row>
    <row r="151" spans="1:17" s="292" customFormat="1" ht="18" customHeight="1">
      <c r="C151" s="1082" t="s">
        <v>794</v>
      </c>
      <c r="D151" s="287">
        <f>G150</f>
        <v>84</v>
      </c>
      <c r="E151" s="287"/>
      <c r="F151" s="287"/>
      <c r="G151" s="297">
        <f>ROUND(D151*$D$3,2)</f>
        <v>0</v>
      </c>
      <c r="H151" s="362"/>
      <c r="I151" s="362"/>
      <c r="J151" s="362"/>
      <c r="K151" s="362"/>
      <c r="L151" s="362"/>
      <c r="M151" s="362"/>
      <c r="N151" s="362"/>
      <c r="O151" s="362"/>
      <c r="P151" s="362">
        <f>G151</f>
        <v>0</v>
      </c>
      <c r="Q151" s="362"/>
    </row>
    <row r="152" spans="1:17" s="304" customFormat="1" ht="18" customHeight="1">
      <c r="A152" s="300"/>
      <c r="B152" s="1080"/>
      <c r="C152" s="1084" t="s">
        <v>187</v>
      </c>
      <c r="D152" s="287"/>
      <c r="E152" s="287"/>
      <c r="F152" s="298" t="s">
        <v>438</v>
      </c>
      <c r="G152" s="298">
        <f>ROUND(SUM(G144:G151),2)</f>
        <v>2484.87</v>
      </c>
      <c r="H152" s="362"/>
      <c r="I152" s="362">
        <f>SUM(I142:I150)</f>
        <v>774</v>
      </c>
      <c r="J152" s="362">
        <f t="shared" ref="J152:P152" si="7">SUM(J142:J150)</f>
        <v>0</v>
      </c>
      <c r="K152" s="362">
        <f t="shared" si="7"/>
        <v>1626.87</v>
      </c>
      <c r="L152" s="362">
        <f t="shared" si="7"/>
        <v>0</v>
      </c>
      <c r="M152" s="362">
        <f t="shared" si="7"/>
        <v>0</v>
      </c>
      <c r="N152" s="362">
        <f t="shared" si="7"/>
        <v>0</v>
      </c>
      <c r="O152" s="362"/>
      <c r="P152" s="362">
        <f t="shared" si="7"/>
        <v>84</v>
      </c>
      <c r="Q152" s="362">
        <f>SUM(H152:P152)</f>
        <v>2484.87</v>
      </c>
    </row>
    <row r="153" spans="1:17" s="292" customFormat="1" ht="72" customHeight="1">
      <c r="A153" s="1080" t="s">
        <v>237</v>
      </c>
      <c r="B153" s="293">
        <v>9</v>
      </c>
      <c r="C153" s="1312" t="s">
        <v>455</v>
      </c>
      <c r="D153" s="1312"/>
      <c r="E153" s="1312"/>
      <c r="F153" s="1312"/>
      <c r="G153" s="1312"/>
      <c r="H153" s="364"/>
      <c r="I153" s="364"/>
      <c r="J153" s="364"/>
      <c r="K153" s="364"/>
      <c r="L153" s="364"/>
      <c r="M153" s="364"/>
      <c r="N153" s="364"/>
      <c r="O153" s="364"/>
      <c r="P153" s="364"/>
      <c r="Q153" s="364"/>
    </row>
    <row r="154" spans="1:17" s="304" customFormat="1" ht="18" customHeight="1">
      <c r="A154" s="300"/>
      <c r="B154" s="1080"/>
      <c r="C154" s="1082" t="s">
        <v>225</v>
      </c>
      <c r="D154" s="287"/>
      <c r="E154" s="287"/>
      <c r="F154" s="287"/>
      <c r="G154" s="297"/>
      <c r="H154" s="361"/>
      <c r="I154" s="361"/>
      <c r="J154" s="361"/>
      <c r="K154" s="361"/>
      <c r="L154" s="361"/>
      <c r="M154" s="361"/>
      <c r="N154" s="361"/>
      <c r="O154" s="361"/>
      <c r="P154" s="361"/>
      <c r="Q154" s="361"/>
    </row>
    <row r="155" spans="1:17" s="304" customFormat="1" ht="18" customHeight="1">
      <c r="A155" s="300"/>
      <c r="B155" s="1080"/>
      <c r="C155" s="1082" t="s">
        <v>177</v>
      </c>
      <c r="D155" s="287"/>
      <c r="E155" s="287"/>
      <c r="F155" s="287"/>
      <c r="G155" s="297"/>
      <c r="H155" s="362"/>
      <c r="I155" s="362"/>
      <c r="J155" s="362"/>
      <c r="K155" s="362"/>
      <c r="L155" s="362"/>
      <c r="M155" s="362"/>
      <c r="N155" s="362"/>
      <c r="O155" s="362"/>
      <c r="P155" s="362"/>
      <c r="Q155" s="362"/>
    </row>
    <row r="156" spans="1:17" s="304" customFormat="1" ht="18" customHeight="1">
      <c r="A156" s="300"/>
      <c r="B156" s="1080"/>
      <c r="C156" s="1082" t="s">
        <v>104</v>
      </c>
      <c r="D156" s="287" t="s">
        <v>116</v>
      </c>
      <c r="E156" s="287">
        <v>162</v>
      </c>
      <c r="F156" s="287">
        <f>'lead 1'!M8</f>
        <v>4300</v>
      </c>
      <c r="G156" s="297">
        <f>ROUND(E156*F156/1000,2)</f>
        <v>696.6</v>
      </c>
      <c r="H156" s="362"/>
      <c r="I156" s="362">
        <f>G156</f>
        <v>696.6</v>
      </c>
      <c r="J156" s="362"/>
      <c r="K156" s="362"/>
      <c r="L156" s="362"/>
      <c r="M156" s="362"/>
      <c r="N156" s="362"/>
      <c r="O156" s="362"/>
      <c r="P156" s="362"/>
      <c r="Q156" s="362"/>
    </row>
    <row r="157" spans="1:17" s="304" customFormat="1" ht="18" customHeight="1">
      <c r="A157" s="300"/>
      <c r="B157" s="1080"/>
      <c r="C157" s="1082" t="s">
        <v>236</v>
      </c>
      <c r="D157" s="287" t="s">
        <v>112</v>
      </c>
      <c r="E157" s="287">
        <v>0.9</v>
      </c>
      <c r="F157" s="287">
        <f>'lead 1'!M16</f>
        <v>1479.2</v>
      </c>
      <c r="G157" s="297">
        <f>ROUND(E157*F157,2)</f>
        <v>1331.28</v>
      </c>
      <c r="H157" s="362"/>
      <c r="I157" s="362"/>
      <c r="J157" s="362"/>
      <c r="K157" s="362"/>
      <c r="L157" s="362"/>
      <c r="M157" s="362"/>
      <c r="N157" s="362">
        <f>G157</f>
        <v>1331.28</v>
      </c>
      <c r="O157" s="362"/>
      <c r="P157" s="362"/>
      <c r="Q157" s="362"/>
    </row>
    <row r="158" spans="1:17" s="304" customFormat="1" ht="18" customHeight="1">
      <c r="A158" s="300"/>
      <c r="B158" s="1080"/>
      <c r="C158" s="1082" t="s">
        <v>208</v>
      </c>
      <c r="D158" s="287" t="s">
        <v>112</v>
      </c>
      <c r="E158" s="287">
        <v>0.45</v>
      </c>
      <c r="F158" s="287">
        <f>'lead 1'!M13</f>
        <v>1469.4</v>
      </c>
      <c r="G158" s="297">
        <f>ROUND(E158*F158,2)</f>
        <v>661.23</v>
      </c>
      <c r="H158" s="362"/>
      <c r="I158" s="362"/>
      <c r="J158" s="362"/>
      <c r="K158" s="362"/>
      <c r="L158" s="362">
        <f>G158</f>
        <v>661.23</v>
      </c>
      <c r="M158" s="362"/>
      <c r="N158" s="362"/>
      <c r="O158" s="362"/>
      <c r="P158" s="362"/>
      <c r="Q158" s="362"/>
    </row>
    <row r="159" spans="1:17" s="304" customFormat="1" ht="18" customHeight="1">
      <c r="A159" s="300"/>
      <c r="B159" s="1080"/>
      <c r="C159" s="1082" t="s">
        <v>456</v>
      </c>
      <c r="D159" s="287" t="s">
        <v>457</v>
      </c>
      <c r="E159" s="287">
        <v>1.2</v>
      </c>
      <c r="F159" s="287">
        <v>80</v>
      </c>
      <c r="G159" s="297">
        <f>ROUND(E159*F159,2)</f>
        <v>96</v>
      </c>
      <c r="H159" s="362"/>
      <c r="I159" s="362"/>
      <c r="J159" s="362"/>
      <c r="K159" s="362"/>
      <c r="L159" s="362"/>
      <c r="M159" s="362"/>
      <c r="N159" s="362"/>
      <c r="O159" s="362"/>
      <c r="P159" s="362">
        <f>G159</f>
        <v>96</v>
      </c>
      <c r="Q159" s="362"/>
    </row>
    <row r="160" spans="1:17" s="304" customFormat="1" ht="18" customHeight="1">
      <c r="A160" s="300"/>
      <c r="B160" s="1080"/>
      <c r="C160" s="1082" t="s">
        <v>221</v>
      </c>
      <c r="D160" s="287" t="s">
        <v>222</v>
      </c>
      <c r="E160" s="287">
        <v>1</v>
      </c>
      <c r="F160" s="287">
        <f>'lead 1'!C53-F161</f>
        <v>272.50000000000006</v>
      </c>
      <c r="G160" s="297">
        <f>ROUND(E160*F160,2)</f>
        <v>272.5</v>
      </c>
      <c r="H160" s="362"/>
      <c r="I160" s="362"/>
      <c r="J160" s="362"/>
      <c r="K160" s="362"/>
      <c r="L160" s="362"/>
      <c r="M160" s="362"/>
      <c r="N160" s="362"/>
      <c r="O160" s="362"/>
      <c r="P160" s="362">
        <f>G160</f>
        <v>272.5</v>
      </c>
      <c r="Q160" s="362"/>
    </row>
    <row r="161" spans="1:17" s="304" customFormat="1" ht="18" customHeight="1">
      <c r="A161" s="300"/>
      <c r="B161" s="1080"/>
      <c r="C161" s="1082" t="s">
        <v>1147</v>
      </c>
      <c r="D161" s="287" t="s">
        <v>222</v>
      </c>
      <c r="E161" s="287">
        <v>1</v>
      </c>
      <c r="F161" s="287">
        <v>252.2</v>
      </c>
      <c r="G161" s="297">
        <f>ROUND(E161*F161,2)</f>
        <v>252.2</v>
      </c>
      <c r="H161" s="362"/>
      <c r="I161" s="362"/>
      <c r="J161" s="362"/>
      <c r="K161" s="362"/>
      <c r="L161" s="362"/>
      <c r="M161" s="362"/>
      <c r="N161" s="362"/>
      <c r="O161" s="362"/>
      <c r="P161" s="362">
        <f>G161</f>
        <v>252.2</v>
      </c>
      <c r="Q161" s="362"/>
    </row>
    <row r="162" spans="1:17" s="304" customFormat="1" ht="18" customHeight="1">
      <c r="A162" s="300"/>
      <c r="B162" s="1080"/>
      <c r="C162" s="1082" t="s">
        <v>184</v>
      </c>
      <c r="D162" s="287"/>
      <c r="E162" s="287"/>
      <c r="F162" s="287"/>
      <c r="G162" s="297"/>
      <c r="H162" s="362"/>
      <c r="I162" s="362"/>
      <c r="J162" s="362"/>
      <c r="K162" s="362"/>
      <c r="L162" s="362"/>
      <c r="M162" s="362"/>
      <c r="N162" s="362"/>
      <c r="O162" s="362"/>
      <c r="P162" s="362"/>
      <c r="Q162" s="362"/>
    </row>
    <row r="163" spans="1:17" s="304" customFormat="1" ht="18" customHeight="1">
      <c r="A163" s="300"/>
      <c r="B163" s="1080"/>
      <c r="C163" s="1082" t="s">
        <v>630</v>
      </c>
      <c r="D163" s="287" t="s">
        <v>186</v>
      </c>
      <c r="E163" s="287">
        <v>0.1</v>
      </c>
      <c r="F163" s="287">
        <f>'lead 1'!M31</f>
        <v>500</v>
      </c>
      <c r="G163" s="297">
        <f>ROUND(E163*F163,2)</f>
        <v>50</v>
      </c>
      <c r="H163" s="362"/>
      <c r="I163" s="362"/>
      <c r="J163" s="362"/>
      <c r="K163" s="362"/>
      <c r="L163" s="362"/>
      <c r="M163" s="362"/>
      <c r="N163" s="362"/>
      <c r="O163" s="362"/>
      <c r="P163" s="362">
        <f>G163</f>
        <v>50</v>
      </c>
      <c r="Q163" s="362"/>
    </row>
    <row r="164" spans="1:17" s="304" customFormat="1" ht="18" customHeight="1">
      <c r="A164" s="300"/>
      <c r="B164" s="1080"/>
      <c r="C164" s="1082" t="s">
        <v>213</v>
      </c>
      <c r="D164" s="287" t="s">
        <v>186</v>
      </c>
      <c r="E164" s="287">
        <v>1.39</v>
      </c>
      <c r="F164" s="287">
        <f>'lead 1'!M28</f>
        <v>420</v>
      </c>
      <c r="G164" s="297">
        <f>ROUND(E164*F164,2)</f>
        <v>583.79999999999995</v>
      </c>
      <c r="H164" s="362"/>
      <c r="I164" s="362"/>
      <c r="J164" s="362"/>
      <c r="K164" s="362"/>
      <c r="L164" s="362"/>
      <c r="M164" s="362"/>
      <c r="N164" s="362"/>
      <c r="O164" s="362"/>
      <c r="P164" s="362">
        <f>G164</f>
        <v>583.79999999999995</v>
      </c>
      <c r="Q164" s="362"/>
    </row>
    <row r="165" spans="1:17" s="304" customFormat="1" ht="18" customHeight="1">
      <c r="A165" s="300"/>
      <c r="B165" s="1080"/>
      <c r="C165" s="1082" t="s">
        <v>239</v>
      </c>
      <c r="D165" s="287"/>
      <c r="E165" s="287">
        <f>SUM(G156:G164)</f>
        <v>3943.6099999999997</v>
      </c>
      <c r="F165" s="287">
        <v>0.01</v>
      </c>
      <c r="G165" s="297">
        <v>0</v>
      </c>
      <c r="H165" s="362"/>
      <c r="I165" s="362"/>
      <c r="J165" s="362"/>
      <c r="K165" s="362"/>
      <c r="L165" s="362"/>
      <c r="M165" s="362"/>
      <c r="N165" s="362"/>
      <c r="O165" s="362"/>
      <c r="P165" s="362">
        <f>G165</f>
        <v>0</v>
      </c>
      <c r="Q165" s="362"/>
    </row>
    <row r="166" spans="1:17" s="292" customFormat="1" ht="18" customHeight="1">
      <c r="C166" s="1082" t="s">
        <v>794</v>
      </c>
      <c r="D166" s="287">
        <f>SUM(G163:G164)+G161</f>
        <v>886</v>
      </c>
      <c r="E166" s="287"/>
      <c r="F166" s="287"/>
      <c r="G166" s="297">
        <f>ROUND(D166*D3,2)</f>
        <v>0</v>
      </c>
      <c r="H166" s="362"/>
      <c r="I166" s="362"/>
      <c r="J166" s="362"/>
      <c r="K166" s="362"/>
      <c r="L166" s="362"/>
      <c r="M166" s="362"/>
      <c r="N166" s="362"/>
      <c r="O166" s="362"/>
      <c r="P166" s="362">
        <f>G166</f>
        <v>0</v>
      </c>
      <c r="Q166" s="362"/>
    </row>
    <row r="167" spans="1:17" s="292" customFormat="1" ht="18" customHeight="1">
      <c r="C167" s="1082"/>
      <c r="D167" s="287"/>
      <c r="E167" s="287"/>
      <c r="F167" s="287"/>
      <c r="G167" s="298">
        <f>SUM(G156:G166)</f>
        <v>3943.6099999999997</v>
      </c>
      <c r="H167" s="362"/>
      <c r="I167" s="362"/>
      <c r="J167" s="362"/>
      <c r="K167" s="362"/>
      <c r="L167" s="362"/>
      <c r="M167" s="362"/>
      <c r="N167" s="362"/>
      <c r="O167" s="362"/>
      <c r="P167" s="362"/>
      <c r="Q167" s="362"/>
    </row>
    <row r="168" spans="1:17" s="292" customFormat="1" ht="18" customHeight="1">
      <c r="C168" s="1082" t="s">
        <v>690</v>
      </c>
      <c r="D168" s="287">
        <f>G167</f>
        <v>3943.6099999999997</v>
      </c>
      <c r="E168" s="287"/>
      <c r="F168" s="287"/>
      <c r="G168" s="297">
        <f>ROUND(D168*D2,2)</f>
        <v>0</v>
      </c>
      <c r="H168" s="362"/>
      <c r="I168" s="362"/>
      <c r="J168" s="362"/>
      <c r="K168" s="362"/>
      <c r="L168" s="362"/>
      <c r="M168" s="362"/>
      <c r="N168" s="362"/>
      <c r="O168" s="362"/>
      <c r="P168" s="362">
        <f>G168</f>
        <v>0</v>
      </c>
      <c r="Q168" s="362"/>
    </row>
    <row r="169" spans="1:17" s="293" customFormat="1" ht="18" customHeight="1">
      <c r="C169" s="1084" t="s">
        <v>444</v>
      </c>
      <c r="D169" s="256"/>
      <c r="E169" s="256"/>
      <c r="F169" s="298" t="s">
        <v>438</v>
      </c>
      <c r="G169" s="298">
        <f>SUM(G167:G168)</f>
        <v>3943.6099999999997</v>
      </c>
      <c r="H169" s="362"/>
      <c r="I169" s="298">
        <f t="shared" ref="I169:N169" si="8">SUM(I155:I168)</f>
        <v>696.6</v>
      </c>
      <c r="J169" s="298">
        <f t="shared" si="8"/>
        <v>0</v>
      </c>
      <c r="K169" s="298">
        <f t="shared" si="8"/>
        <v>0</v>
      </c>
      <c r="L169" s="298">
        <f t="shared" si="8"/>
        <v>661.23</v>
      </c>
      <c r="M169" s="298">
        <f t="shared" si="8"/>
        <v>0</v>
      </c>
      <c r="N169" s="298">
        <f t="shared" si="8"/>
        <v>1331.28</v>
      </c>
      <c r="O169" s="298"/>
      <c r="P169" s="298">
        <f>SUM(P155:P168)</f>
        <v>1254.5</v>
      </c>
      <c r="Q169" s="362">
        <f>SUM(I169:P169)</f>
        <v>3943.6099999999997</v>
      </c>
    </row>
    <row r="170" spans="1:17" s="293" customFormat="1" ht="18" customHeight="1">
      <c r="C170" s="1084"/>
      <c r="D170" s="256"/>
      <c r="E170" s="256"/>
      <c r="F170" s="298"/>
      <c r="G170" s="298"/>
      <c r="H170" s="362"/>
      <c r="I170" s="362"/>
      <c r="J170" s="362"/>
      <c r="K170" s="362"/>
      <c r="L170" s="362"/>
      <c r="M170" s="362"/>
      <c r="N170" s="362"/>
      <c r="O170" s="362"/>
      <c r="P170" s="362"/>
      <c r="Q170" s="362"/>
    </row>
    <row r="171" spans="1:17" s="292" customFormat="1" ht="93.75" customHeight="1">
      <c r="A171" s="1080" t="s">
        <v>1035</v>
      </c>
      <c r="B171" s="293">
        <v>10</v>
      </c>
      <c r="C171" s="1312" t="s">
        <v>1937</v>
      </c>
      <c r="D171" s="1312"/>
      <c r="E171" s="1312"/>
      <c r="F171" s="1312"/>
      <c r="G171" s="1312"/>
      <c r="H171" s="362"/>
      <c r="I171" s="362"/>
      <c r="J171" s="362"/>
      <c r="K171" s="362"/>
      <c r="L171" s="362"/>
      <c r="M171" s="362"/>
      <c r="N171" s="362"/>
      <c r="O171" s="362"/>
      <c r="P171" s="362"/>
      <c r="Q171" s="362"/>
    </row>
    <row r="172" spans="1:17" s="304" customFormat="1" ht="18" customHeight="1">
      <c r="A172" s="300"/>
      <c r="B172" s="1080" t="s">
        <v>254</v>
      </c>
      <c r="C172" s="1084" t="s">
        <v>255</v>
      </c>
      <c r="D172" s="287"/>
      <c r="E172" s="287"/>
      <c r="F172" s="287"/>
      <c r="G172" s="297"/>
      <c r="H172" s="362"/>
      <c r="I172" s="362"/>
      <c r="J172" s="362"/>
      <c r="K172" s="362"/>
      <c r="L172" s="362"/>
      <c r="M172" s="362"/>
      <c r="N172" s="362"/>
      <c r="O172" s="362"/>
      <c r="P172" s="362"/>
      <c r="Q172" s="362"/>
    </row>
    <row r="173" spans="1:17" s="304" customFormat="1" ht="18" customHeight="1">
      <c r="A173" s="300"/>
      <c r="B173" s="1080"/>
      <c r="C173" s="1082" t="s">
        <v>177</v>
      </c>
      <c r="D173" s="287"/>
      <c r="E173" s="287"/>
      <c r="F173" s="287"/>
      <c r="G173" s="297"/>
      <c r="H173" s="362"/>
      <c r="I173" s="362"/>
      <c r="J173" s="362"/>
      <c r="K173" s="362"/>
      <c r="L173" s="362"/>
      <c r="M173" s="362"/>
      <c r="N173" s="362"/>
      <c r="O173" s="362"/>
      <c r="P173" s="362"/>
      <c r="Q173" s="362"/>
    </row>
    <row r="174" spans="1:17" s="304" customFormat="1" ht="29.25" customHeight="1">
      <c r="A174" s="300"/>
      <c r="B174" s="1080"/>
      <c r="C174" s="1083" t="s">
        <v>1033</v>
      </c>
      <c r="D174" s="287" t="s">
        <v>112</v>
      </c>
      <c r="E174" s="287">
        <v>0.8</v>
      </c>
      <c r="F174" s="287">
        <f>F13</f>
        <v>1460.5600000000002</v>
      </c>
      <c r="G174" s="297">
        <f>ROUND(E174*F174,2)</f>
        <v>1168.45</v>
      </c>
      <c r="H174" s="361"/>
      <c r="I174" s="361"/>
      <c r="J174" s="361"/>
      <c r="K174" s="361"/>
      <c r="L174" s="361"/>
      <c r="M174" s="361">
        <f>G174</f>
        <v>1168.45</v>
      </c>
      <c r="N174" s="361"/>
      <c r="O174" s="361"/>
      <c r="P174" s="361"/>
      <c r="Q174" s="361"/>
    </row>
    <row r="175" spans="1:17" s="304" customFormat="1" ht="18" customHeight="1">
      <c r="A175" s="300"/>
      <c r="B175" s="1080"/>
      <c r="C175" s="1082" t="s">
        <v>119</v>
      </c>
      <c r="D175" s="287" t="s">
        <v>112</v>
      </c>
      <c r="E175" s="287">
        <v>0.4</v>
      </c>
      <c r="F175" s="287">
        <f>'lead 1'!M13</f>
        <v>1469.4</v>
      </c>
      <c r="G175" s="297">
        <f>ROUND(E175*F175,2)</f>
        <v>587.76</v>
      </c>
      <c r="H175" s="362"/>
      <c r="I175" s="362"/>
      <c r="J175" s="362"/>
      <c r="K175" s="362"/>
      <c r="L175" s="362">
        <f>G175</f>
        <v>587.76</v>
      </c>
      <c r="M175" s="362"/>
      <c r="N175" s="362"/>
      <c r="O175" s="362"/>
      <c r="P175" s="362"/>
      <c r="Q175" s="362"/>
    </row>
    <row r="176" spans="1:17" s="304" customFormat="1" ht="18" customHeight="1">
      <c r="A176" s="300"/>
      <c r="B176" s="1080"/>
      <c r="C176" s="1082" t="s">
        <v>1938</v>
      </c>
      <c r="D176" s="287" t="s">
        <v>280</v>
      </c>
      <c r="E176" s="287">
        <v>330</v>
      </c>
      <c r="F176" s="287">
        <f>'lead 1'!M8</f>
        <v>4300</v>
      </c>
      <c r="G176" s="297">
        <f>ROUND(E176*F176/1000,2)</f>
        <v>1419</v>
      </c>
      <c r="H176" s="354"/>
      <c r="I176" s="1049">
        <f>G176</f>
        <v>1419</v>
      </c>
      <c r="J176" s="354"/>
      <c r="K176" s="354"/>
      <c r="L176" s="354"/>
      <c r="M176" s="364"/>
      <c r="N176" s="364"/>
      <c r="O176" s="364"/>
      <c r="P176" s="364"/>
      <c r="Q176" s="364"/>
    </row>
    <row r="177" spans="1:17" s="304" customFormat="1" ht="18" customHeight="1">
      <c r="A177" s="300"/>
      <c r="B177" s="1080"/>
      <c r="C177" s="1082" t="s">
        <v>211</v>
      </c>
      <c r="D177" s="287"/>
      <c r="E177" s="287"/>
      <c r="F177" s="287"/>
      <c r="G177" s="297"/>
      <c r="H177" s="361"/>
      <c r="I177" s="361"/>
      <c r="J177" s="361"/>
      <c r="K177" s="361"/>
      <c r="L177" s="361"/>
      <c r="M177" s="361"/>
      <c r="N177" s="361"/>
      <c r="O177" s="361"/>
      <c r="P177" s="361"/>
      <c r="Q177" s="361"/>
    </row>
    <row r="178" spans="1:17" s="304" customFormat="1" ht="18" customHeight="1">
      <c r="A178" s="300"/>
      <c r="B178" s="1080"/>
      <c r="C178" s="1082" t="s">
        <v>281</v>
      </c>
      <c r="D178" s="287" t="s">
        <v>186</v>
      </c>
      <c r="E178" s="307">
        <v>0.13300000000000001</v>
      </c>
      <c r="F178" s="287">
        <f>'lead 1'!M31</f>
        <v>500</v>
      </c>
      <c r="G178" s="297">
        <f>ROUND(E178*F178,2)</f>
        <v>66.5</v>
      </c>
      <c r="H178" s="362"/>
      <c r="I178" s="362"/>
      <c r="J178" s="362"/>
      <c r="K178" s="362"/>
      <c r="L178" s="362"/>
      <c r="M178" s="362"/>
      <c r="N178" s="362"/>
      <c r="O178" s="362"/>
      <c r="P178" s="362">
        <f>G178</f>
        <v>66.5</v>
      </c>
      <c r="Q178" s="362"/>
    </row>
    <row r="179" spans="1:17" s="304" customFormat="1" ht="18" customHeight="1">
      <c r="A179" s="300"/>
      <c r="B179" s="1080"/>
      <c r="C179" s="1082" t="s">
        <v>282</v>
      </c>
      <c r="D179" s="287" t="s">
        <v>186</v>
      </c>
      <c r="E179" s="307">
        <v>0.26700000000000002</v>
      </c>
      <c r="F179" s="287">
        <f>'lead 1'!M30</f>
        <v>460</v>
      </c>
      <c r="G179" s="297">
        <f>ROUND(E179*F179,2)</f>
        <v>122.82</v>
      </c>
      <c r="H179" s="362"/>
      <c r="I179" s="362"/>
      <c r="J179" s="362"/>
      <c r="K179" s="362"/>
      <c r="L179" s="362"/>
      <c r="M179" s="362"/>
      <c r="N179" s="362"/>
      <c r="O179" s="362"/>
      <c r="P179" s="362">
        <f t="shared" ref="P179:P186" si="9">G179</f>
        <v>122.82</v>
      </c>
      <c r="Q179" s="362"/>
    </row>
    <row r="180" spans="1:17" s="304" customFormat="1" ht="18" customHeight="1">
      <c r="A180" s="300"/>
      <c r="B180" s="1080"/>
      <c r="C180" s="1082" t="s">
        <v>283</v>
      </c>
      <c r="D180" s="287" t="s">
        <v>186</v>
      </c>
      <c r="E180" s="307">
        <v>3.6</v>
      </c>
      <c r="F180" s="287">
        <f>'lead 1'!M28</f>
        <v>420</v>
      </c>
      <c r="G180" s="297">
        <f>ROUND(E180*F180,2)</f>
        <v>1512</v>
      </c>
      <c r="H180" s="362"/>
      <c r="I180" s="362"/>
      <c r="J180" s="362"/>
      <c r="K180" s="362"/>
      <c r="L180" s="362"/>
      <c r="M180" s="362"/>
      <c r="N180" s="362"/>
      <c r="O180" s="362"/>
      <c r="P180" s="362">
        <f t="shared" si="9"/>
        <v>1512</v>
      </c>
      <c r="Q180" s="362"/>
    </row>
    <row r="181" spans="1:17" s="304" customFormat="1" ht="18" customHeight="1">
      <c r="A181" s="300"/>
      <c r="B181" s="1080"/>
      <c r="C181" s="1082" t="s">
        <v>181</v>
      </c>
      <c r="D181" s="287"/>
      <c r="E181" s="287"/>
      <c r="F181" s="287"/>
      <c r="G181" s="297"/>
      <c r="H181" s="362"/>
      <c r="I181" s="362"/>
      <c r="J181" s="362"/>
      <c r="K181" s="362"/>
      <c r="L181" s="362"/>
      <c r="M181" s="362"/>
      <c r="N181" s="362"/>
      <c r="O181" s="362"/>
      <c r="P181" s="362"/>
      <c r="Q181" s="362"/>
    </row>
    <row r="182" spans="1:17" s="304" customFormat="1" ht="18" customHeight="1">
      <c r="A182" s="300"/>
      <c r="B182" s="1080"/>
      <c r="C182" s="1082" t="s">
        <v>221</v>
      </c>
      <c r="D182" s="287" t="s">
        <v>222</v>
      </c>
      <c r="E182" s="307">
        <v>1</v>
      </c>
      <c r="F182" s="287">
        <f>'lead 1'!C53-F183</f>
        <v>272.50000000000006</v>
      </c>
      <c r="G182" s="297">
        <f>ROUND(E182*F182,2)</f>
        <v>272.5</v>
      </c>
      <c r="H182" s="362"/>
      <c r="I182" s="362"/>
      <c r="J182" s="362"/>
      <c r="K182" s="362"/>
      <c r="L182" s="362"/>
      <c r="M182" s="362"/>
      <c r="N182" s="362"/>
      <c r="O182" s="362"/>
      <c r="P182" s="362">
        <f t="shared" si="9"/>
        <v>272.5</v>
      </c>
      <c r="Q182" s="362"/>
    </row>
    <row r="183" spans="1:17" s="304" customFormat="1" ht="18" customHeight="1">
      <c r="A183" s="300"/>
      <c r="B183" s="1080"/>
      <c r="C183" s="1082" t="s">
        <v>1147</v>
      </c>
      <c r="D183" s="287" t="s">
        <v>222</v>
      </c>
      <c r="E183" s="287">
        <v>1</v>
      </c>
      <c r="F183" s="287">
        <v>252.2</v>
      </c>
      <c r="G183" s="297">
        <f>ROUND(E183*F183,2)</f>
        <v>252.2</v>
      </c>
      <c r="H183" s="362"/>
      <c r="I183" s="362"/>
      <c r="J183" s="362"/>
      <c r="K183" s="362"/>
      <c r="L183" s="362"/>
      <c r="M183" s="362"/>
      <c r="N183" s="362"/>
      <c r="O183" s="362"/>
      <c r="P183" s="362">
        <f>G183</f>
        <v>252.2</v>
      </c>
      <c r="Q183" s="362"/>
    </row>
    <row r="184" spans="1:17" s="304" customFormat="1" ht="18" customHeight="1">
      <c r="A184" s="300"/>
      <c r="B184" s="1080"/>
      <c r="C184" s="1082" t="s">
        <v>458</v>
      </c>
      <c r="D184" s="287" t="s">
        <v>222</v>
      </c>
      <c r="E184" s="307">
        <v>1</v>
      </c>
      <c r="F184" s="287">
        <f>'lead 1'!C54-F185</f>
        <v>27.599999999999994</v>
      </c>
      <c r="G184" s="297">
        <f>ROUND(E184*F184,2)</f>
        <v>27.6</v>
      </c>
      <c r="H184" s="362"/>
      <c r="I184" s="362"/>
      <c r="J184" s="362"/>
      <c r="K184" s="362"/>
      <c r="L184" s="362"/>
      <c r="M184" s="362"/>
      <c r="N184" s="362"/>
      <c r="O184" s="362"/>
      <c r="P184" s="362">
        <f t="shared" si="9"/>
        <v>27.6</v>
      </c>
      <c r="Q184" s="362"/>
    </row>
    <row r="185" spans="1:17" s="304" customFormat="1" ht="18" customHeight="1">
      <c r="A185" s="300"/>
      <c r="B185" s="1080"/>
      <c r="C185" s="1082" t="s">
        <v>1148</v>
      </c>
      <c r="D185" s="287" t="s">
        <v>222</v>
      </c>
      <c r="E185" s="307">
        <v>1</v>
      </c>
      <c r="F185" s="287">
        <v>181.5</v>
      </c>
      <c r="G185" s="297">
        <f>ROUND(E185*F185,2)</f>
        <v>181.5</v>
      </c>
      <c r="H185" s="362"/>
      <c r="I185" s="362"/>
      <c r="J185" s="362"/>
      <c r="K185" s="362"/>
      <c r="L185" s="362"/>
      <c r="M185" s="362"/>
      <c r="N185" s="362"/>
      <c r="O185" s="362"/>
      <c r="P185" s="362">
        <f>G185</f>
        <v>181.5</v>
      </c>
      <c r="Q185" s="362"/>
    </row>
    <row r="186" spans="1:17" s="304" customFormat="1" ht="18" customHeight="1">
      <c r="A186" s="300"/>
      <c r="B186" s="1080"/>
      <c r="C186" s="1082" t="s">
        <v>214</v>
      </c>
      <c r="D186" s="287" t="s">
        <v>215</v>
      </c>
      <c r="E186" s="287">
        <v>1.2</v>
      </c>
      <c r="F186" s="287">
        <v>80</v>
      </c>
      <c r="G186" s="297">
        <f>ROUND(E186*F186,2)</f>
        <v>96</v>
      </c>
      <c r="H186" s="369"/>
      <c r="I186" s="369"/>
      <c r="J186" s="369"/>
      <c r="K186" s="369"/>
      <c r="L186" s="369"/>
      <c r="M186" s="369"/>
      <c r="N186" s="369"/>
      <c r="O186" s="369"/>
      <c r="P186" s="362">
        <f t="shared" si="9"/>
        <v>96</v>
      </c>
      <c r="Q186" s="369"/>
    </row>
    <row r="187" spans="1:17" s="292" customFormat="1" ht="18" customHeight="1">
      <c r="C187" s="1082" t="s">
        <v>794</v>
      </c>
      <c r="D187" s="256">
        <f>SUM(G178:G180)+G183+G185</f>
        <v>2135.02</v>
      </c>
      <c r="E187" s="287"/>
      <c r="F187" s="287"/>
      <c r="G187" s="297">
        <f>ROUND(D187*D3,2)</f>
        <v>0</v>
      </c>
      <c r="H187" s="362"/>
      <c r="I187" s="362"/>
      <c r="J187" s="362"/>
      <c r="K187" s="362"/>
      <c r="L187" s="362"/>
      <c r="M187" s="362"/>
      <c r="N187" s="362"/>
      <c r="O187" s="362"/>
      <c r="P187" s="362">
        <f>G187</f>
        <v>0</v>
      </c>
      <c r="Q187" s="362"/>
    </row>
    <row r="188" spans="1:17" s="308" customFormat="1" ht="18" customHeight="1">
      <c r="A188" s="1080"/>
      <c r="B188" s="1080"/>
      <c r="C188" s="1084" t="s">
        <v>287</v>
      </c>
      <c r="D188" s="256"/>
      <c r="E188" s="256"/>
      <c r="F188" s="256"/>
      <c r="G188" s="298">
        <f>ROUND(SUM(G174:G187),2)</f>
        <v>5706.33</v>
      </c>
      <c r="H188" s="370"/>
      <c r="I188" s="298">
        <f>ROUND(SUM(I174:I186),2)</f>
        <v>1419</v>
      </c>
      <c r="J188" s="298">
        <f t="shared" ref="J188:P188" si="10">ROUND(SUM(J174:J186),2)</f>
        <v>0</v>
      </c>
      <c r="K188" s="298">
        <f t="shared" si="10"/>
        <v>0</v>
      </c>
      <c r="L188" s="298">
        <f t="shared" si="10"/>
        <v>587.76</v>
      </c>
      <c r="M188" s="298">
        <f t="shared" si="10"/>
        <v>1168.45</v>
      </c>
      <c r="N188" s="298">
        <f t="shared" si="10"/>
        <v>0</v>
      </c>
      <c r="O188" s="298"/>
      <c r="P188" s="298">
        <f t="shared" si="10"/>
        <v>2531.12</v>
      </c>
      <c r="Q188" s="361">
        <f>SUM(I188:P188)</f>
        <v>5706.33</v>
      </c>
    </row>
    <row r="189" spans="1:17" s="308" customFormat="1" ht="18" hidden="1" customHeight="1">
      <c r="A189" s="1080"/>
      <c r="B189" s="1080"/>
      <c r="C189" s="1084" t="s">
        <v>626</v>
      </c>
      <c r="D189" s="256"/>
      <c r="E189" s="256"/>
      <c r="F189" s="256"/>
      <c r="G189" s="298"/>
      <c r="H189" s="370"/>
      <c r="I189" s="370"/>
      <c r="J189" s="370"/>
      <c r="K189" s="370"/>
      <c r="L189" s="370"/>
      <c r="M189" s="370"/>
      <c r="N189" s="370"/>
      <c r="O189" s="370"/>
      <c r="P189" s="370"/>
      <c r="Q189" s="370"/>
    </row>
    <row r="190" spans="1:17" s="308" customFormat="1" ht="18" hidden="1" customHeight="1">
      <c r="A190" s="1080"/>
      <c r="B190" s="1080"/>
      <c r="C190" s="1082" t="s">
        <v>287</v>
      </c>
      <c r="D190" s="256"/>
      <c r="E190" s="256"/>
      <c r="F190" s="256"/>
      <c r="G190" s="298">
        <f>G188</f>
        <v>5706.33</v>
      </c>
      <c r="H190" s="371"/>
      <c r="I190" s="371"/>
      <c r="J190" s="371"/>
      <c r="K190" s="371"/>
      <c r="L190" s="371"/>
      <c r="M190" s="371"/>
      <c r="N190" s="371"/>
      <c r="O190" s="371"/>
      <c r="P190" s="371"/>
      <c r="Q190" s="371"/>
    </row>
    <row r="191" spans="1:17" s="292" customFormat="1" ht="18" hidden="1" customHeight="1">
      <c r="C191" s="1082" t="s">
        <v>690</v>
      </c>
      <c r="D191" s="287">
        <f>G188</f>
        <v>5706.33</v>
      </c>
      <c r="E191" s="287"/>
      <c r="F191" s="287"/>
      <c r="G191" s="297">
        <f>ROUND(D191*D2,2)</f>
        <v>0</v>
      </c>
      <c r="H191" s="362"/>
      <c r="I191" s="362"/>
      <c r="J191" s="362"/>
      <c r="K191" s="362"/>
      <c r="L191" s="362"/>
      <c r="M191" s="362"/>
      <c r="N191" s="362"/>
      <c r="O191" s="362"/>
      <c r="P191" s="362">
        <f>G191</f>
        <v>0</v>
      </c>
      <c r="Q191" s="362"/>
    </row>
    <row r="192" spans="1:17" s="308" customFormat="1" ht="18" hidden="1" customHeight="1">
      <c r="A192" s="1080"/>
      <c r="B192" s="1080"/>
      <c r="C192" s="303" t="s">
        <v>627</v>
      </c>
      <c r="D192" s="256"/>
      <c r="E192" s="256"/>
      <c r="F192" s="256"/>
      <c r="G192" s="298">
        <f>SUM(G190:G191)</f>
        <v>5706.33</v>
      </c>
      <c r="H192" s="371"/>
      <c r="I192" s="362">
        <f>I188</f>
        <v>1419</v>
      </c>
      <c r="J192" s="362">
        <f t="shared" ref="J192:P192" si="11">J188</f>
        <v>0</v>
      </c>
      <c r="K192" s="362">
        <f t="shared" si="11"/>
        <v>0</v>
      </c>
      <c r="L192" s="362">
        <f t="shared" si="11"/>
        <v>587.76</v>
      </c>
      <c r="M192" s="362">
        <f t="shared" si="11"/>
        <v>1168.45</v>
      </c>
      <c r="N192" s="362">
        <f t="shared" si="11"/>
        <v>0</v>
      </c>
      <c r="O192" s="362"/>
      <c r="P192" s="362">
        <f t="shared" si="11"/>
        <v>2531.12</v>
      </c>
      <c r="Q192" s="362">
        <f>SUM(I192:P192)</f>
        <v>5706.33</v>
      </c>
    </row>
    <row r="193" spans="1:17" s="304" customFormat="1" ht="18" customHeight="1">
      <c r="A193" s="300"/>
      <c r="B193" s="1080" t="s">
        <v>288</v>
      </c>
      <c r="C193" s="1084" t="s">
        <v>289</v>
      </c>
      <c r="D193" s="287"/>
      <c r="E193" s="287"/>
      <c r="F193" s="287"/>
      <c r="G193" s="297"/>
      <c r="H193" s="370"/>
      <c r="I193" s="370"/>
      <c r="J193" s="370"/>
      <c r="K193" s="370"/>
      <c r="L193" s="370"/>
      <c r="M193" s="370"/>
      <c r="N193" s="370"/>
      <c r="O193" s="370"/>
      <c r="P193" s="370"/>
      <c r="Q193" s="370"/>
    </row>
    <row r="194" spans="1:17" s="304" customFormat="1" ht="18" customHeight="1">
      <c r="A194" s="300"/>
      <c r="B194" s="1080"/>
      <c r="C194" s="1082" t="s">
        <v>287</v>
      </c>
      <c r="D194" s="287"/>
      <c r="E194" s="287"/>
      <c r="F194" s="287"/>
      <c r="G194" s="298">
        <f>G188</f>
        <v>5706.33</v>
      </c>
      <c r="H194" s="371"/>
      <c r="I194" s="371"/>
      <c r="J194" s="371"/>
      <c r="K194" s="371"/>
      <c r="L194" s="371"/>
      <c r="M194" s="371"/>
      <c r="N194" s="371"/>
      <c r="O194" s="371"/>
      <c r="P194" s="371"/>
      <c r="Q194" s="371"/>
    </row>
    <row r="195" spans="1:17" s="304" customFormat="1" ht="18" customHeight="1">
      <c r="A195" s="300"/>
      <c r="B195" s="1080"/>
      <c r="C195" s="1082" t="s">
        <v>413</v>
      </c>
      <c r="D195" s="287"/>
      <c r="E195" s="287"/>
      <c r="F195" s="287"/>
      <c r="G195" s="297">
        <v>288</v>
      </c>
      <c r="H195" s="371"/>
      <c r="I195" s="371"/>
      <c r="J195" s="371"/>
      <c r="K195" s="371"/>
      <c r="L195" s="371"/>
      <c r="M195" s="371"/>
      <c r="N195" s="371"/>
      <c r="O195" s="371"/>
      <c r="P195" s="371">
        <f>G195</f>
        <v>288</v>
      </c>
      <c r="Q195" s="371"/>
    </row>
    <row r="196" spans="1:17" s="304" customFormat="1" ht="18" customHeight="1">
      <c r="A196" s="300"/>
      <c r="B196" s="1080"/>
      <c r="C196" s="1082" t="s">
        <v>414</v>
      </c>
      <c r="D196" s="287"/>
      <c r="E196" s="287"/>
      <c r="F196" s="287"/>
      <c r="G196" s="297">
        <v>631</v>
      </c>
      <c r="H196" s="371"/>
      <c r="I196" s="371"/>
      <c r="J196" s="371"/>
      <c r="K196" s="371"/>
      <c r="L196" s="371"/>
      <c r="M196" s="371"/>
      <c r="N196" s="371"/>
      <c r="O196" s="371"/>
      <c r="P196" s="371">
        <f>G196</f>
        <v>631</v>
      </c>
      <c r="Q196" s="371"/>
    </row>
    <row r="197" spans="1:17" s="292" customFormat="1" ht="18" customHeight="1">
      <c r="C197" s="1082" t="s">
        <v>794</v>
      </c>
      <c r="D197" s="287">
        <f>G196</f>
        <v>631</v>
      </c>
      <c r="E197" s="287"/>
      <c r="F197" s="287"/>
      <c r="G197" s="297">
        <f>ROUND(D197*D3,2)</f>
        <v>0</v>
      </c>
      <c r="H197" s="362"/>
      <c r="I197" s="362"/>
      <c r="J197" s="362"/>
      <c r="K197" s="362"/>
      <c r="L197" s="362"/>
      <c r="M197" s="362"/>
      <c r="N197" s="362"/>
      <c r="O197" s="362"/>
      <c r="P197" s="362">
        <f>G197</f>
        <v>0</v>
      </c>
      <c r="Q197" s="362"/>
    </row>
    <row r="198" spans="1:17" s="304" customFormat="1" ht="18" customHeight="1">
      <c r="A198" s="300"/>
      <c r="B198" s="1080"/>
      <c r="C198" s="1082" t="s">
        <v>493</v>
      </c>
      <c r="D198" s="287"/>
      <c r="E198" s="287"/>
      <c r="F198" s="287"/>
      <c r="G198" s="297">
        <f>SUM(G194:G197)</f>
        <v>6625.33</v>
      </c>
      <c r="H198" s="370"/>
      <c r="I198" s="370"/>
      <c r="J198" s="370"/>
      <c r="K198" s="370"/>
      <c r="L198" s="370"/>
      <c r="M198" s="370"/>
      <c r="N198" s="370"/>
      <c r="O198" s="370"/>
      <c r="P198" s="370"/>
      <c r="Q198" s="370"/>
    </row>
    <row r="199" spans="1:17" s="292" customFormat="1" ht="18" customHeight="1">
      <c r="C199" s="1082" t="s">
        <v>690</v>
      </c>
      <c r="D199" s="287">
        <f>G198</f>
        <v>6625.33</v>
      </c>
      <c r="E199" s="287"/>
      <c r="F199" s="287"/>
      <c r="G199" s="297">
        <f>ROUND(D199*D2,2)</f>
        <v>0</v>
      </c>
      <c r="H199" s="362"/>
      <c r="I199" s="362"/>
      <c r="J199" s="362"/>
      <c r="K199" s="362"/>
      <c r="L199" s="362"/>
      <c r="M199" s="362"/>
      <c r="N199" s="362"/>
      <c r="O199" s="362"/>
      <c r="P199" s="362">
        <f>G199</f>
        <v>0</v>
      </c>
      <c r="Q199" s="362"/>
    </row>
    <row r="200" spans="1:17" s="308" customFormat="1" ht="18" customHeight="1">
      <c r="A200" s="1080"/>
      <c r="B200" s="1080"/>
      <c r="C200" s="1084" t="s">
        <v>418</v>
      </c>
      <c r="D200" s="256"/>
      <c r="E200" s="256"/>
      <c r="F200" s="298" t="s">
        <v>438</v>
      </c>
      <c r="G200" s="298">
        <f>SUM(G198:G199)</f>
        <v>6625.33</v>
      </c>
      <c r="H200" s="371"/>
      <c r="I200" s="298">
        <f t="shared" ref="I200:N200" si="12">I192</f>
        <v>1419</v>
      </c>
      <c r="J200" s="298">
        <f t="shared" si="12"/>
        <v>0</v>
      </c>
      <c r="K200" s="298">
        <f t="shared" si="12"/>
        <v>0</v>
      </c>
      <c r="L200" s="298">
        <f t="shared" si="12"/>
        <v>587.76</v>
      </c>
      <c r="M200" s="298">
        <f t="shared" si="12"/>
        <v>1168.45</v>
      </c>
      <c r="N200" s="298">
        <f t="shared" si="12"/>
        <v>0</v>
      </c>
      <c r="O200" s="298"/>
      <c r="P200" s="298">
        <f>P192+P196+P195</f>
        <v>3450.12</v>
      </c>
      <c r="Q200" s="371">
        <f>SUM(H200:P200)</f>
        <v>6625.33</v>
      </c>
    </row>
    <row r="201" spans="1:17" s="304" customFormat="1" ht="18" customHeight="1">
      <c r="A201" s="300"/>
      <c r="B201" s="1080" t="s">
        <v>163</v>
      </c>
      <c r="C201" s="1084" t="s">
        <v>292</v>
      </c>
      <c r="D201" s="287"/>
      <c r="E201" s="287"/>
      <c r="F201" s="287"/>
      <c r="G201" s="297"/>
      <c r="H201" s="371"/>
      <c r="I201" s="371"/>
      <c r="J201" s="371"/>
      <c r="K201" s="371"/>
      <c r="L201" s="371"/>
      <c r="M201" s="371"/>
      <c r="N201" s="371"/>
      <c r="O201" s="371"/>
      <c r="P201" s="371"/>
      <c r="Q201" s="371"/>
    </row>
    <row r="202" spans="1:17" s="304" customFormat="1" ht="18" customHeight="1">
      <c r="A202" s="300"/>
      <c r="B202" s="1080"/>
      <c r="C202" s="1082" t="s">
        <v>287</v>
      </c>
      <c r="D202" s="287"/>
      <c r="E202" s="287"/>
      <c r="F202" s="287"/>
      <c r="G202" s="298">
        <f>G194</f>
        <v>5706.33</v>
      </c>
      <c r="H202" s="371"/>
      <c r="I202" s="371"/>
      <c r="J202" s="371"/>
      <c r="K202" s="371"/>
      <c r="L202" s="371"/>
      <c r="M202" s="371"/>
      <c r="N202" s="371"/>
      <c r="O202" s="371"/>
      <c r="P202" s="371"/>
      <c r="Q202" s="371"/>
    </row>
    <row r="203" spans="1:17" s="304" customFormat="1" ht="18" customHeight="1">
      <c r="A203" s="300"/>
      <c r="B203" s="1080"/>
      <c r="C203" s="1082" t="s">
        <v>413</v>
      </c>
      <c r="D203" s="287"/>
      <c r="E203" s="287"/>
      <c r="F203" s="287"/>
      <c r="G203" s="297">
        <v>328</v>
      </c>
      <c r="H203" s="372"/>
      <c r="I203" s="372"/>
      <c r="J203" s="372"/>
      <c r="K203" s="372"/>
      <c r="L203" s="372"/>
      <c r="M203" s="372"/>
      <c r="N203" s="372"/>
      <c r="O203" s="372"/>
      <c r="P203" s="372">
        <f>G203</f>
        <v>328</v>
      </c>
      <c r="Q203" s="372"/>
    </row>
    <row r="204" spans="1:17" s="304" customFormat="1" ht="18" customHeight="1">
      <c r="A204" s="300"/>
      <c r="B204" s="1080"/>
      <c r="C204" s="1082" t="s">
        <v>414</v>
      </c>
      <c r="D204" s="287"/>
      <c r="E204" s="287"/>
      <c r="F204" s="287"/>
      <c r="G204" s="297">
        <v>1004</v>
      </c>
      <c r="H204" s="1050"/>
      <c r="I204" s="1050"/>
      <c r="J204" s="1050"/>
      <c r="K204" s="1050"/>
      <c r="L204" s="1050"/>
      <c r="M204" s="372"/>
      <c r="N204" s="372"/>
      <c r="O204" s="372"/>
      <c r="P204" s="372">
        <f>G204</f>
        <v>1004</v>
      </c>
      <c r="Q204" s="372"/>
    </row>
    <row r="205" spans="1:17" s="292" customFormat="1" ht="18" customHeight="1">
      <c r="C205" s="1082" t="s">
        <v>794</v>
      </c>
      <c r="D205" s="287">
        <f>G204</f>
        <v>1004</v>
      </c>
      <c r="E205" s="287"/>
      <c r="F205" s="287"/>
      <c r="G205" s="297">
        <f>ROUND(D205*D3,2)</f>
        <v>0</v>
      </c>
      <c r="H205" s="362"/>
      <c r="I205" s="362"/>
      <c r="J205" s="362"/>
      <c r="K205" s="362"/>
      <c r="L205" s="362"/>
      <c r="M205" s="362"/>
      <c r="N205" s="362"/>
      <c r="O205" s="362"/>
      <c r="P205" s="362">
        <f>G205</f>
        <v>0</v>
      </c>
      <c r="Q205" s="362"/>
    </row>
    <row r="206" spans="1:17" s="304" customFormat="1" ht="18" customHeight="1">
      <c r="A206" s="300"/>
      <c r="B206" s="1080"/>
      <c r="C206" s="1082"/>
      <c r="D206" s="287"/>
      <c r="E206" s="287"/>
      <c r="F206" s="287"/>
      <c r="G206" s="298">
        <f>SUM(G202:G205)</f>
        <v>7038.33</v>
      </c>
      <c r="H206" s="371"/>
      <c r="I206" s="371"/>
      <c r="J206" s="371"/>
      <c r="K206" s="371"/>
      <c r="L206" s="371"/>
      <c r="M206" s="371"/>
      <c r="N206" s="371"/>
      <c r="O206" s="371"/>
      <c r="P206" s="371"/>
      <c r="Q206" s="371"/>
    </row>
    <row r="207" spans="1:17" s="292" customFormat="1" ht="18" customHeight="1">
      <c r="C207" s="1082" t="s">
        <v>690</v>
      </c>
      <c r="D207" s="287">
        <f>G206</f>
        <v>7038.33</v>
      </c>
      <c r="E207" s="287"/>
      <c r="F207" s="287"/>
      <c r="G207" s="297">
        <f>ROUND(D207*D2,2)</f>
        <v>0</v>
      </c>
      <c r="H207" s="362"/>
      <c r="I207" s="362"/>
      <c r="J207" s="362"/>
      <c r="K207" s="362"/>
      <c r="L207" s="362"/>
      <c r="M207" s="362"/>
      <c r="N207" s="362"/>
      <c r="O207" s="362"/>
      <c r="P207" s="362">
        <f>G207</f>
        <v>0</v>
      </c>
      <c r="Q207" s="362"/>
    </row>
    <row r="208" spans="1:17" s="308" customFormat="1" ht="18" customHeight="1">
      <c r="A208" s="1080"/>
      <c r="B208" s="1080"/>
      <c r="C208" s="1084" t="s">
        <v>418</v>
      </c>
      <c r="D208" s="256"/>
      <c r="E208" s="256"/>
      <c r="F208" s="298" t="s">
        <v>438</v>
      </c>
      <c r="G208" s="298">
        <f>SUM(G206:G207)</f>
        <v>7038.33</v>
      </c>
      <c r="H208" s="371"/>
      <c r="I208" s="371">
        <f t="shared" ref="I208:N208" si="13">I200</f>
        <v>1419</v>
      </c>
      <c r="J208" s="371">
        <f t="shared" si="13"/>
        <v>0</v>
      </c>
      <c r="K208" s="371">
        <f t="shared" si="13"/>
        <v>0</v>
      </c>
      <c r="L208" s="371">
        <f t="shared" si="13"/>
        <v>587.76</v>
      </c>
      <c r="M208" s="371">
        <f t="shared" si="13"/>
        <v>1168.45</v>
      </c>
      <c r="N208" s="371">
        <f t="shared" si="13"/>
        <v>0</v>
      </c>
      <c r="O208" s="371"/>
      <c r="P208" s="298">
        <f>P192+P203+P204</f>
        <v>3863.12</v>
      </c>
      <c r="Q208" s="371">
        <f>SUM(I208:P208)</f>
        <v>7038.33</v>
      </c>
    </row>
    <row r="209" spans="1:17" s="304" customFormat="1" ht="18" customHeight="1">
      <c r="A209" s="300"/>
      <c r="B209" s="1080" t="s">
        <v>166</v>
      </c>
      <c r="C209" s="1084" t="s">
        <v>293</v>
      </c>
      <c r="D209" s="287"/>
      <c r="E209" s="287"/>
      <c r="F209" s="287"/>
      <c r="G209" s="297"/>
      <c r="H209" s="366"/>
      <c r="I209" s="366"/>
      <c r="J209" s="366"/>
      <c r="K209" s="366"/>
      <c r="L209" s="366"/>
      <c r="M209" s="366"/>
      <c r="N209" s="366"/>
      <c r="O209" s="366"/>
      <c r="P209" s="366"/>
      <c r="Q209" s="366"/>
    </row>
    <row r="210" spans="1:17" s="304" customFormat="1" ht="18" customHeight="1">
      <c r="A210" s="300"/>
      <c r="B210" s="1080"/>
      <c r="C210" s="1082" t="s">
        <v>287</v>
      </c>
      <c r="D210" s="287"/>
      <c r="E210" s="287"/>
      <c r="F210" s="287"/>
      <c r="G210" s="298">
        <f>G202</f>
        <v>5706.33</v>
      </c>
      <c r="H210" s="366"/>
      <c r="I210" s="366"/>
      <c r="J210" s="366"/>
      <c r="K210" s="366"/>
      <c r="L210" s="366"/>
      <c r="M210" s="366"/>
      <c r="N210" s="366"/>
      <c r="O210" s="366"/>
      <c r="P210" s="366"/>
      <c r="Q210" s="366"/>
    </row>
    <row r="211" spans="1:17" s="304" customFormat="1" ht="18" customHeight="1">
      <c r="A211" s="300"/>
      <c r="B211" s="1080"/>
      <c r="C211" s="1082" t="s">
        <v>413</v>
      </c>
      <c r="D211" s="287"/>
      <c r="E211" s="287"/>
      <c r="F211" s="287"/>
      <c r="G211" s="297">
        <v>1390</v>
      </c>
      <c r="H211" s="367"/>
      <c r="I211" s="362"/>
      <c r="J211" s="362"/>
      <c r="K211" s="362"/>
      <c r="L211" s="362"/>
      <c r="M211" s="362"/>
      <c r="N211" s="362"/>
      <c r="O211" s="362"/>
      <c r="P211" s="362">
        <f>G211</f>
        <v>1390</v>
      </c>
      <c r="Q211" s="362"/>
    </row>
    <row r="212" spans="1:17" s="304" customFormat="1" ht="18" customHeight="1">
      <c r="A212" s="300"/>
      <c r="B212" s="1080"/>
      <c r="C212" s="1082" t="s">
        <v>414</v>
      </c>
      <c r="D212" s="287"/>
      <c r="E212" s="287"/>
      <c r="F212" s="287"/>
      <c r="G212" s="297">
        <v>1521</v>
      </c>
      <c r="H212" s="367"/>
      <c r="I212" s="362"/>
      <c r="J212" s="362"/>
      <c r="K212" s="362"/>
      <c r="L212" s="362"/>
      <c r="M212" s="362"/>
      <c r="N212" s="362"/>
      <c r="O212" s="362"/>
      <c r="P212" s="362">
        <f>G212</f>
        <v>1521</v>
      </c>
      <c r="Q212" s="362"/>
    </row>
    <row r="213" spans="1:17" s="292" customFormat="1" ht="18" customHeight="1">
      <c r="C213" s="1082" t="s">
        <v>794</v>
      </c>
      <c r="D213" s="287">
        <f>G212</f>
        <v>1521</v>
      </c>
      <c r="E213" s="287"/>
      <c r="F213" s="287"/>
      <c r="G213" s="297">
        <f>ROUND(D213*D3,2)</f>
        <v>0</v>
      </c>
      <c r="H213" s="362"/>
      <c r="I213" s="362"/>
      <c r="J213" s="362"/>
      <c r="K213" s="362"/>
      <c r="L213" s="362"/>
      <c r="M213" s="362"/>
      <c r="N213" s="362"/>
      <c r="O213" s="362"/>
      <c r="P213" s="362">
        <f>G213</f>
        <v>0</v>
      </c>
      <c r="Q213" s="362"/>
    </row>
    <row r="214" spans="1:17" s="304" customFormat="1" ht="18" customHeight="1">
      <c r="A214" s="300"/>
      <c r="B214" s="1080"/>
      <c r="C214" s="1082"/>
      <c r="D214" s="287"/>
      <c r="E214" s="287"/>
      <c r="F214" s="287"/>
      <c r="G214" s="297">
        <f>SUM(G210:G213)</f>
        <v>8617.33</v>
      </c>
      <c r="H214" s="367"/>
      <c r="I214" s="362"/>
      <c r="J214" s="362"/>
      <c r="K214" s="362"/>
      <c r="L214" s="362"/>
      <c r="M214" s="362"/>
      <c r="N214" s="362"/>
      <c r="O214" s="362"/>
      <c r="P214" s="362"/>
      <c r="Q214" s="362"/>
    </row>
    <row r="215" spans="1:17" s="292" customFormat="1" ht="18" customHeight="1">
      <c r="C215" s="1082" t="s">
        <v>690</v>
      </c>
      <c r="D215" s="287">
        <f>G214</f>
        <v>8617.33</v>
      </c>
      <c r="E215" s="287"/>
      <c r="F215" s="287"/>
      <c r="G215" s="297">
        <f>ROUND(D215*D2,2)</f>
        <v>0</v>
      </c>
      <c r="H215" s="362"/>
      <c r="I215" s="362"/>
      <c r="J215" s="362"/>
      <c r="K215" s="362"/>
      <c r="L215" s="362"/>
      <c r="M215" s="362"/>
      <c r="N215" s="362"/>
      <c r="O215" s="362"/>
      <c r="P215" s="362">
        <f>G215</f>
        <v>0</v>
      </c>
      <c r="Q215" s="362"/>
    </row>
    <row r="216" spans="1:17" s="308" customFormat="1" ht="18" customHeight="1">
      <c r="A216" s="1080"/>
      <c r="B216" s="1080"/>
      <c r="C216" s="1084" t="s">
        <v>418</v>
      </c>
      <c r="D216" s="256"/>
      <c r="E216" s="256"/>
      <c r="F216" s="298" t="s">
        <v>438</v>
      </c>
      <c r="G216" s="298">
        <f>SUM(G214:G215)</f>
        <v>8617.33</v>
      </c>
      <c r="H216" s="367"/>
      <c r="I216" s="362">
        <f t="shared" ref="I216:N216" si="14">I208</f>
        <v>1419</v>
      </c>
      <c r="J216" s="362">
        <f t="shared" si="14"/>
        <v>0</v>
      </c>
      <c r="K216" s="362">
        <f t="shared" si="14"/>
        <v>0</v>
      </c>
      <c r="L216" s="362">
        <f t="shared" si="14"/>
        <v>587.76</v>
      </c>
      <c r="M216" s="362">
        <f t="shared" si="14"/>
        <v>1168.45</v>
      </c>
      <c r="N216" s="362">
        <f t="shared" si="14"/>
        <v>0</v>
      </c>
      <c r="O216" s="362"/>
      <c r="P216" s="362">
        <f>P212+P211+P192</f>
        <v>5442.12</v>
      </c>
      <c r="Q216" s="362">
        <f>SUM(H216:P216)</f>
        <v>8617.33</v>
      </c>
    </row>
    <row r="217" spans="1:17" s="308" customFormat="1" ht="18" customHeight="1">
      <c r="A217" s="1080"/>
      <c r="B217" s="1080"/>
      <c r="C217" s="1084"/>
      <c r="D217" s="256"/>
      <c r="E217" s="256"/>
      <c r="F217" s="298"/>
      <c r="G217" s="298"/>
      <c r="H217" s="367"/>
      <c r="I217" s="362"/>
      <c r="J217" s="362"/>
      <c r="K217" s="362"/>
      <c r="L217" s="362"/>
      <c r="M217" s="362"/>
      <c r="N217" s="362"/>
      <c r="O217" s="362"/>
      <c r="P217" s="362"/>
      <c r="Q217" s="362"/>
    </row>
    <row r="218" spans="1:17" s="292" customFormat="1" ht="103.5" customHeight="1">
      <c r="A218" s="1080" t="s">
        <v>1036</v>
      </c>
      <c r="B218" s="293">
        <v>11</v>
      </c>
      <c r="C218" s="1309" t="s">
        <v>1939</v>
      </c>
      <c r="D218" s="1309"/>
      <c r="E218" s="1309"/>
      <c r="F218" s="1309"/>
      <c r="G218" s="1309"/>
      <c r="H218" s="367"/>
      <c r="I218" s="362"/>
      <c r="J218" s="362"/>
      <c r="K218" s="362"/>
      <c r="L218" s="362"/>
      <c r="M218" s="362"/>
      <c r="N218" s="362"/>
      <c r="O218" s="362"/>
      <c r="P218" s="362"/>
      <c r="Q218" s="362"/>
    </row>
    <row r="219" spans="1:17" s="304" customFormat="1" ht="18" customHeight="1">
      <c r="A219" s="300"/>
      <c r="B219" s="1080"/>
      <c r="C219" s="1084" t="s">
        <v>459</v>
      </c>
      <c r="D219" s="287"/>
      <c r="E219" s="287"/>
      <c r="F219" s="287"/>
      <c r="G219" s="297"/>
      <c r="H219" s="362"/>
      <c r="I219" s="362"/>
      <c r="J219" s="362"/>
      <c r="K219" s="362"/>
      <c r="L219" s="362"/>
      <c r="M219" s="362"/>
      <c r="N219" s="362"/>
      <c r="O219" s="362"/>
      <c r="P219" s="362"/>
      <c r="Q219" s="362"/>
    </row>
    <row r="220" spans="1:17" s="304" customFormat="1" ht="18" customHeight="1">
      <c r="A220" s="300"/>
      <c r="B220" s="1080"/>
      <c r="C220" s="1082" t="s">
        <v>177</v>
      </c>
      <c r="D220" s="287"/>
      <c r="E220" s="287"/>
      <c r="F220" s="287"/>
      <c r="G220" s="297"/>
      <c r="H220" s="362"/>
      <c r="I220" s="362"/>
      <c r="J220" s="362"/>
      <c r="K220" s="362"/>
      <c r="L220" s="362"/>
      <c r="M220" s="362"/>
      <c r="N220" s="362"/>
      <c r="O220" s="362"/>
      <c r="P220" s="362"/>
      <c r="Q220" s="362"/>
    </row>
    <row r="221" spans="1:17" s="304" customFormat="1" ht="18" customHeight="1">
      <c r="A221" s="300"/>
      <c r="B221" s="1080"/>
      <c r="C221" s="1082" t="s">
        <v>279</v>
      </c>
      <c r="D221" s="287" t="s">
        <v>112</v>
      </c>
      <c r="E221" s="287">
        <f>E174</f>
        <v>0.8</v>
      </c>
      <c r="F221" s="287">
        <f>F13</f>
        <v>1460.5600000000002</v>
      </c>
      <c r="G221" s="297">
        <f>ROUND(E221*F221,2)</f>
        <v>1168.45</v>
      </c>
      <c r="H221" s="1051"/>
      <c r="I221" s="1051"/>
      <c r="J221" s="1051"/>
      <c r="K221" s="1051"/>
      <c r="L221" s="1051"/>
      <c r="M221" s="366">
        <f>G221</f>
        <v>1168.45</v>
      </c>
      <c r="N221" s="366"/>
      <c r="O221" s="366"/>
      <c r="P221" s="366"/>
      <c r="Q221" s="366"/>
    </row>
    <row r="222" spans="1:17" s="304" customFormat="1" ht="18" customHeight="1">
      <c r="A222" s="300"/>
      <c r="B222" s="1080"/>
      <c r="C222" s="1082" t="s">
        <v>119</v>
      </c>
      <c r="D222" s="287" t="s">
        <v>112</v>
      </c>
      <c r="E222" s="287">
        <f>E175</f>
        <v>0.4</v>
      </c>
      <c r="F222" s="287">
        <f>'lead 1'!M13</f>
        <v>1469.4</v>
      </c>
      <c r="G222" s="297">
        <f>ROUND(E222*F222,2)</f>
        <v>587.76</v>
      </c>
      <c r="H222" s="361"/>
      <c r="I222" s="361"/>
      <c r="J222" s="361"/>
      <c r="K222" s="361"/>
      <c r="L222" s="361">
        <f>G222</f>
        <v>587.76</v>
      </c>
      <c r="M222" s="361"/>
      <c r="N222" s="361"/>
      <c r="O222" s="361"/>
      <c r="P222" s="361"/>
      <c r="Q222" s="361"/>
    </row>
    <row r="223" spans="1:17" s="304" customFormat="1" ht="18" customHeight="1">
      <c r="A223" s="300"/>
      <c r="B223" s="1080"/>
      <c r="C223" s="1082" t="s">
        <v>104</v>
      </c>
      <c r="D223" s="287" t="s">
        <v>280</v>
      </c>
      <c r="E223" s="287">
        <f>E176</f>
        <v>330</v>
      </c>
      <c r="F223" s="287">
        <f>'lead 1'!M8</f>
        <v>4300</v>
      </c>
      <c r="G223" s="297">
        <f>ROUND(E223*F223/1000,2)</f>
        <v>1419</v>
      </c>
      <c r="H223" s="362"/>
      <c r="I223" s="362">
        <f>G223</f>
        <v>1419</v>
      </c>
      <c r="J223" s="362"/>
      <c r="K223" s="362"/>
      <c r="L223" s="362"/>
      <c r="M223" s="362"/>
      <c r="N223" s="362"/>
      <c r="O223" s="362"/>
      <c r="P223" s="362"/>
      <c r="Q223" s="362"/>
    </row>
    <row r="224" spans="1:17" s="304" customFormat="1" ht="18" customHeight="1">
      <c r="A224" s="300"/>
      <c r="B224" s="1080"/>
      <c r="C224" s="1082" t="s">
        <v>211</v>
      </c>
      <c r="D224" s="287"/>
      <c r="E224" s="287"/>
      <c r="F224" s="287"/>
      <c r="G224" s="297"/>
      <c r="H224" s="362"/>
      <c r="I224" s="362"/>
      <c r="J224" s="362"/>
      <c r="K224" s="362"/>
      <c r="L224" s="362"/>
      <c r="M224" s="362"/>
      <c r="N224" s="362"/>
      <c r="O224" s="362"/>
      <c r="P224" s="362"/>
      <c r="Q224" s="362"/>
    </row>
    <row r="225" spans="1:17" s="304" customFormat="1" ht="18" customHeight="1">
      <c r="A225" s="300"/>
      <c r="B225" s="1080"/>
      <c r="C225" s="1082" t="s">
        <v>281</v>
      </c>
      <c r="D225" s="287" t="s">
        <v>186</v>
      </c>
      <c r="E225" s="307">
        <v>0.16700000000000001</v>
      </c>
      <c r="F225" s="287">
        <f>'lead 1'!M31</f>
        <v>500</v>
      </c>
      <c r="G225" s="297">
        <f>ROUND(E225*F225,2)</f>
        <v>83.5</v>
      </c>
      <c r="H225" s="362"/>
      <c r="I225" s="362"/>
      <c r="J225" s="362"/>
      <c r="K225" s="362"/>
      <c r="L225" s="362"/>
      <c r="M225" s="362"/>
      <c r="N225" s="362"/>
      <c r="O225" s="362"/>
      <c r="P225" s="362">
        <f>G225</f>
        <v>83.5</v>
      </c>
      <c r="Q225" s="362"/>
    </row>
    <row r="226" spans="1:17" s="304" customFormat="1" ht="18" customHeight="1">
      <c r="A226" s="300"/>
      <c r="B226" s="1080"/>
      <c r="C226" s="1082" t="s">
        <v>282</v>
      </c>
      <c r="D226" s="287" t="s">
        <v>186</v>
      </c>
      <c r="E226" s="307">
        <v>0.16700000000000001</v>
      </c>
      <c r="F226" s="287">
        <f>'lead 1'!M30</f>
        <v>460</v>
      </c>
      <c r="G226" s="297">
        <f>ROUND(E226*F226,2)</f>
        <v>76.819999999999993</v>
      </c>
      <c r="H226" s="362"/>
      <c r="I226" s="362"/>
      <c r="J226" s="362"/>
      <c r="K226" s="362"/>
      <c r="L226" s="362"/>
      <c r="M226" s="362"/>
      <c r="N226" s="362"/>
      <c r="O226" s="362"/>
      <c r="P226" s="362">
        <f>G226</f>
        <v>76.819999999999993</v>
      </c>
      <c r="Q226" s="362"/>
    </row>
    <row r="227" spans="1:17" s="304" customFormat="1" ht="18" customHeight="1">
      <c r="A227" s="300"/>
      <c r="B227" s="1080"/>
      <c r="C227" s="1082" t="s">
        <v>283</v>
      </c>
      <c r="D227" s="287" t="s">
        <v>186</v>
      </c>
      <c r="E227" s="307">
        <v>4.7</v>
      </c>
      <c r="F227" s="287">
        <f>'lead 1'!M28</f>
        <v>420</v>
      </c>
      <c r="G227" s="297">
        <f>ROUND(E227*F227,2)</f>
        <v>1974</v>
      </c>
      <c r="H227" s="362"/>
      <c r="I227" s="362"/>
      <c r="J227" s="362"/>
      <c r="K227" s="362"/>
      <c r="L227" s="362"/>
      <c r="M227" s="362"/>
      <c r="N227" s="362"/>
      <c r="O227" s="362"/>
      <c r="P227" s="362">
        <f>G227</f>
        <v>1974</v>
      </c>
      <c r="Q227" s="362"/>
    </row>
    <row r="228" spans="1:17" s="304" customFormat="1" ht="18" customHeight="1">
      <c r="A228" s="300"/>
      <c r="B228" s="1080"/>
      <c r="C228" s="1082" t="s">
        <v>181</v>
      </c>
      <c r="D228" s="287"/>
      <c r="E228" s="287"/>
      <c r="F228" s="287"/>
      <c r="G228" s="297"/>
      <c r="H228" s="362"/>
      <c r="I228" s="362"/>
      <c r="J228" s="362"/>
      <c r="K228" s="362"/>
      <c r="L228" s="362"/>
      <c r="M228" s="362"/>
      <c r="N228" s="362"/>
      <c r="O228" s="362"/>
      <c r="P228" s="362"/>
      <c r="Q228" s="362"/>
    </row>
    <row r="229" spans="1:17" s="304" customFormat="1" ht="18" customHeight="1">
      <c r="A229" s="300"/>
      <c r="B229" s="1080"/>
      <c r="C229" s="1082" t="s">
        <v>221</v>
      </c>
      <c r="D229" s="287" t="s">
        <v>222</v>
      </c>
      <c r="E229" s="307">
        <v>1</v>
      </c>
      <c r="F229" s="287">
        <f>F182</f>
        <v>272.50000000000006</v>
      </c>
      <c r="G229" s="297">
        <f>ROUND(E229*F229,2)</f>
        <v>272.5</v>
      </c>
      <c r="H229" s="362"/>
      <c r="I229" s="362"/>
      <c r="J229" s="362"/>
      <c r="K229" s="362"/>
      <c r="L229" s="362"/>
      <c r="M229" s="362"/>
      <c r="N229" s="362"/>
      <c r="O229" s="362"/>
      <c r="P229" s="362">
        <f>G229</f>
        <v>272.5</v>
      </c>
      <c r="Q229" s="362"/>
    </row>
    <row r="230" spans="1:17" s="304" customFormat="1" ht="18" customHeight="1">
      <c r="A230" s="300"/>
      <c r="B230" s="1080"/>
      <c r="C230" s="1082" t="s">
        <v>1147</v>
      </c>
      <c r="D230" s="287" t="s">
        <v>222</v>
      </c>
      <c r="E230" s="287">
        <v>1</v>
      </c>
      <c r="F230" s="287">
        <v>252.2</v>
      </c>
      <c r="G230" s="297">
        <f>ROUND(E230*F230,2)</f>
        <v>252.2</v>
      </c>
      <c r="H230" s="362"/>
      <c r="I230" s="362"/>
      <c r="J230" s="362"/>
      <c r="K230" s="362"/>
      <c r="L230" s="362"/>
      <c r="M230" s="362"/>
      <c r="N230" s="362"/>
      <c r="O230" s="362"/>
      <c r="P230" s="362"/>
      <c r="Q230" s="362"/>
    </row>
    <row r="231" spans="1:17" s="304" customFormat="1" ht="18" customHeight="1">
      <c r="A231" s="300"/>
      <c r="B231" s="1080"/>
      <c r="C231" s="1082" t="s">
        <v>458</v>
      </c>
      <c r="D231" s="287" t="s">
        <v>222</v>
      </c>
      <c r="E231" s="307">
        <v>1</v>
      </c>
      <c r="F231" s="287">
        <f>F184</f>
        <v>27.599999999999994</v>
      </c>
      <c r="G231" s="297">
        <f>ROUND(E231*F231,2)</f>
        <v>27.6</v>
      </c>
      <c r="H231" s="362"/>
      <c r="I231" s="362"/>
      <c r="J231" s="362"/>
      <c r="K231" s="362"/>
      <c r="L231" s="362"/>
      <c r="M231" s="362"/>
      <c r="N231" s="362"/>
      <c r="O231" s="362"/>
      <c r="P231" s="362">
        <f>G231</f>
        <v>27.6</v>
      </c>
      <c r="Q231" s="362"/>
    </row>
    <row r="232" spans="1:17" s="304" customFormat="1" ht="18" customHeight="1">
      <c r="A232" s="300"/>
      <c r="B232" s="1080"/>
      <c r="C232" s="1082" t="s">
        <v>1148</v>
      </c>
      <c r="D232" s="287" t="s">
        <v>222</v>
      </c>
      <c r="E232" s="307">
        <v>1</v>
      </c>
      <c r="F232" s="287">
        <v>181.5</v>
      </c>
      <c r="G232" s="297">
        <f>ROUND(E232*F232,2)</f>
        <v>181.5</v>
      </c>
      <c r="H232" s="362"/>
      <c r="I232" s="362"/>
      <c r="J232" s="362"/>
      <c r="K232" s="362"/>
      <c r="L232" s="362"/>
      <c r="M232" s="362"/>
      <c r="N232" s="362"/>
      <c r="O232" s="362"/>
      <c r="P232" s="362"/>
      <c r="Q232" s="362"/>
    </row>
    <row r="233" spans="1:17" s="304" customFormat="1" ht="18" customHeight="1">
      <c r="A233" s="300"/>
      <c r="B233" s="1080"/>
      <c r="C233" s="1082" t="s">
        <v>214</v>
      </c>
      <c r="D233" s="287" t="s">
        <v>215</v>
      </c>
      <c r="E233" s="287">
        <v>1.2</v>
      </c>
      <c r="F233" s="287">
        <f>F186</f>
        <v>80</v>
      </c>
      <c r="G233" s="297">
        <f>ROUND(E233*F233,2)</f>
        <v>96</v>
      </c>
      <c r="H233" s="354"/>
      <c r="I233" s="354"/>
      <c r="J233" s="354"/>
      <c r="K233" s="354"/>
      <c r="L233" s="354"/>
      <c r="M233" s="364"/>
      <c r="N233" s="364"/>
      <c r="O233" s="364"/>
      <c r="P233" s="362">
        <f>G233</f>
        <v>96</v>
      </c>
      <c r="Q233" s="364"/>
    </row>
    <row r="234" spans="1:17" s="292" customFormat="1" ht="18" customHeight="1">
      <c r="C234" s="1082" t="s">
        <v>794</v>
      </c>
      <c r="D234" s="256">
        <f>SUM(G225:G227)+G230+G232</f>
        <v>2568.02</v>
      </c>
      <c r="E234" s="287"/>
      <c r="F234" s="287"/>
      <c r="G234" s="297">
        <f>ROUND(D234*D3,2)</f>
        <v>0</v>
      </c>
      <c r="H234" s="362"/>
      <c r="I234" s="362"/>
      <c r="J234" s="362"/>
      <c r="K234" s="362"/>
      <c r="L234" s="362"/>
      <c r="M234" s="362"/>
      <c r="N234" s="362"/>
      <c r="O234" s="362"/>
      <c r="P234" s="362">
        <f>G234</f>
        <v>0</v>
      </c>
      <c r="Q234" s="362"/>
    </row>
    <row r="235" spans="1:17" s="304" customFormat="1" ht="18" customHeight="1">
      <c r="A235" s="300"/>
      <c r="B235" s="1080"/>
      <c r="C235" s="1082" t="s">
        <v>287</v>
      </c>
      <c r="D235" s="287"/>
      <c r="E235" s="287"/>
      <c r="F235" s="298" t="s">
        <v>438</v>
      </c>
      <c r="G235" s="298">
        <f>ROUND(SUM(G221:G234),2)</f>
        <v>6139.33</v>
      </c>
      <c r="H235" s="298">
        <f t="shared" ref="H235:P235" si="15">ROUND(SUM(H221:H233),2)</f>
        <v>0</v>
      </c>
      <c r="I235" s="298">
        <f t="shared" si="15"/>
        <v>1419</v>
      </c>
      <c r="J235" s="298">
        <f t="shared" si="15"/>
        <v>0</v>
      </c>
      <c r="K235" s="298">
        <f t="shared" si="15"/>
        <v>0</v>
      </c>
      <c r="L235" s="298">
        <f t="shared" si="15"/>
        <v>587.76</v>
      </c>
      <c r="M235" s="298">
        <f t="shared" si="15"/>
        <v>1168.45</v>
      </c>
      <c r="N235" s="298">
        <f t="shared" si="15"/>
        <v>0</v>
      </c>
      <c r="O235" s="298"/>
      <c r="P235" s="298">
        <f t="shared" si="15"/>
        <v>2530.42</v>
      </c>
      <c r="Q235" s="361">
        <f>SUM(H235:P235)</f>
        <v>5705.63</v>
      </c>
    </row>
    <row r="236" spans="1:17" s="304" customFormat="1" ht="18" customHeight="1">
      <c r="A236" s="300"/>
      <c r="B236" s="1080" t="s">
        <v>288</v>
      </c>
      <c r="C236" s="1084" t="s">
        <v>295</v>
      </c>
      <c r="D236" s="287"/>
      <c r="E236" s="287"/>
      <c r="F236" s="287"/>
      <c r="G236" s="297"/>
      <c r="H236" s="362"/>
      <c r="I236" s="362"/>
      <c r="J236" s="362"/>
      <c r="K236" s="362"/>
      <c r="L236" s="362"/>
      <c r="M236" s="362"/>
      <c r="N236" s="362"/>
      <c r="O236" s="362"/>
      <c r="P236" s="362"/>
      <c r="Q236" s="362"/>
    </row>
    <row r="237" spans="1:17" s="304" customFormat="1" ht="18" customHeight="1">
      <c r="A237" s="300"/>
      <c r="B237" s="1080"/>
      <c r="C237" s="1082"/>
      <c r="D237" s="287"/>
      <c r="E237" s="256" t="s">
        <v>409</v>
      </c>
      <c r="F237" s="256" t="s">
        <v>410</v>
      </c>
      <c r="G237" s="298" t="s">
        <v>411</v>
      </c>
      <c r="H237" s="362"/>
      <c r="I237" s="362"/>
      <c r="J237" s="362"/>
      <c r="K237" s="362"/>
      <c r="L237" s="362"/>
      <c r="M237" s="362"/>
      <c r="N237" s="362"/>
      <c r="O237" s="362"/>
      <c r="P237" s="362"/>
      <c r="Q237" s="362"/>
    </row>
    <row r="238" spans="1:17" s="304" customFormat="1" ht="18" customHeight="1">
      <c r="A238" s="300"/>
      <c r="B238" s="1080"/>
      <c r="C238" s="1082" t="s">
        <v>412</v>
      </c>
      <c r="D238" s="287"/>
      <c r="E238" s="309">
        <f>G235</f>
        <v>6139.33</v>
      </c>
      <c r="F238" s="309">
        <f>E238</f>
        <v>6139.33</v>
      </c>
      <c r="G238" s="309">
        <f>F238</f>
        <v>6139.33</v>
      </c>
      <c r="H238" s="362"/>
      <c r="I238" s="362"/>
      <c r="J238" s="362"/>
      <c r="K238" s="362"/>
      <c r="L238" s="362"/>
      <c r="M238" s="362"/>
      <c r="N238" s="362"/>
      <c r="O238" s="362"/>
      <c r="P238" s="362"/>
      <c r="Q238" s="362"/>
    </row>
    <row r="239" spans="1:17" s="304" customFormat="1" ht="18" customHeight="1">
      <c r="A239" s="300"/>
      <c r="B239" s="1080"/>
      <c r="C239" s="1082" t="s">
        <v>413</v>
      </c>
      <c r="D239" s="287"/>
      <c r="E239" s="309">
        <v>1180</v>
      </c>
      <c r="F239" s="309">
        <f>E239</f>
        <v>1180</v>
      </c>
      <c r="G239" s="309">
        <f>F239</f>
        <v>1180</v>
      </c>
      <c r="H239" s="362"/>
      <c r="I239" s="362"/>
      <c r="J239" s="362"/>
      <c r="K239" s="362"/>
      <c r="L239" s="362"/>
      <c r="M239" s="362"/>
      <c r="N239" s="362"/>
      <c r="O239" s="362"/>
      <c r="P239" s="362">
        <f>E239</f>
        <v>1180</v>
      </c>
      <c r="Q239" s="362"/>
    </row>
    <row r="240" spans="1:17" s="304" customFormat="1" ht="18" customHeight="1">
      <c r="A240" s="300"/>
      <c r="B240" s="1080"/>
      <c r="C240" s="1082" t="s">
        <v>414</v>
      </c>
      <c r="D240" s="287"/>
      <c r="E240" s="309">
        <v>1615</v>
      </c>
      <c r="F240" s="309">
        <v>1777</v>
      </c>
      <c r="G240" s="297">
        <v>1938</v>
      </c>
      <c r="H240" s="362"/>
      <c r="I240" s="362"/>
      <c r="J240" s="362"/>
      <c r="K240" s="362"/>
      <c r="L240" s="362"/>
      <c r="M240" s="362"/>
      <c r="N240" s="362"/>
      <c r="O240" s="362"/>
      <c r="P240" s="362">
        <f>E240</f>
        <v>1615</v>
      </c>
      <c r="Q240" s="362"/>
    </row>
    <row r="241" spans="1:17" s="304" customFormat="1" ht="18" customHeight="1">
      <c r="A241" s="300"/>
      <c r="B241" s="1080"/>
      <c r="C241" s="1082" t="s">
        <v>415</v>
      </c>
      <c r="D241" s="310" t="s">
        <v>416</v>
      </c>
      <c r="E241" s="309">
        <v>0</v>
      </c>
      <c r="F241" s="309">
        <f>(E240+SUM(G225:G227))*D241</f>
        <v>374.93200000000002</v>
      </c>
      <c r="G241" s="297">
        <f>F241*2</f>
        <v>749.86400000000003</v>
      </c>
      <c r="H241" s="362"/>
      <c r="I241" s="362"/>
      <c r="J241" s="362"/>
      <c r="K241" s="362"/>
      <c r="L241" s="362"/>
      <c r="M241" s="362"/>
      <c r="N241" s="362"/>
      <c r="O241" s="362"/>
      <c r="P241" s="362"/>
      <c r="Q241" s="362"/>
    </row>
    <row r="242" spans="1:17" s="292" customFormat="1" ht="18" customHeight="1">
      <c r="C242" s="1082" t="s">
        <v>794</v>
      </c>
      <c r="D242" s="256"/>
      <c r="E242" s="297">
        <f>ROUND(SUM(E240:E241)*$D$3,2)</f>
        <v>0</v>
      </c>
      <c r="F242" s="297">
        <f>ROUND(SUM(F240:F241)*$D$3,2)</f>
        <v>0</v>
      </c>
      <c r="G242" s="297">
        <f>ROUND(SUM(G240:G241)*$D$3,2)</f>
        <v>0</v>
      </c>
      <c r="H242" s="362"/>
      <c r="I242" s="362"/>
      <c r="J242" s="362"/>
      <c r="K242" s="362"/>
      <c r="L242" s="362"/>
      <c r="M242" s="362"/>
      <c r="N242" s="362"/>
      <c r="O242" s="362"/>
      <c r="P242" s="362">
        <f>G242</f>
        <v>0</v>
      </c>
      <c r="Q242" s="362"/>
    </row>
    <row r="243" spans="1:17" s="304" customFormat="1" ht="18" customHeight="1">
      <c r="A243" s="300"/>
      <c r="B243" s="1080"/>
      <c r="C243" s="1082"/>
      <c r="D243" s="310"/>
      <c r="E243" s="309">
        <f>SUM(E238:E242)</f>
        <v>8934.33</v>
      </c>
      <c r="F243" s="309">
        <f>SUM(F238:F242)</f>
        <v>9471.2620000000006</v>
      </c>
      <c r="G243" s="309">
        <f>SUM(G238:G242)</f>
        <v>10007.194</v>
      </c>
      <c r="H243" s="362"/>
      <c r="I243" s="362"/>
      <c r="J243" s="362"/>
      <c r="K243" s="362"/>
      <c r="L243" s="362"/>
      <c r="M243" s="362"/>
      <c r="N243" s="362"/>
      <c r="O243" s="362"/>
      <c r="P243" s="362"/>
      <c r="Q243" s="362"/>
    </row>
    <row r="244" spans="1:17" s="304" customFormat="1" ht="18" customHeight="1">
      <c r="A244" s="300"/>
      <c r="B244" s="1080"/>
      <c r="C244" s="1082" t="s">
        <v>884</v>
      </c>
      <c r="D244" s="440">
        <f>D2</f>
        <v>0</v>
      </c>
      <c r="E244" s="309">
        <f>ROUND(E243*D2,2)</f>
        <v>0</v>
      </c>
      <c r="F244" s="309">
        <f>ROUND(F243*D2,2)</f>
        <v>0</v>
      </c>
      <c r="G244" s="309">
        <f>ROUND(G243*D2,2)</f>
        <v>0</v>
      </c>
      <c r="H244" s="362"/>
      <c r="I244" s="362"/>
      <c r="J244" s="362"/>
      <c r="K244" s="362"/>
      <c r="L244" s="362"/>
      <c r="M244" s="362"/>
      <c r="N244" s="362"/>
      <c r="O244" s="362"/>
      <c r="P244" s="362"/>
      <c r="Q244" s="362"/>
    </row>
    <row r="245" spans="1:17" s="293" customFormat="1" ht="18" customHeight="1">
      <c r="C245" s="1084" t="s">
        <v>1150</v>
      </c>
      <c r="D245" s="271"/>
      <c r="E245" s="311">
        <f>SUM(E243:E244)</f>
        <v>8934.33</v>
      </c>
      <c r="F245" s="311">
        <f>SUM(F243:F244)</f>
        <v>9471.2620000000006</v>
      </c>
      <c r="G245" s="311">
        <f>SUM(G243:G244)</f>
        <v>10007.194</v>
      </c>
      <c r="H245" s="362">
        <f>SUM(H235:H244)</f>
        <v>0</v>
      </c>
      <c r="I245" s="362">
        <f t="shared" ref="I245:P245" si="16">SUM(I235:I244)</f>
        <v>1419</v>
      </c>
      <c r="J245" s="362">
        <f t="shared" si="16"/>
        <v>0</v>
      </c>
      <c r="K245" s="362">
        <f t="shared" si="16"/>
        <v>0</v>
      </c>
      <c r="L245" s="362">
        <f t="shared" si="16"/>
        <v>587.76</v>
      </c>
      <c r="M245" s="362">
        <f t="shared" si="16"/>
        <v>1168.45</v>
      </c>
      <c r="N245" s="362">
        <f t="shared" si="16"/>
        <v>0</v>
      </c>
      <c r="O245" s="362"/>
      <c r="P245" s="362">
        <f t="shared" si="16"/>
        <v>5325.42</v>
      </c>
      <c r="Q245" s="362">
        <f>SUM(H245:P245)</f>
        <v>8500.630000000001</v>
      </c>
    </row>
    <row r="246" spans="1:17" s="293" customFormat="1" ht="18" customHeight="1">
      <c r="C246" s="1084" t="s">
        <v>913</v>
      </c>
      <c r="D246" s="271"/>
      <c r="E246" s="311"/>
      <c r="F246" s="311"/>
      <c r="G246" s="311"/>
      <c r="H246" s="362">
        <f>H235</f>
        <v>0</v>
      </c>
      <c r="I246" s="362">
        <f t="shared" ref="I246:O246" si="17">I235</f>
        <v>1419</v>
      </c>
      <c r="J246" s="362">
        <f t="shared" si="17"/>
        <v>0</v>
      </c>
      <c r="K246" s="362">
        <f t="shared" si="17"/>
        <v>0</v>
      </c>
      <c r="L246" s="362">
        <f t="shared" si="17"/>
        <v>587.76</v>
      </c>
      <c r="M246" s="362">
        <f t="shared" si="17"/>
        <v>1168.45</v>
      </c>
      <c r="N246" s="362">
        <f t="shared" si="17"/>
        <v>0</v>
      </c>
      <c r="O246" s="362">
        <f t="shared" si="17"/>
        <v>0</v>
      </c>
      <c r="P246" s="362">
        <f>P235+SUM(F239:F241)</f>
        <v>5862.3519999999999</v>
      </c>
      <c r="Q246" s="362">
        <f>SUM(H246:P246)</f>
        <v>9037.5619999999999</v>
      </c>
    </row>
    <row r="247" spans="1:17" s="304" customFormat="1" ht="18" customHeight="1">
      <c r="A247" s="300"/>
      <c r="B247" s="1080" t="s">
        <v>163</v>
      </c>
      <c r="C247" s="1084" t="s">
        <v>296</v>
      </c>
      <c r="D247" s="287"/>
      <c r="E247" s="287"/>
      <c r="F247" s="287"/>
      <c r="G247" s="297"/>
      <c r="H247" s="366"/>
      <c r="I247" s="366"/>
      <c r="J247" s="366"/>
      <c r="K247" s="366"/>
      <c r="L247" s="366"/>
      <c r="M247" s="366"/>
      <c r="N247" s="366"/>
      <c r="O247" s="366"/>
      <c r="P247" s="366"/>
      <c r="Q247" s="366"/>
    </row>
    <row r="248" spans="1:17" s="304" customFormat="1" ht="12.75">
      <c r="A248" s="300"/>
      <c r="B248" s="1080"/>
      <c r="C248" s="1082"/>
      <c r="D248" s="287"/>
      <c r="E248" s="256" t="s">
        <v>409</v>
      </c>
      <c r="F248" s="256" t="s">
        <v>410</v>
      </c>
      <c r="G248" s="298" t="s">
        <v>411</v>
      </c>
      <c r="H248" s="361"/>
      <c r="I248" s="361"/>
      <c r="J248" s="361"/>
      <c r="K248" s="361"/>
      <c r="L248" s="361"/>
      <c r="M248" s="361"/>
      <c r="N248" s="361"/>
      <c r="O248" s="361"/>
      <c r="P248" s="361"/>
      <c r="Q248" s="361"/>
    </row>
    <row r="249" spans="1:17" s="304" customFormat="1" ht="18" customHeight="1">
      <c r="A249" s="300"/>
      <c r="B249" s="1080"/>
      <c r="C249" s="1082" t="s">
        <v>412</v>
      </c>
      <c r="D249" s="287"/>
      <c r="E249" s="309">
        <f>G235</f>
        <v>6139.33</v>
      </c>
      <c r="F249" s="309">
        <f>E249</f>
        <v>6139.33</v>
      </c>
      <c r="G249" s="309">
        <f>F249</f>
        <v>6139.33</v>
      </c>
      <c r="H249" s="361"/>
      <c r="I249" s="361"/>
      <c r="J249" s="361"/>
      <c r="K249" s="361"/>
      <c r="L249" s="361"/>
      <c r="M249" s="361"/>
      <c r="N249" s="361"/>
      <c r="O249" s="361"/>
      <c r="P249" s="361"/>
      <c r="Q249" s="361"/>
    </row>
    <row r="250" spans="1:17" s="304" customFormat="1" ht="18" customHeight="1">
      <c r="A250" s="300"/>
      <c r="B250" s="1080"/>
      <c r="C250" s="1082" t="s">
        <v>413</v>
      </c>
      <c r="D250" s="287"/>
      <c r="E250" s="309">
        <v>355</v>
      </c>
      <c r="F250" s="309">
        <f>E250</f>
        <v>355</v>
      </c>
      <c r="G250" s="309">
        <f>F250</f>
        <v>355</v>
      </c>
      <c r="H250" s="362"/>
      <c r="I250" s="362"/>
      <c r="J250" s="362"/>
      <c r="K250" s="362"/>
      <c r="L250" s="362"/>
      <c r="M250" s="362"/>
      <c r="N250" s="362"/>
      <c r="O250" s="362"/>
      <c r="P250" s="362">
        <f>E250</f>
        <v>355</v>
      </c>
      <c r="Q250" s="362"/>
    </row>
    <row r="251" spans="1:17" s="304" customFormat="1" ht="18" customHeight="1">
      <c r="A251" s="300"/>
      <c r="B251" s="1080"/>
      <c r="C251" s="1082" t="s">
        <v>414</v>
      </c>
      <c r="D251" s="287"/>
      <c r="E251" s="309">
        <v>2268</v>
      </c>
      <c r="F251" s="309">
        <v>2495</v>
      </c>
      <c r="G251" s="297">
        <v>2722</v>
      </c>
      <c r="H251" s="362"/>
      <c r="I251" s="362"/>
      <c r="J251" s="362"/>
      <c r="K251" s="362"/>
      <c r="L251" s="362"/>
      <c r="M251" s="362"/>
      <c r="N251" s="362"/>
      <c r="O251" s="362"/>
      <c r="P251" s="362">
        <f>E251</f>
        <v>2268</v>
      </c>
      <c r="Q251" s="362"/>
    </row>
    <row r="252" spans="1:17" s="304" customFormat="1" ht="18" customHeight="1">
      <c r="A252" s="300"/>
      <c r="B252" s="1080"/>
      <c r="C252" s="1082" t="s">
        <v>415</v>
      </c>
      <c r="D252" s="310" t="s">
        <v>416</v>
      </c>
      <c r="E252" s="309">
        <v>0</v>
      </c>
      <c r="F252" s="309">
        <f>(SUM(G225:G227)+E251)*D252</f>
        <v>440.23199999999997</v>
      </c>
      <c r="G252" s="297">
        <f>ROUND(F252*2,2)</f>
        <v>880.46</v>
      </c>
      <c r="H252" s="361"/>
      <c r="I252" s="361"/>
      <c r="J252" s="361"/>
      <c r="K252" s="361"/>
      <c r="L252" s="361"/>
      <c r="M252" s="361"/>
      <c r="N252" s="361"/>
      <c r="O252" s="361"/>
      <c r="P252" s="361"/>
      <c r="Q252" s="361"/>
    </row>
    <row r="253" spans="1:17" s="292" customFormat="1" ht="18" customHeight="1">
      <c r="C253" s="1082" t="s">
        <v>794</v>
      </c>
      <c r="D253" s="256"/>
      <c r="E253" s="297">
        <f>ROUND(SUM(E251:E252)*$D$3,2)</f>
        <v>0</v>
      </c>
      <c r="F253" s="297">
        <f>ROUND(SUM(F251:F252)*$D$3,2)</f>
        <v>0</v>
      </c>
      <c r="G253" s="297">
        <f>ROUND(SUM(G251:G252)*$D$3,2)</f>
        <v>0</v>
      </c>
      <c r="H253" s="362"/>
      <c r="I253" s="362"/>
      <c r="J253" s="362"/>
      <c r="K253" s="362"/>
      <c r="L253" s="362"/>
      <c r="M253" s="362"/>
      <c r="N253" s="362"/>
      <c r="O253" s="362"/>
      <c r="P253" s="362">
        <f>G253</f>
        <v>0</v>
      </c>
      <c r="Q253" s="362"/>
    </row>
    <row r="254" spans="1:17" s="304" customFormat="1" ht="18" customHeight="1">
      <c r="A254" s="300"/>
      <c r="B254" s="1080"/>
      <c r="C254" s="1082"/>
      <c r="D254" s="310"/>
      <c r="E254" s="309">
        <f>SUM(E249:E253)</f>
        <v>8762.33</v>
      </c>
      <c r="F254" s="309">
        <f>SUM(F249:F253)</f>
        <v>9429.5619999999999</v>
      </c>
      <c r="G254" s="309">
        <f>SUM(G249:G253)</f>
        <v>10096.790000000001</v>
      </c>
      <c r="H254" s="362"/>
      <c r="I254" s="362"/>
      <c r="J254" s="362"/>
      <c r="K254" s="362"/>
      <c r="L254" s="362"/>
      <c r="M254" s="362"/>
      <c r="N254" s="362"/>
      <c r="O254" s="362"/>
      <c r="P254" s="362"/>
      <c r="Q254" s="362"/>
    </row>
    <row r="255" spans="1:17" s="304" customFormat="1" ht="18" customHeight="1">
      <c r="A255" s="300"/>
      <c r="B255" s="1080"/>
      <c r="C255" s="1082" t="s">
        <v>884</v>
      </c>
      <c r="D255" s="440">
        <f>D2</f>
        <v>0</v>
      </c>
      <c r="E255" s="309">
        <f>ROUND(E254*D255,2)</f>
        <v>0</v>
      </c>
      <c r="F255" s="309">
        <f>ROUND(F254*D255,2)</f>
        <v>0</v>
      </c>
      <c r="G255" s="309">
        <f>ROUND(G254*D255,2)</f>
        <v>0</v>
      </c>
      <c r="H255" s="362"/>
      <c r="I255" s="362"/>
      <c r="J255" s="362"/>
      <c r="K255" s="362"/>
      <c r="L255" s="362"/>
      <c r="M255" s="362"/>
      <c r="N255" s="362"/>
      <c r="O255" s="362"/>
      <c r="P255" s="362"/>
      <c r="Q255" s="362"/>
    </row>
    <row r="256" spans="1:17" s="293" customFormat="1" ht="18" customHeight="1">
      <c r="C256" s="1084" t="s">
        <v>1151</v>
      </c>
      <c r="D256" s="271"/>
      <c r="E256" s="309">
        <f>SUM(E254:E255)</f>
        <v>8762.33</v>
      </c>
      <c r="F256" s="309">
        <f>SUM(F254:F255)</f>
        <v>9429.5619999999999</v>
      </c>
      <c r="G256" s="309">
        <f>SUM(G254:G255)</f>
        <v>10096.790000000001</v>
      </c>
      <c r="H256" s="362">
        <f>H235+SUM(H249:H255)</f>
        <v>0</v>
      </c>
      <c r="I256" s="362">
        <f t="shared" ref="I256:P256" si="18">I235+SUM(I249:I255)</f>
        <v>1419</v>
      </c>
      <c r="J256" s="362">
        <f t="shared" si="18"/>
        <v>0</v>
      </c>
      <c r="K256" s="362">
        <f t="shared" si="18"/>
        <v>0</v>
      </c>
      <c r="L256" s="362">
        <f t="shared" si="18"/>
        <v>587.76</v>
      </c>
      <c r="M256" s="362">
        <f t="shared" si="18"/>
        <v>1168.45</v>
      </c>
      <c r="N256" s="362">
        <f t="shared" si="18"/>
        <v>0</v>
      </c>
      <c r="O256" s="362">
        <f t="shared" si="18"/>
        <v>0</v>
      </c>
      <c r="P256" s="362">
        <f t="shared" si="18"/>
        <v>5153.42</v>
      </c>
      <c r="Q256" s="362">
        <f>SUM(H256:P256)</f>
        <v>8328.630000000001</v>
      </c>
    </row>
    <row r="257" spans="1:17" s="293" customFormat="1" ht="18" customHeight="1">
      <c r="C257" s="1084" t="s">
        <v>912</v>
      </c>
      <c r="D257" s="271"/>
      <c r="E257" s="309"/>
      <c r="F257" s="309"/>
      <c r="G257" s="309"/>
      <c r="H257" s="362">
        <f t="shared" ref="H257:O257" si="19">H256</f>
        <v>0</v>
      </c>
      <c r="I257" s="362">
        <f t="shared" si="19"/>
        <v>1419</v>
      </c>
      <c r="J257" s="362">
        <f t="shared" si="19"/>
        <v>0</v>
      </c>
      <c r="K257" s="362">
        <f t="shared" si="19"/>
        <v>0</v>
      </c>
      <c r="L257" s="362">
        <f t="shared" si="19"/>
        <v>587.76</v>
      </c>
      <c r="M257" s="362">
        <f t="shared" si="19"/>
        <v>1168.45</v>
      </c>
      <c r="N257" s="362">
        <f t="shared" si="19"/>
        <v>0</v>
      </c>
      <c r="O257" s="362">
        <f t="shared" si="19"/>
        <v>0</v>
      </c>
      <c r="P257" s="362">
        <f>+P235+SUM(F250:F252)</f>
        <v>5820.652</v>
      </c>
      <c r="Q257" s="362">
        <f>SUM(H257:P257)</f>
        <v>8995.862000000001</v>
      </c>
    </row>
    <row r="258" spans="1:17" s="292" customFormat="1" ht="94.5" customHeight="1">
      <c r="A258" s="1080" t="s">
        <v>1037</v>
      </c>
      <c r="B258" s="293">
        <v>12</v>
      </c>
      <c r="C258" s="1312" t="s">
        <v>1940</v>
      </c>
      <c r="D258" s="1312"/>
      <c r="E258" s="1312"/>
      <c r="F258" s="1312"/>
      <c r="G258" s="1312"/>
      <c r="H258" s="362"/>
      <c r="I258" s="362"/>
      <c r="J258" s="362"/>
      <c r="K258" s="362"/>
      <c r="L258" s="362"/>
      <c r="M258" s="362"/>
      <c r="N258" s="362"/>
      <c r="O258" s="362"/>
      <c r="P258" s="362"/>
      <c r="Q258" s="362"/>
    </row>
    <row r="259" spans="1:17" s="304" customFormat="1" ht="18" customHeight="1">
      <c r="A259" s="300"/>
      <c r="B259" s="1080"/>
      <c r="C259" s="1082" t="s">
        <v>177</v>
      </c>
      <c r="D259" s="287"/>
      <c r="E259" s="287"/>
      <c r="F259" s="287"/>
      <c r="G259" s="297"/>
      <c r="H259" s="362"/>
      <c r="I259" s="362"/>
      <c r="J259" s="362"/>
      <c r="K259" s="362"/>
      <c r="L259" s="362"/>
      <c r="M259" s="362"/>
      <c r="N259" s="362"/>
      <c r="O259" s="362"/>
      <c r="P259" s="362"/>
      <c r="Q259" s="362"/>
    </row>
    <row r="260" spans="1:17" s="304" customFormat="1" ht="18" customHeight="1">
      <c r="A260" s="300"/>
      <c r="B260" s="1080"/>
      <c r="C260" s="1082" t="s">
        <v>279</v>
      </c>
      <c r="D260" s="287" t="s">
        <v>112</v>
      </c>
      <c r="E260" s="287">
        <f>E221</f>
        <v>0.8</v>
      </c>
      <c r="F260" s="287">
        <f>F13</f>
        <v>1460.5600000000002</v>
      </c>
      <c r="G260" s="297">
        <f>ROUND(E260*F260,2)</f>
        <v>1168.45</v>
      </c>
      <c r="H260" s="362"/>
      <c r="I260" s="362"/>
      <c r="J260" s="362"/>
      <c r="K260" s="362"/>
      <c r="L260" s="362"/>
      <c r="M260" s="362">
        <f>G260</f>
        <v>1168.45</v>
      </c>
      <c r="N260" s="362"/>
      <c r="O260" s="362"/>
      <c r="P260" s="362"/>
      <c r="Q260" s="362"/>
    </row>
    <row r="261" spans="1:17" s="304" customFormat="1" ht="18" customHeight="1">
      <c r="A261" s="300"/>
      <c r="B261" s="1080"/>
      <c r="C261" s="1082" t="s">
        <v>119</v>
      </c>
      <c r="D261" s="287" t="s">
        <v>112</v>
      </c>
      <c r="E261" s="287">
        <f>E222</f>
        <v>0.4</v>
      </c>
      <c r="F261" s="287">
        <f>'lead 1'!M13</f>
        <v>1469.4</v>
      </c>
      <c r="G261" s="297">
        <f>ROUND(E261*F261,2)</f>
        <v>587.76</v>
      </c>
      <c r="H261" s="362"/>
      <c r="I261" s="362"/>
      <c r="J261" s="362"/>
      <c r="K261" s="362"/>
      <c r="L261" s="362">
        <f>G261</f>
        <v>587.76</v>
      </c>
      <c r="M261" s="362"/>
      <c r="N261" s="362"/>
      <c r="O261" s="362"/>
      <c r="P261" s="362"/>
      <c r="Q261" s="362"/>
    </row>
    <row r="262" spans="1:17" s="304" customFormat="1" ht="18" customHeight="1">
      <c r="A262" s="300"/>
      <c r="B262" s="1080"/>
      <c r="C262" s="1082" t="s">
        <v>1941</v>
      </c>
      <c r="D262" s="287" t="s">
        <v>280</v>
      </c>
      <c r="E262" s="287">
        <f>E223</f>
        <v>330</v>
      </c>
      <c r="F262" s="287">
        <f>'lead 1'!M8</f>
        <v>4300</v>
      </c>
      <c r="G262" s="297">
        <f>ROUND(E262*F262/1000,2)</f>
        <v>1419</v>
      </c>
      <c r="H262" s="362"/>
      <c r="I262" s="362">
        <f>G262</f>
        <v>1419</v>
      </c>
      <c r="J262" s="362"/>
      <c r="K262" s="362"/>
      <c r="L262" s="362"/>
      <c r="M262" s="362"/>
      <c r="N262" s="362"/>
      <c r="O262" s="362"/>
      <c r="P262" s="362"/>
      <c r="Q262" s="362"/>
    </row>
    <row r="263" spans="1:17" s="304" customFormat="1" ht="18" customHeight="1">
      <c r="A263" s="300"/>
      <c r="B263" s="1080"/>
      <c r="C263" s="1082" t="s">
        <v>211</v>
      </c>
      <c r="D263" s="287"/>
      <c r="E263" s="287"/>
      <c r="F263" s="287"/>
      <c r="G263" s="297"/>
      <c r="H263" s="362"/>
      <c r="I263" s="362"/>
      <c r="J263" s="362"/>
      <c r="K263" s="362"/>
      <c r="L263" s="362"/>
      <c r="M263" s="362"/>
      <c r="N263" s="362"/>
      <c r="O263" s="362"/>
      <c r="P263" s="362"/>
      <c r="Q263" s="362"/>
    </row>
    <row r="264" spans="1:17" s="304" customFormat="1" ht="18" customHeight="1">
      <c r="A264" s="300"/>
      <c r="B264" s="1080"/>
      <c r="C264" s="1082" t="s">
        <v>281</v>
      </c>
      <c r="D264" s="287" t="s">
        <v>186</v>
      </c>
      <c r="E264" s="307">
        <v>6.7000000000000004E-2</v>
      </c>
      <c r="F264" s="287">
        <f>'lead 1'!M31</f>
        <v>500</v>
      </c>
      <c r="G264" s="297">
        <f t="shared" ref="G264:G271" si="20">ROUND(E264*F264,2)</f>
        <v>33.5</v>
      </c>
      <c r="H264" s="362"/>
      <c r="I264" s="362"/>
      <c r="J264" s="362"/>
      <c r="K264" s="362"/>
      <c r="L264" s="362"/>
      <c r="M264" s="362"/>
      <c r="N264" s="362"/>
      <c r="O264" s="362"/>
      <c r="P264" s="362">
        <f>G264</f>
        <v>33.5</v>
      </c>
      <c r="Q264" s="362"/>
    </row>
    <row r="265" spans="1:17" s="304" customFormat="1" ht="18" customHeight="1">
      <c r="A265" s="300"/>
      <c r="B265" s="1080"/>
      <c r="C265" s="1082" t="s">
        <v>282</v>
      </c>
      <c r="D265" s="287" t="s">
        <v>186</v>
      </c>
      <c r="E265" s="307">
        <v>0.13300000000000001</v>
      </c>
      <c r="F265" s="287">
        <f>'lead 1'!M30</f>
        <v>460</v>
      </c>
      <c r="G265" s="297">
        <f t="shared" si="20"/>
        <v>61.18</v>
      </c>
      <c r="H265" s="362"/>
      <c r="I265" s="362"/>
      <c r="J265" s="362"/>
      <c r="K265" s="362"/>
      <c r="L265" s="362"/>
      <c r="M265" s="362"/>
      <c r="N265" s="362"/>
      <c r="O265" s="362"/>
      <c r="P265" s="362">
        <f t="shared" ref="P265:P271" si="21">G265</f>
        <v>61.18</v>
      </c>
      <c r="Q265" s="362"/>
    </row>
    <row r="266" spans="1:17" s="304" customFormat="1" ht="18" customHeight="1">
      <c r="A266" s="300"/>
      <c r="B266" s="1080"/>
      <c r="C266" s="1082" t="s">
        <v>283</v>
      </c>
      <c r="D266" s="287" t="s">
        <v>186</v>
      </c>
      <c r="E266" s="307">
        <v>2.5</v>
      </c>
      <c r="F266" s="287">
        <f>'lead 1'!M28</f>
        <v>420</v>
      </c>
      <c r="G266" s="297">
        <f t="shared" si="20"/>
        <v>1050</v>
      </c>
      <c r="H266" s="1052"/>
      <c r="I266" s="1051"/>
      <c r="J266" s="1051"/>
      <c r="K266" s="1051"/>
      <c r="L266" s="1051"/>
      <c r="M266" s="362"/>
      <c r="N266" s="362"/>
      <c r="O266" s="362"/>
      <c r="P266" s="362">
        <f t="shared" si="21"/>
        <v>1050</v>
      </c>
      <c r="Q266" s="362"/>
    </row>
    <row r="267" spans="1:17" s="304" customFormat="1" ht="18" customHeight="1">
      <c r="A267" s="300"/>
      <c r="B267" s="1080"/>
      <c r="C267" s="1082" t="s">
        <v>221</v>
      </c>
      <c r="D267" s="287" t="s">
        <v>222</v>
      </c>
      <c r="E267" s="307">
        <v>0.26700000000000002</v>
      </c>
      <c r="F267" s="287">
        <f>F229</f>
        <v>272.50000000000006</v>
      </c>
      <c r="G267" s="297">
        <f t="shared" si="20"/>
        <v>72.760000000000005</v>
      </c>
      <c r="H267" s="362"/>
      <c r="I267" s="362"/>
      <c r="J267" s="362"/>
      <c r="K267" s="362"/>
      <c r="L267" s="362"/>
      <c r="M267" s="362"/>
      <c r="N267" s="362"/>
      <c r="O267" s="362"/>
      <c r="P267" s="362">
        <f t="shared" si="21"/>
        <v>72.760000000000005</v>
      </c>
      <c r="Q267" s="362"/>
    </row>
    <row r="268" spans="1:17" s="304" customFormat="1" ht="18" customHeight="1">
      <c r="A268" s="300"/>
      <c r="B268" s="1080"/>
      <c r="C268" s="1082" t="s">
        <v>1147</v>
      </c>
      <c r="D268" s="287" t="s">
        <v>222</v>
      </c>
      <c r="E268" s="307">
        <v>0.26700000000000002</v>
      </c>
      <c r="F268" s="287">
        <f>F230</f>
        <v>252.2</v>
      </c>
      <c r="G268" s="297">
        <f t="shared" si="20"/>
        <v>67.34</v>
      </c>
      <c r="H268" s="362"/>
      <c r="I268" s="362"/>
      <c r="J268" s="362"/>
      <c r="K268" s="362"/>
      <c r="L268" s="362"/>
      <c r="M268" s="362"/>
      <c r="N268" s="362"/>
      <c r="O268" s="362"/>
      <c r="P268" s="362">
        <f>G268</f>
        <v>67.34</v>
      </c>
      <c r="Q268" s="362"/>
    </row>
    <row r="269" spans="1:17" s="304" customFormat="1" ht="18" customHeight="1">
      <c r="A269" s="300"/>
      <c r="B269" s="1080"/>
      <c r="C269" s="1082" t="s">
        <v>458</v>
      </c>
      <c r="D269" s="287" t="s">
        <v>222</v>
      </c>
      <c r="E269" s="307">
        <v>0.26700000000000002</v>
      </c>
      <c r="F269" s="287">
        <f>F231</f>
        <v>27.599999999999994</v>
      </c>
      <c r="G269" s="297">
        <f t="shared" si="20"/>
        <v>7.37</v>
      </c>
      <c r="H269" s="362"/>
      <c r="I269" s="362"/>
      <c r="J269" s="362"/>
      <c r="K269" s="362"/>
      <c r="L269" s="362"/>
      <c r="M269" s="362"/>
      <c r="N269" s="362"/>
      <c r="O269" s="362"/>
      <c r="P269" s="362">
        <f t="shared" si="21"/>
        <v>7.37</v>
      </c>
      <c r="Q269" s="362"/>
    </row>
    <row r="270" spans="1:17" s="304" customFormat="1" ht="18" customHeight="1">
      <c r="A270" s="300"/>
      <c r="B270" s="1080"/>
      <c r="C270" s="1082" t="s">
        <v>1148</v>
      </c>
      <c r="D270" s="287" t="s">
        <v>222</v>
      </c>
      <c r="E270" s="307">
        <v>0.26700000000000002</v>
      </c>
      <c r="F270" s="287">
        <f>F232</f>
        <v>181.5</v>
      </c>
      <c r="G270" s="297">
        <f t="shared" si="20"/>
        <v>48.46</v>
      </c>
      <c r="H270" s="362"/>
      <c r="I270" s="362"/>
      <c r="J270" s="362"/>
      <c r="K270" s="362"/>
      <c r="L270" s="362"/>
      <c r="M270" s="362"/>
      <c r="N270" s="362"/>
      <c r="O270" s="362"/>
      <c r="P270" s="362">
        <f>G270</f>
        <v>48.46</v>
      </c>
      <c r="Q270" s="362"/>
    </row>
    <row r="271" spans="1:17" s="304" customFormat="1" ht="18" customHeight="1">
      <c r="A271" s="300"/>
      <c r="B271" s="1080"/>
      <c r="C271" s="1082" t="s">
        <v>214</v>
      </c>
      <c r="D271" s="287" t="s">
        <v>215</v>
      </c>
      <c r="E271" s="307">
        <v>1.2</v>
      </c>
      <c r="F271" s="287">
        <f>F233</f>
        <v>80</v>
      </c>
      <c r="G271" s="297">
        <f t="shared" si="20"/>
        <v>96</v>
      </c>
      <c r="H271" s="362"/>
      <c r="I271" s="362"/>
      <c r="J271" s="362"/>
      <c r="K271" s="362"/>
      <c r="L271" s="362"/>
      <c r="M271" s="362"/>
      <c r="N271" s="362"/>
      <c r="O271" s="362"/>
      <c r="P271" s="362">
        <f t="shared" si="21"/>
        <v>96</v>
      </c>
      <c r="Q271" s="362"/>
    </row>
    <row r="272" spans="1:17" s="292" customFormat="1" ht="18" customHeight="1">
      <c r="B272" s="293"/>
      <c r="C272" s="305" t="str">
        <f>"Add "&amp;$G$1*100&amp;"% on Labour for Municipal Limits"</f>
        <v>Add 0% on Labour for Municipal Limits</v>
      </c>
      <c r="E272" s="306">
        <f>$D$3</f>
        <v>0</v>
      </c>
      <c r="F272" s="287">
        <f>SUM(G264:G266)+G268+G270</f>
        <v>1260.48</v>
      </c>
      <c r="G272" s="297">
        <f>ROUND(F272*E272,2)</f>
        <v>0</v>
      </c>
      <c r="H272" s="362"/>
      <c r="I272" s="362"/>
      <c r="J272" s="362"/>
      <c r="K272" s="362"/>
      <c r="L272" s="362"/>
      <c r="M272" s="362"/>
      <c r="N272" s="362"/>
      <c r="O272" s="362"/>
      <c r="P272" s="362">
        <f>G272</f>
        <v>0</v>
      </c>
      <c r="Q272" s="362"/>
    </row>
    <row r="273" spans="1:17" s="308" customFormat="1" ht="18" customHeight="1">
      <c r="A273" s="1080"/>
      <c r="B273" s="1080"/>
      <c r="C273" s="1084" t="s">
        <v>287</v>
      </c>
      <c r="D273" s="256"/>
      <c r="E273" s="256"/>
      <c r="F273" s="298" t="s">
        <v>438</v>
      </c>
      <c r="G273" s="298">
        <f>ROUND(SUM(G260:G272),2)</f>
        <v>4611.82</v>
      </c>
      <c r="H273" s="443">
        <f>SUM(H260:H271)</f>
        <v>0</v>
      </c>
      <c r="I273" s="443">
        <f>SUM(I260:I271)</f>
        <v>1419</v>
      </c>
      <c r="J273" s="443">
        <f t="shared" ref="J273:P273" si="22">SUM(J260:J271)</f>
        <v>0</v>
      </c>
      <c r="K273" s="443">
        <f t="shared" si="22"/>
        <v>0</v>
      </c>
      <c r="L273" s="443">
        <f t="shared" si="22"/>
        <v>587.76</v>
      </c>
      <c r="M273" s="443">
        <f t="shared" si="22"/>
        <v>1168.45</v>
      </c>
      <c r="N273" s="443">
        <f t="shared" si="22"/>
        <v>0</v>
      </c>
      <c r="O273" s="443"/>
      <c r="P273" s="443">
        <f t="shared" si="22"/>
        <v>1436.61</v>
      </c>
      <c r="Q273" s="443">
        <f>SUM(H273:P273)</f>
        <v>4611.82</v>
      </c>
    </row>
    <row r="274" spans="1:17" s="304" customFormat="1" ht="18" customHeight="1">
      <c r="A274" s="300"/>
      <c r="B274" s="1080" t="s">
        <v>288</v>
      </c>
      <c r="C274" s="1084" t="s">
        <v>299</v>
      </c>
      <c r="D274" s="287"/>
      <c r="E274" s="287"/>
      <c r="F274" s="287"/>
      <c r="G274" s="297"/>
      <c r="H274" s="362"/>
      <c r="I274" s="362"/>
      <c r="J274" s="362"/>
      <c r="K274" s="362"/>
      <c r="L274" s="362"/>
      <c r="M274" s="362"/>
      <c r="N274" s="362"/>
      <c r="O274" s="362"/>
      <c r="P274" s="362"/>
      <c r="Q274" s="362"/>
    </row>
    <row r="275" spans="1:17" s="304" customFormat="1" ht="18" customHeight="1">
      <c r="A275" s="300"/>
      <c r="B275" s="1080"/>
      <c r="C275" s="1082"/>
      <c r="D275" s="287"/>
      <c r="E275" s="256" t="s">
        <v>409</v>
      </c>
      <c r="F275" s="256" t="s">
        <v>410</v>
      </c>
      <c r="G275" s="298" t="s">
        <v>411</v>
      </c>
      <c r="H275" s="362"/>
      <c r="I275" s="362"/>
      <c r="J275" s="362"/>
      <c r="K275" s="362"/>
      <c r="L275" s="362"/>
      <c r="M275" s="362"/>
      <c r="N275" s="362"/>
      <c r="O275" s="362"/>
      <c r="P275" s="362"/>
      <c r="Q275" s="362"/>
    </row>
    <row r="276" spans="1:17" s="304" customFormat="1" ht="18" customHeight="1">
      <c r="A276" s="300"/>
      <c r="B276" s="1080"/>
      <c r="C276" s="1082" t="s">
        <v>412</v>
      </c>
      <c r="D276" s="287"/>
      <c r="E276" s="309">
        <f>G273</f>
        <v>4611.82</v>
      </c>
      <c r="F276" s="309">
        <f>E276</f>
        <v>4611.82</v>
      </c>
      <c r="G276" s="309">
        <f>F276</f>
        <v>4611.82</v>
      </c>
      <c r="H276" s="362">
        <f>H273</f>
        <v>0</v>
      </c>
      <c r="I276" s="362">
        <f t="shared" ref="I276:P276" si="23">I273</f>
        <v>1419</v>
      </c>
      <c r="J276" s="362">
        <f t="shared" si="23"/>
        <v>0</v>
      </c>
      <c r="K276" s="362">
        <f t="shared" si="23"/>
        <v>0</v>
      </c>
      <c r="L276" s="362">
        <f t="shared" si="23"/>
        <v>587.76</v>
      </c>
      <c r="M276" s="362">
        <f t="shared" si="23"/>
        <v>1168.45</v>
      </c>
      <c r="N276" s="362">
        <f t="shared" si="23"/>
        <v>0</v>
      </c>
      <c r="O276" s="362"/>
      <c r="P276" s="362">
        <f t="shared" si="23"/>
        <v>1436.61</v>
      </c>
      <c r="Q276" s="362"/>
    </row>
    <row r="277" spans="1:17" s="304" customFormat="1" ht="18" customHeight="1">
      <c r="A277" s="300"/>
      <c r="B277" s="1080"/>
      <c r="C277" s="1082" t="s">
        <v>413</v>
      </c>
      <c r="D277" s="287"/>
      <c r="E277" s="309">
        <v>2085</v>
      </c>
      <c r="F277" s="309">
        <f>E277</f>
        <v>2085</v>
      </c>
      <c r="G277" s="309">
        <f>F277</f>
        <v>2085</v>
      </c>
      <c r="H277" s="362"/>
      <c r="I277" s="362"/>
      <c r="J277" s="362"/>
      <c r="K277" s="362"/>
      <c r="L277" s="362"/>
      <c r="M277" s="362"/>
      <c r="N277" s="362"/>
      <c r="O277" s="362"/>
      <c r="P277" s="362">
        <f>E277</f>
        <v>2085</v>
      </c>
      <c r="Q277" s="362"/>
    </row>
    <row r="278" spans="1:17" s="304" customFormat="1" ht="18" customHeight="1">
      <c r="A278" s="300"/>
      <c r="B278" s="1080"/>
      <c r="C278" s="1082" t="s">
        <v>414</v>
      </c>
      <c r="D278" s="287"/>
      <c r="E278" s="309">
        <v>1903</v>
      </c>
      <c r="F278" s="309">
        <v>2093</v>
      </c>
      <c r="G278" s="297">
        <v>2284</v>
      </c>
      <c r="H278" s="362"/>
      <c r="I278" s="362"/>
      <c r="J278" s="362"/>
      <c r="K278" s="362"/>
      <c r="L278" s="362"/>
      <c r="M278" s="362"/>
      <c r="N278" s="362"/>
      <c r="O278" s="362"/>
      <c r="P278" s="362">
        <f>E278</f>
        <v>1903</v>
      </c>
      <c r="Q278" s="362"/>
    </row>
    <row r="279" spans="1:17" s="304" customFormat="1" ht="18" customHeight="1">
      <c r="A279" s="300"/>
      <c r="B279" s="1080"/>
      <c r="C279" s="1082" t="s">
        <v>415</v>
      </c>
      <c r="D279" s="310" t="s">
        <v>416</v>
      </c>
      <c r="E279" s="309">
        <v>0</v>
      </c>
      <c r="F279" s="309">
        <f>(SUM(G264:G266)+E278)*D279</f>
        <v>304.76800000000003</v>
      </c>
      <c r="G279" s="297">
        <f>F279*2</f>
        <v>609.53600000000006</v>
      </c>
      <c r="H279" s="362"/>
      <c r="I279" s="362"/>
      <c r="J279" s="362"/>
      <c r="K279" s="362"/>
      <c r="L279" s="362"/>
      <c r="M279" s="362"/>
      <c r="N279" s="362"/>
      <c r="O279" s="362"/>
      <c r="P279" s="362"/>
      <c r="Q279" s="362"/>
    </row>
    <row r="280" spans="1:17" s="292" customFormat="1" ht="18" customHeight="1">
      <c r="C280" s="1082" t="s">
        <v>794</v>
      </c>
      <c r="D280" s="256"/>
      <c r="E280" s="297">
        <f>ROUND(SUM(E278:E279)*$D$3,2)</f>
        <v>0</v>
      </c>
      <c r="F280" s="297">
        <f>ROUND(SUM(F278:F279)*$D$3,2)</f>
        <v>0</v>
      </c>
      <c r="G280" s="297">
        <f>ROUND(SUM(G278:G279)*$D$3,2)</f>
        <v>0</v>
      </c>
      <c r="H280" s="362"/>
      <c r="I280" s="362"/>
      <c r="J280" s="362"/>
      <c r="K280" s="362"/>
      <c r="L280" s="362"/>
      <c r="M280" s="362"/>
      <c r="N280" s="362"/>
      <c r="O280" s="362"/>
      <c r="P280" s="362">
        <f>G280</f>
        <v>0</v>
      </c>
      <c r="Q280" s="362"/>
    </row>
    <row r="281" spans="1:17" s="304" customFormat="1" ht="18" customHeight="1">
      <c r="A281" s="300"/>
      <c r="B281" s="1080"/>
      <c r="C281" s="1082"/>
      <c r="D281" s="310"/>
      <c r="E281" s="309">
        <f>SUM(E276:E280)</f>
        <v>8599.82</v>
      </c>
      <c r="F281" s="309">
        <f>SUM(F276:F280)</f>
        <v>9094.5879999999997</v>
      </c>
      <c r="G281" s="309">
        <f>SUM(G276:G280)</f>
        <v>9590.3559999999998</v>
      </c>
      <c r="H281" s="354"/>
      <c r="I281" s="354"/>
      <c r="J281" s="354"/>
      <c r="K281" s="354"/>
      <c r="L281" s="354"/>
      <c r="M281" s="366"/>
      <c r="N281" s="366"/>
      <c r="O281" s="366"/>
      <c r="P281" s="366"/>
      <c r="Q281" s="366"/>
    </row>
    <row r="282" spans="1:17" s="304" customFormat="1" ht="18" customHeight="1">
      <c r="A282" s="300"/>
      <c r="B282" s="1080"/>
      <c r="C282" s="1082" t="s">
        <v>884</v>
      </c>
      <c r="D282" s="440">
        <f>D2</f>
        <v>0</v>
      </c>
      <c r="E282" s="309">
        <f>ROUND(E281*D282,2)</f>
        <v>0</v>
      </c>
      <c r="F282" s="309">
        <f>ROUND(F281*D282,2)</f>
        <v>0</v>
      </c>
      <c r="G282" s="309">
        <f>ROUND(G281*D282,2)</f>
        <v>0</v>
      </c>
      <c r="H282" s="361"/>
      <c r="I282" s="361"/>
      <c r="J282" s="361"/>
      <c r="K282" s="361"/>
      <c r="L282" s="361"/>
      <c r="M282" s="361"/>
      <c r="N282" s="361"/>
      <c r="O282" s="361"/>
      <c r="P282" s="361"/>
      <c r="Q282" s="361"/>
    </row>
    <row r="283" spans="1:17" s="293" customFormat="1" ht="18" customHeight="1">
      <c r="C283" s="1084" t="s">
        <v>1152</v>
      </c>
      <c r="D283" s="271"/>
      <c r="E283" s="311">
        <f>SUM(E281:E282)</f>
        <v>8599.82</v>
      </c>
      <c r="F283" s="311">
        <f>SUM(F281:F282)</f>
        <v>9094.5879999999997</v>
      </c>
      <c r="G283" s="311">
        <f>SUM(G281:G282)</f>
        <v>9590.3559999999998</v>
      </c>
      <c r="H283" s="361">
        <f>SUM(H276:H282)</f>
        <v>0</v>
      </c>
      <c r="I283" s="361">
        <f t="shared" ref="I283:P283" si="24">SUM(I276:I282)</f>
        <v>1419</v>
      </c>
      <c r="J283" s="361">
        <f t="shared" si="24"/>
        <v>0</v>
      </c>
      <c r="K283" s="361">
        <f t="shared" si="24"/>
        <v>0</v>
      </c>
      <c r="L283" s="361">
        <f t="shared" si="24"/>
        <v>587.76</v>
      </c>
      <c r="M283" s="361">
        <f t="shared" si="24"/>
        <v>1168.45</v>
      </c>
      <c r="N283" s="361">
        <f t="shared" si="24"/>
        <v>0</v>
      </c>
      <c r="O283" s="361"/>
      <c r="P283" s="361">
        <f t="shared" si="24"/>
        <v>5424.61</v>
      </c>
      <c r="Q283" s="361">
        <f>SUM(H283:P283)</f>
        <v>8599.82</v>
      </c>
    </row>
    <row r="284" spans="1:17" s="293" customFormat="1" ht="18" customHeight="1">
      <c r="C284" s="1084" t="s">
        <v>918</v>
      </c>
      <c r="D284" s="271"/>
      <c r="E284" s="311"/>
      <c r="F284" s="311"/>
      <c r="G284" s="311"/>
      <c r="H284" s="361">
        <f>H276</f>
        <v>0</v>
      </c>
      <c r="I284" s="361">
        <f t="shared" ref="I284:O284" si="25">I276</f>
        <v>1419</v>
      </c>
      <c r="J284" s="361">
        <f t="shared" si="25"/>
        <v>0</v>
      </c>
      <c r="K284" s="361">
        <f t="shared" si="25"/>
        <v>0</v>
      </c>
      <c r="L284" s="361">
        <f t="shared" si="25"/>
        <v>587.76</v>
      </c>
      <c r="M284" s="361">
        <f t="shared" si="25"/>
        <v>1168.45</v>
      </c>
      <c r="N284" s="361">
        <f t="shared" si="25"/>
        <v>0</v>
      </c>
      <c r="O284" s="361">
        <f t="shared" si="25"/>
        <v>0</v>
      </c>
      <c r="P284" s="361">
        <f>P276+SUM(F277:F279)</f>
        <v>5919.3779999999997</v>
      </c>
      <c r="Q284" s="361">
        <f>SUM(H284:P284)</f>
        <v>9094.5879999999997</v>
      </c>
    </row>
    <row r="285" spans="1:17" s="304" customFormat="1" ht="18" customHeight="1">
      <c r="A285" s="300"/>
      <c r="B285" s="1080" t="s">
        <v>163</v>
      </c>
      <c r="C285" s="1084" t="s">
        <v>886</v>
      </c>
      <c r="D285" s="287"/>
      <c r="E285" s="287"/>
      <c r="F285" s="287"/>
      <c r="G285" s="297"/>
      <c r="H285" s="362"/>
      <c r="I285" s="362"/>
      <c r="J285" s="362"/>
      <c r="K285" s="362"/>
      <c r="L285" s="362"/>
      <c r="M285" s="362"/>
      <c r="N285" s="362"/>
      <c r="O285" s="362"/>
      <c r="P285" s="362"/>
      <c r="Q285" s="362"/>
    </row>
    <row r="286" spans="1:17" s="304" customFormat="1" ht="18" customHeight="1">
      <c r="A286" s="300"/>
      <c r="B286" s="1080"/>
      <c r="C286" s="1082"/>
      <c r="D286" s="287"/>
      <c r="E286" s="256" t="s">
        <v>409</v>
      </c>
      <c r="F286" s="256" t="s">
        <v>410</v>
      </c>
      <c r="G286" s="298" t="s">
        <v>411</v>
      </c>
      <c r="H286" s="362"/>
      <c r="I286" s="362"/>
      <c r="J286" s="362"/>
      <c r="K286" s="362"/>
      <c r="L286" s="362"/>
      <c r="M286" s="362"/>
      <c r="N286" s="362"/>
      <c r="O286" s="362"/>
      <c r="P286" s="362"/>
      <c r="Q286" s="362"/>
    </row>
    <row r="287" spans="1:17" s="304" customFormat="1" ht="18" customHeight="1">
      <c r="A287" s="300"/>
      <c r="B287" s="1080"/>
      <c r="C287" s="1082" t="s">
        <v>419</v>
      </c>
      <c r="D287" s="287"/>
      <c r="E287" s="309">
        <f>G273</f>
        <v>4611.82</v>
      </c>
      <c r="F287" s="309">
        <f>E287</f>
        <v>4611.82</v>
      </c>
      <c r="G287" s="309">
        <f>F287</f>
        <v>4611.82</v>
      </c>
      <c r="H287" s="362"/>
      <c r="I287" s="362"/>
      <c r="J287" s="362"/>
      <c r="K287" s="362"/>
      <c r="L287" s="362"/>
      <c r="M287" s="362"/>
      <c r="N287" s="362"/>
      <c r="O287" s="362"/>
      <c r="P287" s="362"/>
      <c r="Q287" s="362"/>
    </row>
    <row r="288" spans="1:17" s="304" customFormat="1" ht="18" customHeight="1">
      <c r="A288" s="300"/>
      <c r="B288" s="1080"/>
      <c r="C288" s="1082" t="s">
        <v>420</v>
      </c>
      <c r="D288" s="538">
        <v>0.125</v>
      </c>
      <c r="E288" s="309">
        <f>ROUND(D288*E287,2)</f>
        <v>576.48</v>
      </c>
      <c r="F288" s="309">
        <f>ROUND(0.125*F287,2)</f>
        <v>576.48</v>
      </c>
      <c r="G288" s="309">
        <f>ROUND(0.125*G287,2)</f>
        <v>576.48</v>
      </c>
      <c r="H288" s="361">
        <f>ROUND(H273*0.125,2)</f>
        <v>0</v>
      </c>
      <c r="I288" s="361">
        <f>ROUND(I273*0.125,2)</f>
        <v>177.38</v>
      </c>
      <c r="J288" s="361"/>
      <c r="K288" s="361"/>
      <c r="L288" s="361">
        <f>ROUND(L273*0.125,2)</f>
        <v>73.47</v>
      </c>
      <c r="M288" s="361">
        <f>ROUND(M273*0.125,2)</f>
        <v>146.06</v>
      </c>
      <c r="N288" s="361"/>
      <c r="O288" s="361"/>
      <c r="P288" s="361">
        <f>ROUND(P273*0.125,2)</f>
        <v>179.58</v>
      </c>
      <c r="Q288" s="361"/>
    </row>
    <row r="289" spans="1:17" s="304" customFormat="1" ht="18" customHeight="1">
      <c r="A289" s="300"/>
      <c r="B289" s="1080"/>
      <c r="C289" s="1082" t="s">
        <v>413</v>
      </c>
      <c r="D289" s="287"/>
      <c r="E289" s="309">
        <v>236</v>
      </c>
      <c r="F289" s="309">
        <f>E289</f>
        <v>236</v>
      </c>
      <c r="G289" s="309">
        <f>F289</f>
        <v>236</v>
      </c>
      <c r="H289" s="362"/>
      <c r="I289" s="362"/>
      <c r="J289" s="362"/>
      <c r="K289" s="362"/>
      <c r="L289" s="362"/>
      <c r="M289" s="362"/>
      <c r="N289" s="362"/>
      <c r="O289" s="362"/>
      <c r="P289" s="362">
        <f>E289</f>
        <v>236</v>
      </c>
      <c r="Q289" s="362"/>
    </row>
    <row r="290" spans="1:17" s="304" customFormat="1" ht="18" customHeight="1">
      <c r="A290" s="300"/>
      <c r="B290" s="1080"/>
      <c r="C290" s="1082" t="s">
        <v>414</v>
      </c>
      <c r="D290" s="287"/>
      <c r="E290" s="309">
        <v>215</v>
      </c>
      <c r="F290" s="309">
        <v>237</v>
      </c>
      <c r="G290" s="297">
        <v>258</v>
      </c>
      <c r="H290" s="362"/>
      <c r="I290" s="362"/>
      <c r="J290" s="362"/>
      <c r="K290" s="362"/>
      <c r="L290" s="362"/>
      <c r="M290" s="362"/>
      <c r="N290" s="362"/>
      <c r="O290" s="362"/>
      <c r="P290" s="362">
        <f>E290</f>
        <v>215</v>
      </c>
      <c r="Q290" s="362"/>
    </row>
    <row r="291" spans="1:17" s="304" customFormat="1" ht="18" customHeight="1">
      <c r="A291" s="300"/>
      <c r="B291" s="1080"/>
      <c r="C291" s="1082" t="s">
        <v>415</v>
      </c>
      <c r="D291" s="310" t="s">
        <v>416</v>
      </c>
      <c r="E291" s="309">
        <v>0</v>
      </c>
      <c r="F291" s="309">
        <f>(SUM(G264:G266)+E290)*D291</f>
        <v>135.96800000000002</v>
      </c>
      <c r="G291" s="297">
        <f>F291*2</f>
        <v>271.93600000000004</v>
      </c>
      <c r="H291" s="362"/>
      <c r="I291" s="362"/>
      <c r="J291" s="362"/>
      <c r="K291" s="362"/>
      <c r="L291" s="362"/>
      <c r="M291" s="362"/>
      <c r="N291" s="362"/>
      <c r="O291" s="362"/>
      <c r="P291" s="362"/>
      <c r="Q291" s="362"/>
    </row>
    <row r="292" spans="1:17" s="292" customFormat="1" ht="18" customHeight="1">
      <c r="C292" s="1082" t="s">
        <v>794</v>
      </c>
      <c r="D292" s="256"/>
      <c r="E292" s="297">
        <f>ROUND(SUM(E290:E291)*$D$3,2)</f>
        <v>0</v>
      </c>
      <c r="F292" s="297">
        <f>ROUND(SUM(F290:F291)*$D$3,2)</f>
        <v>0</v>
      </c>
      <c r="G292" s="297">
        <f>ROUND(SUM(G290:G291)*$D$3,2)</f>
        <v>0</v>
      </c>
      <c r="H292" s="362"/>
      <c r="I292" s="362"/>
      <c r="J292" s="362"/>
      <c r="K292" s="362"/>
      <c r="L292" s="362"/>
      <c r="M292" s="362"/>
      <c r="N292" s="362"/>
      <c r="O292" s="362"/>
      <c r="P292" s="362">
        <f>G292</f>
        <v>0</v>
      </c>
      <c r="Q292" s="362"/>
    </row>
    <row r="293" spans="1:17" s="304" customFormat="1" ht="18" customHeight="1">
      <c r="A293" s="300"/>
      <c r="B293" s="1080"/>
      <c r="C293" s="1082"/>
      <c r="D293" s="310"/>
      <c r="E293" s="309">
        <f>SUM(E288:E292)</f>
        <v>1027.48</v>
      </c>
      <c r="F293" s="309">
        <f>SUM(F288:F292)</f>
        <v>1185.4480000000001</v>
      </c>
      <c r="G293" s="309">
        <f>SUM(G288:G292)</f>
        <v>1342.4160000000002</v>
      </c>
      <c r="H293" s="362"/>
      <c r="I293" s="362"/>
      <c r="J293" s="362"/>
      <c r="K293" s="362"/>
      <c r="L293" s="362"/>
      <c r="M293" s="362"/>
      <c r="N293" s="362"/>
      <c r="O293" s="362"/>
      <c r="P293" s="362"/>
      <c r="Q293" s="362"/>
    </row>
    <row r="294" spans="1:17" s="304" customFormat="1" ht="18" customHeight="1">
      <c r="A294" s="300"/>
      <c r="B294" s="1080"/>
      <c r="C294" s="1082" t="s">
        <v>885</v>
      </c>
      <c r="D294" s="440">
        <f>D2</f>
        <v>0</v>
      </c>
      <c r="E294" s="309">
        <f>ROUND(E293*D294,2)</f>
        <v>0</v>
      </c>
      <c r="F294" s="309">
        <f>ROUND(F293*D294,2)</f>
        <v>0</v>
      </c>
      <c r="G294" s="309">
        <f>ROUND(G293*D294,2)</f>
        <v>0</v>
      </c>
      <c r="H294" s="354"/>
      <c r="I294" s="354"/>
      <c r="J294" s="354"/>
      <c r="K294" s="354"/>
      <c r="L294" s="354"/>
      <c r="M294" s="366"/>
      <c r="N294" s="366"/>
      <c r="O294" s="366"/>
      <c r="P294" s="366"/>
      <c r="Q294" s="366"/>
    </row>
    <row r="295" spans="1:17" s="293" customFormat="1" ht="18" customHeight="1">
      <c r="C295" s="1084" t="s">
        <v>1153</v>
      </c>
      <c r="D295" s="271"/>
      <c r="E295" s="311">
        <f>SUM(E293:E294)</f>
        <v>1027.48</v>
      </c>
      <c r="F295" s="311">
        <f>SUM(F293:F294)</f>
        <v>1185.4480000000001</v>
      </c>
      <c r="G295" s="311">
        <f>SUM(G293:G294)</f>
        <v>1342.4160000000002</v>
      </c>
      <c r="H295" s="361">
        <f>SUM(H286:H294)</f>
        <v>0</v>
      </c>
      <c r="I295" s="361">
        <f>SUM(I286:I294)</f>
        <v>177.38</v>
      </c>
      <c r="J295" s="361">
        <f t="shared" ref="J295:P295" si="26">SUM(J286:J294)</f>
        <v>0</v>
      </c>
      <c r="K295" s="361">
        <f t="shared" si="26"/>
        <v>0</v>
      </c>
      <c r="L295" s="361">
        <f t="shared" si="26"/>
        <v>73.47</v>
      </c>
      <c r="M295" s="361">
        <f t="shared" si="26"/>
        <v>146.06</v>
      </c>
      <c r="N295" s="361">
        <f t="shared" si="26"/>
        <v>0</v>
      </c>
      <c r="O295" s="361"/>
      <c r="P295" s="361">
        <f t="shared" si="26"/>
        <v>630.58000000000004</v>
      </c>
      <c r="Q295" s="361">
        <f>SUM(I295:P295)</f>
        <v>1027.49</v>
      </c>
    </row>
    <row r="296" spans="1:17" s="293" customFormat="1" ht="18" customHeight="1">
      <c r="C296" s="1084" t="s">
        <v>915</v>
      </c>
      <c r="D296" s="271"/>
      <c r="E296" s="311"/>
      <c r="F296" s="311"/>
      <c r="G296" s="311"/>
      <c r="H296" s="361">
        <f>H288</f>
        <v>0</v>
      </c>
      <c r="I296" s="361">
        <f t="shared" ref="I296:O296" si="27">I288</f>
        <v>177.38</v>
      </c>
      <c r="J296" s="361">
        <f t="shared" si="27"/>
        <v>0</v>
      </c>
      <c r="K296" s="361">
        <f t="shared" si="27"/>
        <v>0</v>
      </c>
      <c r="L296" s="361">
        <f t="shared" si="27"/>
        <v>73.47</v>
      </c>
      <c r="M296" s="361">
        <f t="shared" si="27"/>
        <v>146.06</v>
      </c>
      <c r="N296" s="361">
        <f t="shared" si="27"/>
        <v>0</v>
      </c>
      <c r="O296" s="361">
        <f t="shared" si="27"/>
        <v>0</v>
      </c>
      <c r="P296" s="361">
        <f>P288+SUM(F289:F291)</f>
        <v>788.54800000000012</v>
      </c>
      <c r="Q296" s="361">
        <f>SUM(H296:P296)</f>
        <v>1185.4580000000001</v>
      </c>
    </row>
    <row r="297" spans="1:17" s="304" customFormat="1" ht="18" hidden="1" customHeight="1">
      <c r="A297" s="300"/>
      <c r="B297" s="1080" t="s">
        <v>163</v>
      </c>
      <c r="C297" s="1084" t="s">
        <v>1091</v>
      </c>
      <c r="D297" s="287"/>
      <c r="E297" s="287"/>
      <c r="F297" s="287"/>
      <c r="G297" s="297"/>
      <c r="H297" s="362"/>
      <c r="I297" s="362"/>
      <c r="J297" s="362"/>
      <c r="K297" s="362"/>
      <c r="L297" s="362"/>
      <c r="M297" s="362"/>
      <c r="N297" s="362"/>
      <c r="O297" s="362"/>
      <c r="P297" s="362"/>
      <c r="Q297" s="362"/>
    </row>
    <row r="298" spans="1:17" s="304" customFormat="1" ht="18" hidden="1" customHeight="1">
      <c r="A298" s="300"/>
      <c r="B298" s="1080"/>
      <c r="C298" s="1082"/>
      <c r="D298" s="287"/>
      <c r="E298" s="256" t="s">
        <v>409</v>
      </c>
      <c r="F298" s="256" t="s">
        <v>410</v>
      </c>
      <c r="G298" s="298" t="s">
        <v>411</v>
      </c>
      <c r="H298" s="362"/>
      <c r="I298" s="362"/>
      <c r="J298" s="362"/>
      <c r="K298" s="362"/>
      <c r="L298" s="362"/>
      <c r="M298" s="362"/>
      <c r="N298" s="362"/>
      <c r="O298" s="362"/>
      <c r="P298" s="362"/>
      <c r="Q298" s="362"/>
    </row>
    <row r="299" spans="1:17" s="304" customFormat="1" ht="18" hidden="1" customHeight="1">
      <c r="A299" s="300"/>
      <c r="B299" s="1080"/>
      <c r="C299" s="1082" t="s">
        <v>419</v>
      </c>
      <c r="D299" s="287"/>
      <c r="E299" s="309">
        <f>E287</f>
        <v>4611.82</v>
      </c>
      <c r="F299" s="309">
        <f>E299</f>
        <v>4611.82</v>
      </c>
      <c r="G299" s="309">
        <f>F299</f>
        <v>4611.82</v>
      </c>
      <c r="H299" s="362"/>
      <c r="I299" s="362"/>
      <c r="J299" s="362"/>
      <c r="K299" s="362"/>
      <c r="L299" s="362"/>
      <c r="M299" s="362"/>
      <c r="N299" s="362"/>
      <c r="O299" s="362"/>
      <c r="P299" s="362"/>
      <c r="Q299" s="362"/>
    </row>
    <row r="300" spans="1:17" s="304" customFormat="1" ht="18" hidden="1" customHeight="1">
      <c r="A300" s="300"/>
      <c r="B300" s="1080"/>
      <c r="C300" s="1082" t="s">
        <v>1092</v>
      </c>
      <c r="D300" s="287">
        <v>0.15</v>
      </c>
      <c r="E300" s="309">
        <f>ROUND(0.15*E299,2)</f>
        <v>691.77</v>
      </c>
      <c r="F300" s="309">
        <f>ROUND(0.15*F299,2)</f>
        <v>691.77</v>
      </c>
      <c r="G300" s="309">
        <f>ROUND(0.15*G299,2)</f>
        <v>691.77</v>
      </c>
      <c r="H300" s="361">
        <f>ROUND(H273*0.15,2)</f>
        <v>0</v>
      </c>
      <c r="I300" s="361">
        <f t="shared" ref="I300:P300" si="28">ROUND(I273*0.15,2)</f>
        <v>212.85</v>
      </c>
      <c r="J300" s="361">
        <f t="shared" si="28"/>
        <v>0</v>
      </c>
      <c r="K300" s="361">
        <f t="shared" si="28"/>
        <v>0</v>
      </c>
      <c r="L300" s="361">
        <f t="shared" si="28"/>
        <v>88.16</v>
      </c>
      <c r="M300" s="361">
        <f t="shared" si="28"/>
        <v>175.27</v>
      </c>
      <c r="N300" s="361">
        <f t="shared" si="28"/>
        <v>0</v>
      </c>
      <c r="O300" s="361">
        <f t="shared" si="28"/>
        <v>0</v>
      </c>
      <c r="P300" s="361">
        <f t="shared" si="28"/>
        <v>215.49</v>
      </c>
      <c r="Q300" s="361"/>
    </row>
    <row r="301" spans="1:17" s="304" customFormat="1" ht="18" hidden="1" customHeight="1">
      <c r="A301" s="300"/>
      <c r="B301" s="1080"/>
      <c r="C301" s="1082" t="s">
        <v>413</v>
      </c>
      <c r="D301" s="287"/>
      <c r="E301" s="309">
        <v>236</v>
      </c>
      <c r="F301" s="309">
        <f>E301</f>
        <v>236</v>
      </c>
      <c r="G301" s="309">
        <f>F301</f>
        <v>236</v>
      </c>
      <c r="H301" s="362"/>
      <c r="I301" s="362"/>
      <c r="J301" s="362"/>
      <c r="K301" s="362"/>
      <c r="L301" s="362"/>
      <c r="M301" s="362"/>
      <c r="N301" s="362"/>
      <c r="O301" s="362"/>
      <c r="P301" s="362">
        <f>E301</f>
        <v>236</v>
      </c>
      <c r="Q301" s="362"/>
    </row>
    <row r="302" spans="1:17" s="304" customFormat="1" ht="18" hidden="1" customHeight="1">
      <c r="A302" s="300"/>
      <c r="B302" s="1080"/>
      <c r="C302" s="1082" t="s">
        <v>414</v>
      </c>
      <c r="D302" s="287"/>
      <c r="E302" s="309">
        <v>215</v>
      </c>
      <c r="F302" s="309">
        <v>237</v>
      </c>
      <c r="G302" s="297">
        <v>258</v>
      </c>
      <c r="H302" s="362"/>
      <c r="I302" s="362"/>
      <c r="J302" s="362"/>
      <c r="K302" s="362"/>
      <c r="L302" s="362"/>
      <c r="M302" s="362"/>
      <c r="N302" s="362"/>
      <c r="O302" s="362"/>
      <c r="P302" s="362">
        <f>E302</f>
        <v>215</v>
      </c>
      <c r="Q302" s="362"/>
    </row>
    <row r="303" spans="1:17" s="304" customFormat="1" ht="18" hidden="1" customHeight="1">
      <c r="A303" s="300"/>
      <c r="B303" s="1080"/>
      <c r="C303" s="1082" t="s">
        <v>415</v>
      </c>
      <c r="D303" s="310" t="s">
        <v>416</v>
      </c>
      <c r="E303" s="309">
        <v>0</v>
      </c>
      <c r="F303" s="309">
        <f>(SUM(G277:G279)+E302)*D303</f>
        <v>519.35360000000003</v>
      </c>
      <c r="G303" s="297">
        <f>F303*2</f>
        <v>1038.7072000000001</v>
      </c>
      <c r="H303" s="362"/>
      <c r="I303" s="362"/>
      <c r="J303" s="362"/>
      <c r="K303" s="362"/>
      <c r="L303" s="362"/>
      <c r="M303" s="362"/>
      <c r="N303" s="362"/>
      <c r="O303" s="362"/>
      <c r="P303" s="362"/>
      <c r="Q303" s="362"/>
    </row>
    <row r="304" spans="1:17" s="292" customFormat="1" ht="18" hidden="1" customHeight="1">
      <c r="C304" s="1082" t="s">
        <v>794</v>
      </c>
      <c r="D304" s="256"/>
      <c r="E304" s="297">
        <f>ROUND(SUM(E302:E303)*$D$3,2)</f>
        <v>0</v>
      </c>
      <c r="F304" s="297">
        <f>ROUND(SUM(F302:F303)*$D$3,2)</f>
        <v>0</v>
      </c>
      <c r="G304" s="297">
        <f>ROUND(SUM(G302:G303)*$D$3,2)</f>
        <v>0</v>
      </c>
      <c r="H304" s="362"/>
      <c r="I304" s="362"/>
      <c r="J304" s="362"/>
      <c r="K304" s="362"/>
      <c r="L304" s="362"/>
      <c r="M304" s="362"/>
      <c r="N304" s="362"/>
      <c r="O304" s="362"/>
      <c r="P304" s="362">
        <f>G304</f>
        <v>0</v>
      </c>
      <c r="Q304" s="362"/>
    </row>
    <row r="305" spans="1:17" s="304" customFormat="1" ht="18" hidden="1" customHeight="1">
      <c r="A305" s="300"/>
      <c r="B305" s="1080"/>
      <c r="C305" s="1082"/>
      <c r="D305" s="310"/>
      <c r="E305" s="309">
        <f>SUM(E300:E304)</f>
        <v>1142.77</v>
      </c>
      <c r="F305" s="309">
        <f>SUM(F300:F304)</f>
        <v>1684.1235999999999</v>
      </c>
      <c r="G305" s="309">
        <f>SUM(G300:G304)</f>
        <v>2224.4772000000003</v>
      </c>
      <c r="H305" s="362"/>
      <c r="I305" s="362"/>
      <c r="J305" s="362"/>
      <c r="K305" s="362"/>
      <c r="L305" s="362"/>
      <c r="M305" s="362"/>
      <c r="N305" s="362"/>
      <c r="O305" s="362"/>
      <c r="P305" s="362"/>
      <c r="Q305" s="362"/>
    </row>
    <row r="306" spans="1:17" s="304" customFormat="1" ht="18" hidden="1" customHeight="1">
      <c r="A306" s="300"/>
      <c r="B306" s="1080"/>
      <c r="C306" s="1082" t="s">
        <v>885</v>
      </c>
      <c r="D306" s="440">
        <f>D13</f>
        <v>0</v>
      </c>
      <c r="E306" s="309">
        <f>ROUND(E305*D306,2)</f>
        <v>0</v>
      </c>
      <c r="F306" s="309">
        <f>ROUND(F305*D306,2)</f>
        <v>0</v>
      </c>
      <c r="G306" s="309">
        <f>ROUND(G305*D306,2)</f>
        <v>0</v>
      </c>
      <c r="H306" s="354"/>
      <c r="I306" s="354"/>
      <c r="J306" s="354"/>
      <c r="K306" s="354"/>
      <c r="L306" s="354"/>
      <c r="M306" s="366"/>
      <c r="N306" s="366"/>
      <c r="O306" s="366"/>
      <c r="P306" s="366"/>
      <c r="Q306" s="366"/>
    </row>
    <row r="307" spans="1:17" s="293" customFormat="1" ht="18" hidden="1" customHeight="1">
      <c r="C307" s="1084" t="s">
        <v>1154</v>
      </c>
      <c r="D307" s="271"/>
      <c r="E307" s="311">
        <f>SUM(E305:E306)</f>
        <v>1142.77</v>
      </c>
      <c r="F307" s="311">
        <f>SUM(F305:F306)</f>
        <v>1684.1235999999999</v>
      </c>
      <c r="G307" s="311">
        <f>SUM(G305:G306)</f>
        <v>2224.4772000000003</v>
      </c>
      <c r="H307" s="361">
        <f t="shared" ref="H307:N307" si="29">SUM(H298:H306)</f>
        <v>0</v>
      </c>
      <c r="I307" s="361">
        <f t="shared" si="29"/>
        <v>212.85</v>
      </c>
      <c r="J307" s="361">
        <f t="shared" si="29"/>
        <v>0</v>
      </c>
      <c r="K307" s="361">
        <f t="shared" si="29"/>
        <v>0</v>
      </c>
      <c r="L307" s="361">
        <f t="shared" si="29"/>
        <v>88.16</v>
      </c>
      <c r="M307" s="361">
        <f t="shared" si="29"/>
        <v>175.27</v>
      </c>
      <c r="N307" s="361">
        <f t="shared" si="29"/>
        <v>0</v>
      </c>
      <c r="O307" s="361"/>
      <c r="P307" s="361">
        <f>SUM(P298:P306)</f>
        <v>666.49</v>
      </c>
      <c r="Q307" s="361">
        <f>SUM(I307:P307)</f>
        <v>1142.77</v>
      </c>
    </row>
    <row r="308" spans="1:17" s="293" customFormat="1" ht="18" hidden="1" customHeight="1">
      <c r="C308" s="1084" t="s">
        <v>915</v>
      </c>
      <c r="D308" s="271"/>
      <c r="E308" s="311"/>
      <c r="F308" s="311"/>
      <c r="G308" s="311"/>
      <c r="H308" s="361">
        <f>H300</f>
        <v>0</v>
      </c>
      <c r="I308" s="361">
        <f t="shared" ref="I308:O308" si="30">I300</f>
        <v>212.85</v>
      </c>
      <c r="J308" s="361">
        <f t="shared" si="30"/>
        <v>0</v>
      </c>
      <c r="K308" s="361">
        <f t="shared" si="30"/>
        <v>0</v>
      </c>
      <c r="L308" s="361">
        <f t="shared" si="30"/>
        <v>88.16</v>
      </c>
      <c r="M308" s="361">
        <f t="shared" si="30"/>
        <v>175.27</v>
      </c>
      <c r="N308" s="361">
        <f t="shared" si="30"/>
        <v>0</v>
      </c>
      <c r="O308" s="361">
        <f t="shared" si="30"/>
        <v>0</v>
      </c>
      <c r="P308" s="361">
        <f>P300+SUM(F301:F303)</f>
        <v>1207.8436000000002</v>
      </c>
      <c r="Q308" s="361">
        <f>SUM(H308:P308)</f>
        <v>1684.1236000000001</v>
      </c>
    </row>
    <row r="309" spans="1:17" s="308" customFormat="1" ht="18" hidden="1" customHeight="1">
      <c r="A309" s="1080"/>
      <c r="B309" s="1080" t="s">
        <v>461</v>
      </c>
      <c r="C309" s="1084" t="s">
        <v>462</v>
      </c>
      <c r="D309" s="287"/>
      <c r="E309" s="287"/>
      <c r="F309" s="287"/>
      <c r="G309" s="297"/>
      <c r="H309" s="1051"/>
      <c r="I309" s="1051"/>
      <c r="J309" s="1051"/>
      <c r="K309" s="1051"/>
      <c r="L309" s="1051"/>
      <c r="M309" s="364"/>
      <c r="N309" s="364"/>
      <c r="O309" s="364"/>
      <c r="P309" s="364"/>
      <c r="Q309" s="364"/>
    </row>
    <row r="310" spans="1:17" s="304" customFormat="1" ht="18" hidden="1" customHeight="1">
      <c r="A310" s="300"/>
      <c r="B310" s="1080"/>
      <c r="C310" s="1082"/>
      <c r="D310" s="287"/>
      <c r="E310" s="256" t="s">
        <v>409</v>
      </c>
      <c r="F310" s="256" t="s">
        <v>410</v>
      </c>
      <c r="G310" s="298" t="s">
        <v>411</v>
      </c>
      <c r="H310" s="373"/>
      <c r="I310" s="373"/>
      <c r="J310" s="373"/>
      <c r="K310" s="373"/>
      <c r="L310" s="373"/>
      <c r="M310" s="373"/>
      <c r="N310" s="373"/>
      <c r="O310" s="373"/>
      <c r="P310" s="373"/>
      <c r="Q310" s="373"/>
    </row>
    <row r="311" spans="1:17" s="304" customFormat="1" ht="18" hidden="1" customHeight="1">
      <c r="A311" s="300"/>
      <c r="B311" s="1080"/>
      <c r="C311" s="1082" t="s">
        <v>419</v>
      </c>
      <c r="D311" s="287"/>
      <c r="E311" s="309">
        <f>G273</f>
        <v>4611.82</v>
      </c>
      <c r="F311" s="309">
        <f>E311</f>
        <v>4611.82</v>
      </c>
      <c r="G311" s="309">
        <f>F311</f>
        <v>4611.82</v>
      </c>
      <c r="H311" s="361"/>
      <c r="I311" s="361"/>
      <c r="J311" s="361"/>
      <c r="K311" s="361"/>
      <c r="L311" s="361"/>
      <c r="M311" s="361"/>
      <c r="N311" s="361"/>
      <c r="O311" s="361"/>
      <c r="P311" s="361"/>
      <c r="Q311" s="361"/>
    </row>
    <row r="312" spans="1:17" s="304" customFormat="1" ht="18" hidden="1" customHeight="1">
      <c r="A312" s="300"/>
      <c r="B312" s="1080"/>
      <c r="C312" s="1082" t="s">
        <v>463</v>
      </c>
      <c r="D312" s="307">
        <v>0.17499999999999999</v>
      </c>
      <c r="E312" s="309">
        <f>0.175*E311</f>
        <v>807.06849999999986</v>
      </c>
      <c r="F312" s="309">
        <f>0.175*F311</f>
        <v>807.06849999999986</v>
      </c>
      <c r="G312" s="309">
        <f>0.175*G311</f>
        <v>807.06849999999986</v>
      </c>
      <c r="H312" s="362">
        <f>ROUND(H273*0.175,2)</f>
        <v>0</v>
      </c>
      <c r="I312" s="362">
        <f>ROUND(I273*0.175,2)</f>
        <v>248.33</v>
      </c>
      <c r="J312" s="362">
        <f t="shared" ref="J312:P312" si="31">ROUND(J273*0.175,2)</f>
        <v>0</v>
      </c>
      <c r="K312" s="362">
        <f t="shared" si="31"/>
        <v>0</v>
      </c>
      <c r="L312" s="362">
        <f t="shared" si="31"/>
        <v>102.86</v>
      </c>
      <c r="M312" s="362">
        <f t="shared" si="31"/>
        <v>204.48</v>
      </c>
      <c r="N312" s="362">
        <f t="shared" si="31"/>
        <v>0</v>
      </c>
      <c r="O312" s="362"/>
      <c r="P312" s="362">
        <f t="shared" si="31"/>
        <v>251.41</v>
      </c>
      <c r="Q312" s="362"/>
    </row>
    <row r="313" spans="1:17" s="304" customFormat="1" ht="18" hidden="1" customHeight="1">
      <c r="A313" s="300"/>
      <c r="B313" s="1080"/>
      <c r="C313" s="1082" t="s">
        <v>413</v>
      </c>
      <c r="D313" s="287"/>
      <c r="E313" s="309">
        <v>243</v>
      </c>
      <c r="F313" s="309">
        <f>E313</f>
        <v>243</v>
      </c>
      <c r="G313" s="309">
        <f>F313</f>
        <v>243</v>
      </c>
      <c r="H313" s="362"/>
      <c r="I313" s="362"/>
      <c r="J313" s="362"/>
      <c r="K313" s="362"/>
      <c r="L313" s="362"/>
      <c r="M313" s="362"/>
      <c r="N313" s="362"/>
      <c r="O313" s="362"/>
      <c r="P313" s="362">
        <f>E313</f>
        <v>243</v>
      </c>
      <c r="Q313" s="362"/>
    </row>
    <row r="314" spans="1:17" s="304" customFormat="1" ht="18" hidden="1" customHeight="1">
      <c r="A314" s="300"/>
      <c r="B314" s="1080"/>
      <c r="C314" s="1082" t="s">
        <v>414</v>
      </c>
      <c r="D314" s="287"/>
      <c r="E314" s="309">
        <v>222</v>
      </c>
      <c r="F314" s="309">
        <v>244</v>
      </c>
      <c r="G314" s="297">
        <v>266</v>
      </c>
      <c r="H314" s="362"/>
      <c r="I314" s="362"/>
      <c r="J314" s="362"/>
      <c r="K314" s="362"/>
      <c r="L314" s="362"/>
      <c r="M314" s="362"/>
      <c r="N314" s="362"/>
      <c r="O314" s="362"/>
      <c r="P314" s="362">
        <f>E314</f>
        <v>222</v>
      </c>
      <c r="Q314" s="362"/>
    </row>
    <row r="315" spans="1:17" s="304" customFormat="1" ht="18" hidden="1" customHeight="1">
      <c r="A315" s="300"/>
      <c r="B315" s="1080"/>
      <c r="C315" s="1082" t="s">
        <v>415</v>
      </c>
      <c r="D315" s="310" t="s">
        <v>416</v>
      </c>
      <c r="E315" s="309">
        <v>0</v>
      </c>
      <c r="F315" s="309">
        <f>((SUM(G264:G266)+E314)*D315)-0.4</f>
        <v>136.268</v>
      </c>
      <c r="G315" s="297">
        <f>ROUND(F315*2,2)</f>
        <v>272.54000000000002</v>
      </c>
      <c r="H315" s="362"/>
      <c r="I315" s="362"/>
      <c r="J315" s="362"/>
      <c r="K315" s="362"/>
      <c r="L315" s="362"/>
      <c r="M315" s="362"/>
      <c r="N315" s="362"/>
      <c r="O315" s="362"/>
      <c r="P315" s="362"/>
      <c r="Q315" s="362"/>
    </row>
    <row r="316" spans="1:17" s="292" customFormat="1" ht="18" hidden="1" customHeight="1">
      <c r="C316" s="1082" t="s">
        <v>794</v>
      </c>
      <c r="D316" s="256"/>
      <c r="E316" s="297">
        <f>ROUND(SUM(E314:E315)*$D$3,2)</f>
        <v>0</v>
      </c>
      <c r="F316" s="297">
        <f>ROUND(SUM(F314:F315)*$D$3,2)</f>
        <v>0</v>
      </c>
      <c r="G316" s="297">
        <f>ROUND(SUM(G314:G315)*$D$3,2)</f>
        <v>0</v>
      </c>
      <c r="H316" s="362"/>
      <c r="I316" s="362"/>
      <c r="J316" s="362"/>
      <c r="K316" s="362"/>
      <c r="L316" s="362"/>
      <c r="M316" s="362"/>
      <c r="N316" s="362"/>
      <c r="O316" s="362"/>
      <c r="P316" s="362">
        <f>G316</f>
        <v>0</v>
      </c>
      <c r="Q316" s="362"/>
    </row>
    <row r="317" spans="1:17" s="304" customFormat="1" ht="18" hidden="1" customHeight="1">
      <c r="A317" s="300"/>
      <c r="B317" s="1080"/>
      <c r="C317" s="1082"/>
      <c r="D317" s="310"/>
      <c r="E317" s="309">
        <f>SUM(E312:E316)</f>
        <v>1272.0684999999999</v>
      </c>
      <c r="F317" s="309">
        <f>SUM(F312:F316)</f>
        <v>1430.3364999999999</v>
      </c>
      <c r="G317" s="309">
        <f>SUM(G312:G316)</f>
        <v>1588.6084999999998</v>
      </c>
      <c r="H317" s="362"/>
      <c r="I317" s="362"/>
      <c r="J317" s="362"/>
      <c r="K317" s="362"/>
      <c r="L317" s="362"/>
      <c r="M317" s="362"/>
      <c r="N317" s="362"/>
      <c r="O317" s="362"/>
      <c r="P317" s="362"/>
      <c r="Q317" s="362"/>
    </row>
    <row r="318" spans="1:17" s="304" customFormat="1" ht="18" hidden="1" customHeight="1">
      <c r="A318" s="300"/>
      <c r="B318" s="1080"/>
      <c r="C318" s="1082" t="s">
        <v>884</v>
      </c>
      <c r="D318" s="440">
        <f>D2</f>
        <v>0</v>
      </c>
      <c r="E318" s="309">
        <f>ROUND(E317*D318,2)</f>
        <v>0</v>
      </c>
      <c r="F318" s="309">
        <f>ROUND(F317*D318,2)</f>
        <v>0</v>
      </c>
      <c r="G318" s="309">
        <f>ROUND(G317*D318,2)</f>
        <v>0</v>
      </c>
      <c r="H318" s="361"/>
      <c r="I318" s="361"/>
      <c r="J318" s="361"/>
      <c r="K318" s="361"/>
      <c r="L318" s="361"/>
      <c r="M318" s="361"/>
      <c r="N318" s="361"/>
      <c r="O318" s="361"/>
      <c r="P318" s="361"/>
      <c r="Q318" s="361"/>
    </row>
    <row r="319" spans="1:17" s="293" customFormat="1" ht="18" hidden="1" customHeight="1">
      <c r="C319" s="1084" t="s">
        <v>1155</v>
      </c>
      <c r="D319" s="271"/>
      <c r="E319" s="311">
        <f>SUM(E317:E318)</f>
        <v>1272.0684999999999</v>
      </c>
      <c r="F319" s="311">
        <f>SUM(F317:F318)</f>
        <v>1430.3364999999999</v>
      </c>
      <c r="G319" s="311">
        <f>SUM(G317:G318)</f>
        <v>1588.6084999999998</v>
      </c>
      <c r="H319" s="362">
        <f>SUM(H311:H318)</f>
        <v>0</v>
      </c>
      <c r="I319" s="362">
        <f>SUM(I311:I318)</f>
        <v>248.33</v>
      </c>
      <c r="J319" s="362">
        <f t="shared" ref="J319:P319" si="32">SUM(J311:J318)</f>
        <v>0</v>
      </c>
      <c r="K319" s="362">
        <f t="shared" si="32"/>
        <v>0</v>
      </c>
      <c r="L319" s="362">
        <f t="shared" si="32"/>
        <v>102.86</v>
      </c>
      <c r="M319" s="362">
        <f t="shared" si="32"/>
        <v>204.48</v>
      </c>
      <c r="N319" s="362">
        <f t="shared" si="32"/>
        <v>0</v>
      </c>
      <c r="O319" s="362"/>
      <c r="P319" s="362">
        <f t="shared" si="32"/>
        <v>716.41</v>
      </c>
      <c r="Q319" s="362">
        <f>SUM(H319:P319)</f>
        <v>1272.08</v>
      </c>
    </row>
    <row r="320" spans="1:17" s="293" customFormat="1" ht="18" hidden="1" customHeight="1">
      <c r="C320" s="1084" t="s">
        <v>916</v>
      </c>
      <c r="D320" s="271"/>
      <c r="E320" s="309"/>
      <c r="F320" s="309"/>
      <c r="G320" s="297"/>
      <c r="H320" s="362">
        <f>H312</f>
        <v>0</v>
      </c>
      <c r="I320" s="362">
        <f t="shared" ref="I320:O320" si="33">I312</f>
        <v>248.33</v>
      </c>
      <c r="J320" s="362">
        <f t="shared" si="33"/>
        <v>0</v>
      </c>
      <c r="K320" s="362">
        <f t="shared" si="33"/>
        <v>0</v>
      </c>
      <c r="L320" s="362">
        <f t="shared" si="33"/>
        <v>102.86</v>
      </c>
      <c r="M320" s="362">
        <f t="shared" si="33"/>
        <v>204.48</v>
      </c>
      <c r="N320" s="362">
        <f t="shared" si="33"/>
        <v>0</v>
      </c>
      <c r="O320" s="362">
        <f t="shared" si="33"/>
        <v>0</v>
      </c>
      <c r="P320" s="362">
        <f>P312+SUM(F313:F315)</f>
        <v>874.678</v>
      </c>
      <c r="Q320" s="362">
        <f>SUM(H320:P320)</f>
        <v>1430.348</v>
      </c>
    </row>
    <row r="321" spans="1:17" s="292" customFormat="1" ht="120" customHeight="1">
      <c r="A321" s="1080"/>
      <c r="B321" s="293">
        <f>B258+1</f>
        <v>13</v>
      </c>
      <c r="C321" s="1309" t="s">
        <v>1942</v>
      </c>
      <c r="D321" s="1309"/>
      <c r="E321" s="1309"/>
      <c r="F321" s="1309"/>
      <c r="G321" s="1309"/>
      <c r="H321" s="362"/>
      <c r="I321" s="362"/>
      <c r="J321" s="362"/>
      <c r="K321" s="362"/>
      <c r="L321" s="362"/>
      <c r="M321" s="362"/>
      <c r="N321" s="362"/>
      <c r="O321" s="362"/>
      <c r="P321" s="362"/>
      <c r="Q321" s="362"/>
    </row>
    <row r="322" spans="1:17" s="304" customFormat="1" ht="18" customHeight="1">
      <c r="A322" s="300"/>
      <c r="B322" s="1080"/>
      <c r="C322" s="1082" t="s">
        <v>424</v>
      </c>
      <c r="D322" s="287" t="s">
        <v>302</v>
      </c>
      <c r="E322" s="312">
        <f>ROUND(0.0625*0.6,4)</f>
        <v>3.7499999999999999E-2</v>
      </c>
      <c r="F322" s="287">
        <f>G273</f>
        <v>4611.82</v>
      </c>
      <c r="G322" s="297">
        <f>ROUND(E322*F322,2)</f>
        <v>172.94</v>
      </c>
      <c r="H322" s="362"/>
      <c r="I322" s="362"/>
      <c r="J322" s="362"/>
      <c r="K322" s="362"/>
      <c r="L322" s="362"/>
      <c r="M322" s="362"/>
      <c r="N322" s="362"/>
      <c r="O322" s="362"/>
      <c r="P322" s="362"/>
      <c r="Q322" s="362"/>
    </row>
    <row r="323" spans="1:17" s="304" customFormat="1" ht="18" customHeight="1">
      <c r="A323" s="300"/>
      <c r="B323" s="1080"/>
      <c r="C323" s="1082"/>
      <c r="D323" s="287"/>
      <c r="E323" s="256" t="s">
        <v>409</v>
      </c>
      <c r="F323" s="256" t="s">
        <v>410</v>
      </c>
      <c r="G323" s="256" t="s">
        <v>411</v>
      </c>
      <c r="H323" s="362"/>
      <c r="I323" s="362"/>
      <c r="J323" s="362"/>
      <c r="K323" s="362"/>
      <c r="L323" s="362"/>
      <c r="M323" s="362"/>
      <c r="N323" s="362"/>
      <c r="O323" s="362"/>
      <c r="P323" s="362"/>
      <c r="Q323" s="362"/>
    </row>
    <row r="324" spans="1:17" s="304" customFormat="1" ht="27.75" customHeight="1">
      <c r="A324" s="300"/>
      <c r="B324" s="1080"/>
      <c r="C324" s="1082" t="s">
        <v>422</v>
      </c>
      <c r="D324" s="287"/>
      <c r="E324" s="309">
        <f>G322</f>
        <v>172.94</v>
      </c>
      <c r="F324" s="309">
        <f>E324</f>
        <v>172.94</v>
      </c>
      <c r="G324" s="309">
        <f>F324</f>
        <v>172.94</v>
      </c>
      <c r="H324" s="362">
        <f>ROUND(H273*$E$322,2)</f>
        <v>0</v>
      </c>
      <c r="I324" s="362">
        <f>ROUND(I273*$E$322,2)</f>
        <v>53.21</v>
      </c>
      <c r="J324" s="362">
        <f t="shared" ref="J324:P324" si="34">ROUND(J273*$E$322,2)</f>
        <v>0</v>
      </c>
      <c r="K324" s="362">
        <f t="shared" si="34"/>
        <v>0</v>
      </c>
      <c r="L324" s="362">
        <f t="shared" si="34"/>
        <v>22.04</v>
      </c>
      <c r="M324" s="362">
        <f t="shared" si="34"/>
        <v>43.82</v>
      </c>
      <c r="N324" s="362">
        <f t="shared" si="34"/>
        <v>0</v>
      </c>
      <c r="O324" s="362"/>
      <c r="P324" s="362">
        <f t="shared" si="34"/>
        <v>53.87</v>
      </c>
      <c r="Q324" s="362"/>
    </row>
    <row r="325" spans="1:17" s="304" customFormat="1" ht="18" customHeight="1">
      <c r="A325" s="300"/>
      <c r="B325" s="1080"/>
      <c r="C325" s="1082" t="s">
        <v>413</v>
      </c>
      <c r="D325" s="287"/>
      <c r="E325" s="309">
        <v>233</v>
      </c>
      <c r="F325" s="309">
        <f>E325</f>
        <v>233</v>
      </c>
      <c r="G325" s="309">
        <f>F325</f>
        <v>233</v>
      </c>
      <c r="H325" s="362"/>
      <c r="I325" s="362"/>
      <c r="J325" s="362"/>
      <c r="K325" s="362"/>
      <c r="L325" s="362"/>
      <c r="M325" s="362"/>
      <c r="N325" s="362"/>
      <c r="O325" s="362"/>
      <c r="P325" s="362">
        <f>E325</f>
        <v>233</v>
      </c>
      <c r="Q325" s="362"/>
    </row>
    <row r="326" spans="1:17" s="304" customFormat="1" ht="18" customHeight="1">
      <c r="A326" s="300"/>
      <c r="B326" s="1080"/>
      <c r="C326" s="1082" t="s">
        <v>414</v>
      </c>
      <c r="D326" s="287"/>
      <c r="E326" s="309">
        <v>248</v>
      </c>
      <c r="F326" s="309">
        <v>273</v>
      </c>
      <c r="G326" s="297">
        <v>298</v>
      </c>
      <c r="H326" s="374"/>
      <c r="I326" s="362"/>
      <c r="J326" s="362"/>
      <c r="K326" s="362"/>
      <c r="L326" s="362"/>
      <c r="M326" s="362"/>
      <c r="N326" s="362"/>
      <c r="O326" s="362"/>
      <c r="P326" s="362">
        <f>E326</f>
        <v>248</v>
      </c>
      <c r="Q326" s="362"/>
    </row>
    <row r="327" spans="1:17" s="304" customFormat="1" ht="18" customHeight="1">
      <c r="A327" s="300"/>
      <c r="B327" s="1080"/>
      <c r="C327" s="1082" t="s">
        <v>415</v>
      </c>
      <c r="D327" s="310" t="s">
        <v>416</v>
      </c>
      <c r="E327" s="309">
        <v>0</v>
      </c>
      <c r="F327" s="309">
        <f>(SUM(G264:G266)+E326)*D327</f>
        <v>139.268</v>
      </c>
      <c r="G327" s="297">
        <f>ROUND(F327*2,2)</f>
        <v>278.54000000000002</v>
      </c>
      <c r="H327" s="362"/>
      <c r="I327" s="362"/>
      <c r="J327" s="362"/>
      <c r="K327" s="362"/>
      <c r="L327" s="362"/>
      <c r="M327" s="362"/>
      <c r="N327" s="362"/>
      <c r="O327" s="362"/>
      <c r="P327" s="362"/>
      <c r="Q327" s="362"/>
    </row>
    <row r="328" spans="1:17" s="292" customFormat="1" ht="18" customHeight="1">
      <c r="C328" s="1082" t="s">
        <v>794</v>
      </c>
      <c r="D328" s="256"/>
      <c r="E328" s="297">
        <f>ROUND(SUM(E326:E327)*$D$3,2)</f>
        <v>0</v>
      </c>
      <c r="F328" s="297">
        <f>ROUND(SUM(F326:F327)*$D$3,2)</f>
        <v>0</v>
      </c>
      <c r="G328" s="297">
        <f>ROUND(SUM(G326:G327)*$D$3,2)</f>
        <v>0</v>
      </c>
      <c r="H328" s="362"/>
      <c r="I328" s="362"/>
      <c r="J328" s="362"/>
      <c r="K328" s="362"/>
      <c r="L328" s="362"/>
      <c r="M328" s="362"/>
      <c r="N328" s="362"/>
      <c r="O328" s="362"/>
      <c r="P328" s="362">
        <f>G328</f>
        <v>0</v>
      </c>
      <c r="Q328" s="362"/>
    </row>
    <row r="329" spans="1:17" s="304" customFormat="1" ht="18" customHeight="1">
      <c r="A329" s="300"/>
      <c r="B329" s="1080"/>
      <c r="C329" s="1082"/>
      <c r="D329" s="310"/>
      <c r="E329" s="309">
        <f>SUM(E324:E328)</f>
        <v>653.94000000000005</v>
      </c>
      <c r="F329" s="309">
        <f>SUM(F324:F328)</f>
        <v>818.20800000000008</v>
      </c>
      <c r="G329" s="309">
        <f>SUM(G324:G328)</f>
        <v>982.48</v>
      </c>
      <c r="H329" s="362"/>
      <c r="I329" s="362"/>
      <c r="J329" s="362"/>
      <c r="K329" s="362"/>
      <c r="L329" s="362"/>
      <c r="M329" s="362"/>
      <c r="N329" s="362"/>
      <c r="O329" s="362"/>
      <c r="P329" s="362"/>
      <c r="Q329" s="362"/>
    </row>
    <row r="330" spans="1:17" s="304" customFormat="1" ht="18" customHeight="1">
      <c r="A330" s="300"/>
      <c r="B330" s="1080"/>
      <c r="C330" s="1082" t="s">
        <v>884</v>
      </c>
      <c r="D330" s="440">
        <f>D2</f>
        <v>0</v>
      </c>
      <c r="E330" s="309">
        <f>ROUND(E329*D330,2)</f>
        <v>0</v>
      </c>
      <c r="F330" s="309">
        <f>ROUND(F329*D330,2)</f>
        <v>0</v>
      </c>
      <c r="G330" s="309">
        <f>ROUND(G329*D330,2)</f>
        <v>0</v>
      </c>
      <c r="H330" s="362"/>
      <c r="I330" s="362"/>
      <c r="J330" s="362"/>
      <c r="K330" s="362"/>
      <c r="L330" s="362"/>
      <c r="M330" s="362"/>
      <c r="N330" s="362"/>
      <c r="O330" s="362"/>
      <c r="P330" s="362"/>
      <c r="Q330" s="362"/>
    </row>
    <row r="331" spans="1:17" s="293" customFormat="1" ht="18" customHeight="1">
      <c r="C331" s="1084" t="s">
        <v>1156</v>
      </c>
      <c r="D331" s="271"/>
      <c r="E331" s="309">
        <f>SUM(E329:E330)</f>
        <v>653.94000000000005</v>
      </c>
      <c r="F331" s="309">
        <f>SUM(F329:F330)</f>
        <v>818.20800000000008</v>
      </c>
      <c r="G331" s="309">
        <f>SUM(G329:G330)</f>
        <v>982.48</v>
      </c>
      <c r="H331" s="362">
        <f>SUM(H324:H330)</f>
        <v>0</v>
      </c>
      <c r="I331" s="362">
        <f t="shared" ref="I331:P331" si="35">SUM(I324:I330)</f>
        <v>53.21</v>
      </c>
      <c r="J331" s="362">
        <f t="shared" si="35"/>
        <v>0</v>
      </c>
      <c r="K331" s="362">
        <f t="shared" si="35"/>
        <v>0</v>
      </c>
      <c r="L331" s="362">
        <f t="shared" si="35"/>
        <v>22.04</v>
      </c>
      <c r="M331" s="362">
        <f t="shared" si="35"/>
        <v>43.82</v>
      </c>
      <c r="N331" s="362">
        <f t="shared" si="35"/>
        <v>0</v>
      </c>
      <c r="O331" s="362"/>
      <c r="P331" s="362">
        <f t="shared" si="35"/>
        <v>534.87</v>
      </c>
      <c r="Q331" s="362">
        <f>SUM(H331:P331)</f>
        <v>653.94000000000005</v>
      </c>
    </row>
    <row r="332" spans="1:17" s="293" customFormat="1" ht="18" customHeight="1">
      <c r="C332" s="1084" t="s">
        <v>914</v>
      </c>
      <c r="D332" s="271"/>
      <c r="E332" s="309"/>
      <c r="F332" s="309"/>
      <c r="G332" s="297"/>
      <c r="H332" s="362">
        <f>H324</f>
        <v>0</v>
      </c>
      <c r="I332" s="362">
        <f t="shared" ref="I332:O332" si="36">I324</f>
        <v>53.21</v>
      </c>
      <c r="J332" s="362">
        <f t="shared" si="36"/>
        <v>0</v>
      </c>
      <c r="K332" s="362">
        <f t="shared" si="36"/>
        <v>0</v>
      </c>
      <c r="L332" s="362">
        <f t="shared" si="36"/>
        <v>22.04</v>
      </c>
      <c r="M332" s="362">
        <f t="shared" si="36"/>
        <v>43.82</v>
      </c>
      <c r="N332" s="362">
        <f t="shared" si="36"/>
        <v>0</v>
      </c>
      <c r="O332" s="362">
        <f t="shared" si="36"/>
        <v>0</v>
      </c>
      <c r="P332" s="362">
        <f>P324+SUM(F325:F327)</f>
        <v>699.13800000000003</v>
      </c>
      <c r="Q332" s="362">
        <f>SUM(H332:P332)</f>
        <v>818.20800000000008</v>
      </c>
    </row>
    <row r="333" spans="1:17" s="304" customFormat="1" ht="18" customHeight="1">
      <c r="A333" s="300"/>
      <c r="B333" s="1080"/>
      <c r="C333" s="1084" t="s">
        <v>464</v>
      </c>
      <c r="D333" s="287"/>
      <c r="E333" s="287"/>
      <c r="F333" s="287"/>
      <c r="G333" s="297"/>
      <c r="H333" s="362"/>
      <c r="I333" s="362"/>
      <c r="J333" s="362"/>
      <c r="K333" s="362"/>
      <c r="L333" s="362"/>
      <c r="M333" s="362"/>
      <c r="N333" s="362"/>
      <c r="O333" s="362"/>
      <c r="P333" s="362"/>
      <c r="Q333" s="362"/>
    </row>
    <row r="334" spans="1:17" s="292" customFormat="1" ht="95.1" customHeight="1">
      <c r="A334" s="1080" t="s">
        <v>1038</v>
      </c>
      <c r="B334" s="293">
        <f>B321+1</f>
        <v>14</v>
      </c>
      <c r="C334" s="1309" t="s">
        <v>465</v>
      </c>
      <c r="D334" s="1309"/>
      <c r="E334" s="1309"/>
      <c r="F334" s="1309"/>
      <c r="G334" s="1309"/>
      <c r="H334" s="354"/>
      <c r="I334" s="354"/>
      <c r="J334" s="354"/>
      <c r="K334" s="354"/>
      <c r="L334" s="354"/>
      <c r="M334" s="364"/>
      <c r="N334" s="364"/>
      <c r="O334" s="364"/>
      <c r="P334" s="364"/>
      <c r="Q334" s="364"/>
    </row>
    <row r="335" spans="1:17" s="304" customFormat="1" ht="18" customHeight="1">
      <c r="A335" s="300"/>
      <c r="B335" s="1401"/>
      <c r="C335" s="1082" t="s">
        <v>307</v>
      </c>
      <c r="D335" s="287"/>
      <c r="E335" s="287"/>
      <c r="F335" s="287"/>
      <c r="G335" s="297"/>
      <c r="H335" s="361"/>
      <c r="I335" s="373"/>
      <c r="J335" s="373"/>
      <c r="K335" s="373"/>
      <c r="L335" s="373"/>
      <c r="M335" s="373"/>
      <c r="N335" s="373"/>
      <c r="O335" s="373"/>
      <c r="P335" s="373"/>
      <c r="Q335" s="373"/>
    </row>
    <row r="336" spans="1:17" s="304" customFormat="1" ht="18" customHeight="1">
      <c r="A336" s="300"/>
      <c r="B336" s="1401"/>
      <c r="C336" s="1082" t="s">
        <v>308</v>
      </c>
      <c r="D336" s="287"/>
      <c r="E336" s="287"/>
      <c r="F336" s="287"/>
      <c r="G336" s="297"/>
      <c r="H336" s="361">
        <f>SUM(H323:H335)</f>
        <v>0</v>
      </c>
      <c r="I336" s="361"/>
      <c r="J336" s="361"/>
      <c r="K336" s="361"/>
      <c r="L336" s="361"/>
      <c r="M336" s="361"/>
      <c r="N336" s="361"/>
      <c r="O336" s="361"/>
      <c r="P336" s="361"/>
      <c r="Q336" s="361"/>
    </row>
    <row r="337" spans="1:17" s="304" customFormat="1" ht="18" customHeight="1">
      <c r="A337" s="300"/>
      <c r="B337" s="1401"/>
      <c r="C337" s="1082" t="s">
        <v>309</v>
      </c>
      <c r="D337" s="287" t="s">
        <v>310</v>
      </c>
      <c r="E337" s="287">
        <v>1.05</v>
      </c>
      <c r="F337" s="287">
        <f>'lead 1'!M9</f>
        <v>38500</v>
      </c>
      <c r="G337" s="297">
        <f>ROUND(E337*F337,2)</f>
        <v>40425</v>
      </c>
      <c r="H337" s="362">
        <f>SUM(H324:H336)</f>
        <v>0</v>
      </c>
      <c r="I337" s="362"/>
      <c r="J337" s="362"/>
      <c r="K337" s="362"/>
      <c r="L337" s="362"/>
      <c r="M337" s="362"/>
      <c r="N337" s="362"/>
      <c r="O337" s="362">
        <f>G337</f>
        <v>40425</v>
      </c>
      <c r="P337" s="362"/>
      <c r="Q337" s="362"/>
    </row>
    <row r="338" spans="1:17" s="304" customFormat="1" ht="18" customHeight="1">
      <c r="A338" s="300"/>
      <c r="B338" s="313"/>
      <c r="C338" s="1082" t="s">
        <v>311</v>
      </c>
      <c r="D338" s="287" t="s">
        <v>116</v>
      </c>
      <c r="E338" s="287">
        <v>6</v>
      </c>
      <c r="F338" s="287">
        <f>'lead 1'!H43</f>
        <v>55</v>
      </c>
      <c r="G338" s="297">
        <f>ROUND(E338*F338,2)</f>
        <v>330</v>
      </c>
      <c r="H338" s="362">
        <f>SUM(H325:H337)</f>
        <v>0</v>
      </c>
      <c r="I338" s="362"/>
      <c r="J338" s="362"/>
      <c r="K338" s="362"/>
      <c r="L338" s="362"/>
      <c r="M338" s="362"/>
      <c r="N338" s="362"/>
      <c r="O338" s="362"/>
      <c r="P338" s="362">
        <f>G338</f>
        <v>330</v>
      </c>
      <c r="Q338" s="362"/>
    </row>
    <row r="339" spans="1:17" s="304" customFormat="1" ht="26.25" customHeight="1">
      <c r="A339" s="300"/>
      <c r="B339" s="313"/>
      <c r="C339" s="1082" t="s">
        <v>312</v>
      </c>
      <c r="D339" s="287"/>
      <c r="E339" s="287"/>
      <c r="F339" s="287"/>
      <c r="G339" s="297"/>
      <c r="H339" s="362">
        <f>SUM(H326:H338)</f>
        <v>0</v>
      </c>
      <c r="I339" s="362"/>
      <c r="J339" s="362"/>
      <c r="K339" s="375"/>
      <c r="L339" s="375"/>
      <c r="M339" s="362"/>
      <c r="N339" s="362"/>
      <c r="O339" s="362"/>
      <c r="P339" s="362"/>
      <c r="Q339" s="362"/>
    </row>
    <row r="340" spans="1:17" s="304" customFormat="1" ht="18" customHeight="1">
      <c r="A340" s="300"/>
      <c r="B340" s="313"/>
      <c r="C340" s="1082" t="s">
        <v>313</v>
      </c>
      <c r="D340" s="287" t="s">
        <v>186</v>
      </c>
      <c r="E340" s="287">
        <v>10</v>
      </c>
      <c r="F340" s="287">
        <f>'lead 1'!C47</f>
        <v>625</v>
      </c>
      <c r="G340" s="297">
        <f>ROUND(E340*F340,2)</f>
        <v>6250</v>
      </c>
      <c r="H340" s="362">
        <f>SUM(H327:H339)</f>
        <v>0</v>
      </c>
      <c r="I340" s="362"/>
      <c r="J340" s="362"/>
      <c r="K340" s="362"/>
      <c r="L340" s="362"/>
      <c r="M340" s="362"/>
      <c r="N340" s="362"/>
      <c r="O340" s="362"/>
      <c r="P340" s="362">
        <f>G340</f>
        <v>6250</v>
      </c>
      <c r="Q340" s="362"/>
    </row>
    <row r="341" spans="1:17" s="304" customFormat="1" ht="18" customHeight="1">
      <c r="A341" s="300"/>
      <c r="B341" s="313"/>
      <c r="C341" s="1082" t="s">
        <v>233</v>
      </c>
      <c r="D341" s="287" t="s">
        <v>186</v>
      </c>
      <c r="E341" s="287">
        <v>10</v>
      </c>
      <c r="F341" s="287">
        <f>'lead 1'!M28</f>
        <v>420</v>
      </c>
      <c r="G341" s="297">
        <f>ROUND(E341*F341,2)</f>
        <v>4200</v>
      </c>
      <c r="H341" s="362">
        <f>SUM(H329:H340)</f>
        <v>0</v>
      </c>
      <c r="I341" s="362"/>
      <c r="J341" s="362"/>
      <c r="K341" s="362"/>
      <c r="L341" s="362"/>
      <c r="M341" s="362"/>
      <c r="N341" s="362"/>
      <c r="O341" s="362"/>
      <c r="P341" s="362">
        <f>G341</f>
        <v>4200</v>
      </c>
      <c r="Q341" s="362"/>
    </row>
    <row r="342" spans="1:17" s="292" customFormat="1" ht="18" customHeight="1">
      <c r="B342" s="293"/>
      <c r="C342" s="305" t="str">
        <f>"Add "&amp;$G$1*100&amp;"% on Labour for Municipal Limits"</f>
        <v>Add 0% on Labour for Municipal Limits</v>
      </c>
      <c r="E342" s="306">
        <f>D3</f>
        <v>0</v>
      </c>
      <c r="F342" s="287">
        <f>G340+G341</f>
        <v>10450</v>
      </c>
      <c r="G342" s="297">
        <f>ROUND(F342*E342,2)</f>
        <v>0</v>
      </c>
      <c r="H342" s="362"/>
      <c r="I342" s="362"/>
      <c r="J342" s="362"/>
      <c r="K342" s="362"/>
      <c r="L342" s="362"/>
      <c r="M342" s="362"/>
      <c r="N342" s="362"/>
      <c r="O342" s="362"/>
      <c r="P342" s="362">
        <f>G342</f>
        <v>0</v>
      </c>
      <c r="Q342" s="362"/>
    </row>
    <row r="343" spans="1:17" s="292" customFormat="1" ht="18" customHeight="1">
      <c r="B343" s="293"/>
      <c r="C343" s="1082"/>
      <c r="E343" s="306"/>
      <c r="F343" s="287"/>
      <c r="G343" s="297">
        <f>SUM(G337:G342)</f>
        <v>51205</v>
      </c>
      <c r="H343" s="362">
        <f>SUM(H330:H341)</f>
        <v>0</v>
      </c>
      <c r="I343" s="362"/>
      <c r="J343" s="362"/>
      <c r="K343" s="362"/>
      <c r="L343" s="362"/>
      <c r="M343" s="362"/>
      <c r="N343" s="362"/>
      <c r="O343" s="362"/>
      <c r="P343" s="362"/>
      <c r="Q343" s="362"/>
    </row>
    <row r="344" spans="1:17" s="292" customFormat="1" ht="18" customHeight="1">
      <c r="B344" s="293"/>
      <c r="C344" s="1082" t="s">
        <v>887</v>
      </c>
      <c r="E344" s="440">
        <f>D2</f>
        <v>0</v>
      </c>
      <c r="F344" s="287"/>
      <c r="G344" s="297">
        <f>ROUND(G343*E344,2)</f>
        <v>0</v>
      </c>
      <c r="H344" s="362">
        <f>SUM(H331:H343)</f>
        <v>0</v>
      </c>
      <c r="I344" s="362"/>
      <c r="J344" s="362"/>
      <c r="K344" s="362"/>
      <c r="L344" s="362"/>
      <c r="M344" s="362"/>
      <c r="N344" s="362"/>
      <c r="O344" s="362"/>
      <c r="P344" s="362">
        <f>G344</f>
        <v>0</v>
      </c>
      <c r="Q344" s="362"/>
    </row>
    <row r="345" spans="1:17" s="308" customFormat="1" ht="18" customHeight="1">
      <c r="A345" s="1080"/>
      <c r="B345" s="313"/>
      <c r="C345" s="1084" t="s">
        <v>466</v>
      </c>
      <c r="D345" s="256"/>
      <c r="E345" s="256"/>
      <c r="F345" s="298" t="s">
        <v>438</v>
      </c>
      <c r="G345" s="298">
        <f>SUM(G343:G344)</f>
        <v>51205</v>
      </c>
      <c r="H345" s="362">
        <f>SUM(H336:H344)</f>
        <v>0</v>
      </c>
      <c r="I345" s="362">
        <f t="shared" ref="I345:P345" si="37">SUM(I336:I344)</f>
        <v>0</v>
      </c>
      <c r="J345" s="362">
        <f t="shared" si="37"/>
        <v>0</v>
      </c>
      <c r="K345" s="362">
        <f t="shared" si="37"/>
        <v>0</v>
      </c>
      <c r="L345" s="362">
        <f t="shared" si="37"/>
        <v>0</v>
      </c>
      <c r="M345" s="362">
        <f t="shared" si="37"/>
        <v>0</v>
      </c>
      <c r="N345" s="362">
        <f t="shared" si="37"/>
        <v>0</v>
      </c>
      <c r="O345" s="362">
        <f t="shared" si="37"/>
        <v>40425</v>
      </c>
      <c r="P345" s="362">
        <f t="shared" si="37"/>
        <v>10780</v>
      </c>
      <c r="Q345" s="362">
        <f>SUM(H345:P345)</f>
        <v>51205</v>
      </c>
    </row>
    <row r="346" spans="1:17" s="304" customFormat="1" ht="18" hidden="1" customHeight="1">
      <c r="A346" s="300"/>
      <c r="B346" s="1080"/>
      <c r="C346" s="1082"/>
      <c r="D346" s="287"/>
      <c r="E346" s="256" t="s">
        <v>409</v>
      </c>
      <c r="F346" s="256" t="s">
        <v>410</v>
      </c>
      <c r="G346" s="256" t="s">
        <v>411</v>
      </c>
      <c r="H346" s="362"/>
      <c r="I346" s="362"/>
      <c r="J346" s="362"/>
      <c r="K346" s="362"/>
      <c r="L346" s="362"/>
      <c r="M346" s="362"/>
      <c r="N346" s="362"/>
      <c r="O346" s="362"/>
      <c r="P346" s="362"/>
      <c r="Q346" s="362"/>
    </row>
    <row r="347" spans="1:17" s="304" customFormat="1" ht="18" hidden="1" customHeight="1">
      <c r="A347" s="300"/>
      <c r="B347" s="1080"/>
      <c r="C347" s="1082" t="s">
        <v>1157</v>
      </c>
      <c r="D347" s="287" t="s">
        <v>604</v>
      </c>
      <c r="E347" s="271">
        <f>G345</f>
        <v>51205</v>
      </c>
      <c r="F347" s="287">
        <f>G345</f>
        <v>51205</v>
      </c>
      <c r="G347" s="297">
        <f>G345</f>
        <v>51205</v>
      </c>
      <c r="H347" s="362"/>
      <c r="I347" s="362"/>
      <c r="J347" s="362"/>
      <c r="K347" s="362"/>
      <c r="L347" s="362"/>
      <c r="M347" s="362"/>
      <c r="N347" s="362"/>
      <c r="O347" s="362"/>
      <c r="P347" s="362"/>
      <c r="Q347" s="362"/>
    </row>
    <row r="348" spans="1:17" s="308" customFormat="1" ht="18" hidden="1" customHeight="1">
      <c r="A348" s="1080"/>
      <c r="B348" s="313"/>
      <c r="C348" s="1082" t="s">
        <v>415</v>
      </c>
      <c r="D348" s="310" t="s">
        <v>416</v>
      </c>
      <c r="E348" s="256">
        <v>0</v>
      </c>
      <c r="F348" s="298">
        <f>ROUND(F342*D348,2)</f>
        <v>1045</v>
      </c>
      <c r="G348" s="298">
        <f>F348*2</f>
        <v>2090</v>
      </c>
      <c r="H348" s="362"/>
      <c r="I348" s="362"/>
      <c r="J348" s="362"/>
      <c r="K348" s="362"/>
      <c r="L348" s="362"/>
      <c r="M348" s="362"/>
      <c r="N348" s="362"/>
      <c r="O348" s="362"/>
      <c r="P348" s="362"/>
      <c r="Q348" s="362"/>
    </row>
    <row r="349" spans="1:17" s="308" customFormat="1" ht="18" hidden="1" customHeight="1">
      <c r="A349" s="1080"/>
      <c r="B349" s="313"/>
      <c r="C349" s="1084" t="s">
        <v>1158</v>
      </c>
      <c r="D349" s="256"/>
      <c r="E349" s="234">
        <f>SUM(E347:E348)</f>
        <v>51205</v>
      </c>
      <c r="F349" s="256">
        <f>SUM(F347:F348)</f>
        <v>52250</v>
      </c>
      <c r="G349" s="256">
        <f>SUM(G347:G348)</f>
        <v>53295</v>
      </c>
      <c r="H349" s="362"/>
      <c r="I349" s="362"/>
      <c r="J349" s="362"/>
      <c r="K349" s="362"/>
      <c r="L349" s="362"/>
      <c r="M349" s="362"/>
      <c r="N349" s="362"/>
      <c r="O349" s="362"/>
      <c r="P349" s="362"/>
      <c r="Q349" s="362"/>
    </row>
    <row r="350" spans="1:17" s="308" customFormat="1" ht="18" hidden="1" customHeight="1">
      <c r="A350" s="1080"/>
      <c r="B350" s="313"/>
      <c r="C350" s="1084"/>
      <c r="D350" s="256"/>
      <c r="E350" s="256"/>
      <c r="F350" s="298"/>
      <c r="G350" s="298"/>
      <c r="H350" s="362"/>
      <c r="I350" s="362"/>
      <c r="J350" s="362"/>
      <c r="K350" s="362"/>
      <c r="L350" s="362"/>
      <c r="M350" s="362"/>
      <c r="N350" s="362"/>
      <c r="O350" s="362"/>
      <c r="P350" s="362"/>
      <c r="Q350" s="362"/>
    </row>
    <row r="351" spans="1:17" s="292" customFormat="1" ht="79.5" customHeight="1">
      <c r="A351" s="1080" t="s">
        <v>1039</v>
      </c>
      <c r="B351" s="293">
        <v>15</v>
      </c>
      <c r="C351" s="1312" t="s">
        <v>1107</v>
      </c>
      <c r="D351" s="1312"/>
      <c r="E351" s="1312"/>
      <c r="F351" s="1312"/>
      <c r="G351" s="1312"/>
      <c r="H351" s="362"/>
      <c r="I351" s="362"/>
      <c r="J351" s="362"/>
      <c r="K351" s="362"/>
      <c r="L351" s="362"/>
      <c r="M351" s="362"/>
      <c r="N351" s="362"/>
      <c r="O351" s="362"/>
      <c r="P351" s="362"/>
      <c r="Q351" s="362"/>
    </row>
    <row r="352" spans="1:17" s="304" customFormat="1" ht="18" customHeight="1">
      <c r="A352" s="300"/>
      <c r="B352" s="1080"/>
      <c r="C352" s="1082" t="s">
        <v>225</v>
      </c>
      <c r="D352" s="287"/>
      <c r="E352" s="287"/>
      <c r="F352" s="287"/>
      <c r="G352" s="297"/>
      <c r="H352" s="362"/>
      <c r="I352" s="362"/>
      <c r="J352" s="362"/>
      <c r="K352" s="362"/>
      <c r="L352" s="362"/>
      <c r="M352" s="362"/>
      <c r="N352" s="362"/>
      <c r="O352" s="362"/>
      <c r="P352" s="362"/>
      <c r="Q352" s="362"/>
    </row>
    <row r="353" spans="1:17" s="304" customFormat="1" ht="18" customHeight="1">
      <c r="A353" s="300"/>
      <c r="B353" s="1080"/>
      <c r="C353" s="1082" t="s">
        <v>177</v>
      </c>
      <c r="D353" s="287"/>
      <c r="E353" s="287"/>
      <c r="F353" s="287"/>
      <c r="G353" s="297"/>
      <c r="H353" s="362"/>
      <c r="I353" s="362"/>
      <c r="J353" s="362"/>
      <c r="K353" s="362"/>
      <c r="L353" s="362"/>
      <c r="M353" s="362"/>
      <c r="N353" s="362"/>
      <c r="O353" s="362"/>
      <c r="P353" s="362"/>
      <c r="Q353" s="362"/>
    </row>
    <row r="354" spans="1:17" s="304" customFormat="1" ht="18" customHeight="1">
      <c r="A354" s="300"/>
      <c r="B354" s="1080"/>
      <c r="C354" s="1082" t="s">
        <v>104</v>
      </c>
      <c r="D354" s="287" t="s">
        <v>116</v>
      </c>
      <c r="E354" s="287">
        <v>36</v>
      </c>
      <c r="F354" s="287">
        <f>'lead 1'!M8</f>
        <v>4300</v>
      </c>
      <c r="G354" s="297">
        <f>ROUND(E354*F354/1000,2)</f>
        <v>154.80000000000001</v>
      </c>
      <c r="H354" s="362">
        <v>0</v>
      </c>
      <c r="I354" s="362">
        <f>G354</f>
        <v>154.80000000000001</v>
      </c>
      <c r="J354" s="362"/>
      <c r="K354" s="362"/>
      <c r="L354" s="362"/>
      <c r="M354" s="362"/>
      <c r="N354" s="362"/>
      <c r="O354" s="362"/>
      <c r="P354" s="362"/>
      <c r="Q354" s="362"/>
    </row>
    <row r="355" spans="1:17" s="304" customFormat="1" ht="18" customHeight="1">
      <c r="A355" s="300"/>
      <c r="B355" s="1080"/>
      <c r="C355" s="1082" t="s">
        <v>319</v>
      </c>
      <c r="D355" s="287" t="s">
        <v>95</v>
      </c>
      <c r="E355" s="287">
        <v>512</v>
      </c>
      <c r="F355" s="287">
        <f>'lead 1'!M15</f>
        <v>7114.6</v>
      </c>
      <c r="G355" s="297">
        <f>ROUND(E355*F355/1000,2)</f>
        <v>3642.68</v>
      </c>
      <c r="H355" s="362"/>
      <c r="I355" s="362"/>
      <c r="J355" s="362"/>
      <c r="K355" s="362"/>
      <c r="M355" s="362"/>
      <c r="N355" s="362"/>
      <c r="O355" s="362"/>
      <c r="P355" s="362">
        <f>G355</f>
        <v>3642.68</v>
      </c>
      <c r="Q355" s="362"/>
    </row>
    <row r="356" spans="1:17" s="304" customFormat="1" ht="18" customHeight="1">
      <c r="A356" s="300"/>
      <c r="B356" s="1080"/>
      <c r="C356" s="1082" t="s">
        <v>208</v>
      </c>
      <c r="D356" s="287" t="s">
        <v>112</v>
      </c>
      <c r="E356" s="287">
        <v>0.2</v>
      </c>
      <c r="F356" s="287">
        <f>'lead 1'!M12</f>
        <v>1549.4</v>
      </c>
      <c r="G356" s="297">
        <f>ROUND(E356*F356,2)</f>
        <v>309.88</v>
      </c>
      <c r="H356" s="362"/>
      <c r="I356" s="362"/>
      <c r="J356" s="362"/>
      <c r="K356" s="362"/>
      <c r="L356" s="362">
        <f>G356</f>
        <v>309.88</v>
      </c>
      <c r="M356" s="362"/>
      <c r="N356" s="362"/>
      <c r="O356" s="362"/>
      <c r="P356" s="362"/>
      <c r="Q356" s="362"/>
    </row>
    <row r="357" spans="1:17" s="304" customFormat="1" ht="18" customHeight="1">
      <c r="A357" s="300"/>
      <c r="B357" s="1080"/>
      <c r="C357" s="1082" t="s">
        <v>211</v>
      </c>
      <c r="D357" s="287"/>
      <c r="E357" s="287"/>
      <c r="F357" s="287"/>
      <c r="G357" s="297"/>
      <c r="H357" s="362"/>
      <c r="I357" s="362"/>
      <c r="J357" s="362"/>
      <c r="K357" s="362"/>
      <c r="L357" s="362"/>
      <c r="M357" s="362"/>
      <c r="N357" s="362"/>
      <c r="O357" s="362"/>
      <c r="P357" s="362"/>
      <c r="Q357" s="362"/>
    </row>
    <row r="358" spans="1:17" s="304" customFormat="1" ht="18" customHeight="1">
      <c r="A358" s="300"/>
      <c r="B358" s="1080"/>
      <c r="C358" s="1082" t="s">
        <v>630</v>
      </c>
      <c r="D358" s="287" t="s">
        <v>186</v>
      </c>
      <c r="E358" s="287">
        <v>0.24</v>
      </c>
      <c r="F358" s="287">
        <f>'lead 1'!M31</f>
        <v>500</v>
      </c>
      <c r="G358" s="297">
        <f>ROUND(E358*F358,2)</f>
        <v>120</v>
      </c>
      <c r="H358" s="362"/>
      <c r="I358" s="362"/>
      <c r="J358" s="362"/>
      <c r="K358" s="362"/>
      <c r="L358" s="362"/>
      <c r="M358" s="362"/>
      <c r="N358" s="362"/>
      <c r="O358" s="362"/>
      <c r="P358" s="362">
        <f>G358</f>
        <v>120</v>
      </c>
      <c r="Q358" s="362"/>
    </row>
    <row r="359" spans="1:17" s="304" customFormat="1" ht="18" customHeight="1">
      <c r="A359" s="300"/>
      <c r="B359" s="1080"/>
      <c r="C359" s="1082" t="s">
        <v>631</v>
      </c>
      <c r="D359" s="287" t="s">
        <v>186</v>
      </c>
      <c r="E359" s="287">
        <v>0.56000000000000005</v>
      </c>
      <c r="F359" s="287">
        <f>'lead 1'!M30</f>
        <v>460</v>
      </c>
      <c r="G359" s="297">
        <f>ROUND(E359*F359,2)</f>
        <v>257.60000000000002</v>
      </c>
      <c r="H359" s="362"/>
      <c r="I359" s="362"/>
      <c r="J359" s="362"/>
      <c r="K359" s="362"/>
      <c r="L359" s="362"/>
      <c r="M359" s="362"/>
      <c r="N359" s="362"/>
      <c r="O359" s="362"/>
      <c r="P359" s="362">
        <f>G359</f>
        <v>257.60000000000002</v>
      </c>
      <c r="Q359" s="362"/>
    </row>
    <row r="360" spans="1:17" s="304" customFormat="1" ht="18" customHeight="1">
      <c r="A360" s="300"/>
      <c r="B360" s="1080"/>
      <c r="C360" s="1082" t="s">
        <v>213</v>
      </c>
      <c r="D360" s="287" t="s">
        <v>186</v>
      </c>
      <c r="E360" s="287">
        <v>1.89</v>
      </c>
      <c r="F360" s="287">
        <f>'lead 1'!M28</f>
        <v>420</v>
      </c>
      <c r="G360" s="297">
        <f>ROUND(E360*F360,2)</f>
        <v>793.8</v>
      </c>
      <c r="H360" s="1053"/>
      <c r="I360" s="1053"/>
      <c r="J360" s="1053"/>
      <c r="K360" s="1053"/>
      <c r="L360" s="1053"/>
      <c r="M360" s="364"/>
      <c r="N360" s="364"/>
      <c r="O360" s="364"/>
      <c r="P360" s="362">
        <f>G360</f>
        <v>793.8</v>
      </c>
      <c r="Q360" s="364"/>
    </row>
    <row r="361" spans="1:17" s="292" customFormat="1" ht="18" customHeight="1">
      <c r="B361" s="293"/>
      <c r="C361" s="305" t="str">
        <f>"Add "&amp;$G$1*100&amp;"% on Labour for Municipal Limits"</f>
        <v>Add 0% on Labour for Municipal Limits</v>
      </c>
      <c r="E361" s="306">
        <f>$D$3</f>
        <v>0</v>
      </c>
      <c r="F361" s="287">
        <f>SUM(G358:G360)</f>
        <v>1171.4000000000001</v>
      </c>
      <c r="G361" s="297">
        <f>ROUND(F361*E361,2)</f>
        <v>0</v>
      </c>
      <c r="H361" s="362"/>
      <c r="I361" s="362"/>
      <c r="J361" s="362"/>
      <c r="K361" s="362"/>
      <c r="L361" s="362"/>
      <c r="M361" s="362"/>
      <c r="N361" s="362"/>
      <c r="O361" s="362"/>
      <c r="P361" s="362">
        <f>G361</f>
        <v>0</v>
      </c>
      <c r="Q361" s="362"/>
    </row>
    <row r="362" spans="1:17" s="293" customFormat="1" ht="18" customHeight="1">
      <c r="C362" s="1084" t="s">
        <v>287</v>
      </c>
      <c r="D362" s="256"/>
      <c r="E362" s="256"/>
      <c r="F362" s="298" t="s">
        <v>438</v>
      </c>
      <c r="G362" s="298">
        <f>ROUND(SUM(G354:G361),2)</f>
        <v>5278.76</v>
      </c>
      <c r="H362" s="361">
        <f>SUM(H354:H360)</f>
        <v>0</v>
      </c>
      <c r="I362" s="361">
        <f t="shared" ref="I362:O362" si="38">SUM(I354:I360)</f>
        <v>154.80000000000001</v>
      </c>
      <c r="J362" s="361">
        <f t="shared" si="38"/>
        <v>0</v>
      </c>
      <c r="K362" s="361">
        <f t="shared" si="38"/>
        <v>0</v>
      </c>
      <c r="L362" s="361">
        <f t="shared" si="38"/>
        <v>309.88</v>
      </c>
      <c r="M362" s="361">
        <f t="shared" si="38"/>
        <v>0</v>
      </c>
      <c r="N362" s="361">
        <f t="shared" si="38"/>
        <v>0</v>
      </c>
      <c r="O362" s="361">
        <f t="shared" si="38"/>
        <v>0</v>
      </c>
      <c r="P362" s="361">
        <f>SUM(P354:P360)</f>
        <v>4814.08</v>
      </c>
      <c r="Q362" s="361">
        <f>SUM(H362:P362)</f>
        <v>5278.76</v>
      </c>
    </row>
    <row r="363" spans="1:17" s="292" customFormat="1" ht="79.5" customHeight="1">
      <c r="A363" s="1080" t="s">
        <v>1039</v>
      </c>
      <c r="B363" s="293">
        <v>16</v>
      </c>
      <c r="C363" s="1312" t="s">
        <v>1096</v>
      </c>
      <c r="D363" s="1312"/>
      <c r="E363" s="1312"/>
      <c r="F363" s="1312"/>
      <c r="G363" s="1312"/>
      <c r="H363" s="362"/>
      <c r="I363" s="362"/>
      <c r="J363" s="362"/>
      <c r="K363" s="362"/>
      <c r="L363" s="362"/>
      <c r="M363" s="362"/>
      <c r="N363" s="362"/>
      <c r="O363" s="362"/>
      <c r="P363" s="362"/>
      <c r="Q363" s="362"/>
    </row>
    <row r="364" spans="1:17" s="304" customFormat="1" ht="18" customHeight="1">
      <c r="A364" s="300"/>
      <c r="B364" s="1080"/>
      <c r="C364" s="1082" t="s">
        <v>104</v>
      </c>
      <c r="D364" s="287" t="s">
        <v>116</v>
      </c>
      <c r="E364" s="287">
        <v>48</v>
      </c>
      <c r="F364" s="287">
        <f>F354</f>
        <v>4300</v>
      </c>
      <c r="G364" s="297">
        <f>ROUND(E364*F364/1000,2)</f>
        <v>206.4</v>
      </c>
      <c r="H364" s="362">
        <v>0</v>
      </c>
      <c r="I364" s="362">
        <f>G364</f>
        <v>206.4</v>
      </c>
      <c r="J364" s="362"/>
      <c r="K364" s="362"/>
      <c r="L364" s="362"/>
      <c r="M364" s="362"/>
      <c r="N364" s="362"/>
      <c r="O364" s="362"/>
      <c r="P364" s="362"/>
      <c r="Q364" s="362"/>
    </row>
    <row r="365" spans="1:17" s="304" customFormat="1" ht="18" customHeight="1">
      <c r="A365" s="300"/>
      <c r="B365" s="1080"/>
      <c r="C365" s="1082" t="s">
        <v>319</v>
      </c>
      <c r="D365" s="287" t="s">
        <v>95</v>
      </c>
      <c r="E365" s="287">
        <v>512</v>
      </c>
      <c r="F365" s="287">
        <f>F355</f>
        <v>7114.6</v>
      </c>
      <c r="G365" s="297">
        <f>ROUND(E365*F365/1000,2)</f>
        <v>3642.68</v>
      </c>
      <c r="H365" s="362"/>
      <c r="I365" s="362"/>
      <c r="J365" s="362"/>
      <c r="K365" s="362"/>
      <c r="M365" s="362"/>
      <c r="N365" s="362"/>
      <c r="O365" s="362"/>
      <c r="P365" s="362">
        <f>G365</f>
        <v>3642.68</v>
      </c>
      <c r="Q365" s="362"/>
    </row>
    <row r="366" spans="1:17" s="304" customFormat="1" ht="18" customHeight="1">
      <c r="A366" s="300"/>
      <c r="B366" s="1080"/>
      <c r="C366" s="1082" t="s">
        <v>208</v>
      </c>
      <c r="D366" s="287" t="s">
        <v>112</v>
      </c>
      <c r="E366" s="287">
        <v>0.2</v>
      </c>
      <c r="F366" s="287">
        <f>F356</f>
        <v>1549.4</v>
      </c>
      <c r="G366" s="297">
        <f>ROUND(E366*F366,2)</f>
        <v>309.88</v>
      </c>
      <c r="H366" s="362"/>
      <c r="I366" s="362"/>
      <c r="J366" s="362"/>
      <c r="K366" s="362"/>
      <c r="L366" s="362">
        <f>G366</f>
        <v>309.88</v>
      </c>
      <c r="M366" s="362"/>
      <c r="N366" s="362"/>
      <c r="O366" s="362"/>
      <c r="P366" s="362"/>
      <c r="Q366" s="362"/>
    </row>
    <row r="367" spans="1:17" s="304" customFormat="1" ht="18" customHeight="1">
      <c r="A367" s="300"/>
      <c r="B367" s="1080"/>
      <c r="C367" s="1082" t="s">
        <v>210</v>
      </c>
      <c r="D367" s="287" t="s">
        <v>112</v>
      </c>
      <c r="E367" s="287">
        <v>0.2</v>
      </c>
      <c r="F367" s="287"/>
      <c r="G367" s="297">
        <f>ROUND(E367*F367,2)</f>
        <v>0</v>
      </c>
      <c r="H367" s="362"/>
      <c r="I367" s="362"/>
      <c r="J367" s="362"/>
      <c r="K367" s="362"/>
      <c r="L367" s="362"/>
      <c r="M367" s="362"/>
      <c r="N367" s="362"/>
      <c r="O367" s="362"/>
      <c r="P367" s="362"/>
      <c r="Q367" s="362"/>
    </row>
    <row r="368" spans="1:17" s="304" customFormat="1" ht="18" customHeight="1">
      <c r="A368" s="300"/>
      <c r="B368" s="1080"/>
      <c r="C368" s="1082" t="s">
        <v>211</v>
      </c>
      <c r="D368" s="287"/>
      <c r="E368" s="287"/>
      <c r="F368" s="287"/>
      <c r="G368" s="297"/>
      <c r="H368" s="362"/>
      <c r="I368" s="362"/>
      <c r="J368" s="362"/>
      <c r="K368" s="362"/>
      <c r="L368" s="362"/>
      <c r="M368" s="362"/>
      <c r="N368" s="362"/>
      <c r="O368" s="362"/>
      <c r="P368" s="362"/>
      <c r="Q368" s="362"/>
    </row>
    <row r="369" spans="1:17" s="304" customFormat="1" ht="18" customHeight="1">
      <c r="A369" s="300"/>
      <c r="B369" s="1080"/>
      <c r="C369" s="1082" t="s">
        <v>630</v>
      </c>
      <c r="D369" s="287" t="s">
        <v>186</v>
      </c>
      <c r="E369" s="287">
        <v>0.24</v>
      </c>
      <c r="F369" s="287">
        <f>F358</f>
        <v>500</v>
      </c>
      <c r="G369" s="297">
        <f>ROUND(E369*F369,2)</f>
        <v>120</v>
      </c>
      <c r="H369" s="362"/>
      <c r="I369" s="362"/>
      <c r="J369" s="362"/>
      <c r="K369" s="362"/>
      <c r="L369" s="362"/>
      <c r="M369" s="362"/>
      <c r="N369" s="362"/>
      <c r="O369" s="362"/>
      <c r="P369" s="362">
        <f>G369</f>
        <v>120</v>
      </c>
      <c r="Q369" s="362"/>
    </row>
    <row r="370" spans="1:17" s="304" customFormat="1" ht="18" customHeight="1">
      <c r="A370" s="300"/>
      <c r="B370" s="1080"/>
      <c r="C370" s="1082" t="s">
        <v>631</v>
      </c>
      <c r="D370" s="287" t="s">
        <v>186</v>
      </c>
      <c r="E370" s="287">
        <v>0.56000000000000005</v>
      </c>
      <c r="F370" s="287">
        <f>F359</f>
        <v>460</v>
      </c>
      <c r="G370" s="297">
        <f>ROUND(E370*F370,2)</f>
        <v>257.60000000000002</v>
      </c>
      <c r="H370" s="362"/>
      <c r="I370" s="362"/>
      <c r="J370" s="362"/>
      <c r="K370" s="362"/>
      <c r="L370" s="362"/>
      <c r="M370" s="362"/>
      <c r="N370" s="362"/>
      <c r="O370" s="362"/>
      <c r="P370" s="362">
        <f>G370</f>
        <v>257.60000000000002</v>
      </c>
      <c r="Q370" s="362"/>
    </row>
    <row r="371" spans="1:17" s="304" customFormat="1" ht="18" customHeight="1">
      <c r="A371" s="300"/>
      <c r="B371" s="1080"/>
      <c r="C371" s="1082" t="s">
        <v>213</v>
      </c>
      <c r="D371" s="287" t="s">
        <v>186</v>
      </c>
      <c r="E371" s="287">
        <v>1.89</v>
      </c>
      <c r="F371" s="287">
        <f>F360</f>
        <v>420</v>
      </c>
      <c r="G371" s="297">
        <f>ROUND(E371*F371,2)</f>
        <v>793.8</v>
      </c>
      <c r="H371" s="1053"/>
      <c r="I371" s="1053"/>
      <c r="J371" s="1053"/>
      <c r="K371" s="1053"/>
      <c r="L371" s="1053"/>
      <c r="M371" s="364"/>
      <c r="N371" s="364"/>
      <c r="O371" s="364"/>
      <c r="P371" s="362">
        <f>G371</f>
        <v>793.8</v>
      </c>
      <c r="Q371" s="364"/>
    </row>
    <row r="372" spans="1:17" s="292" customFormat="1" ht="18" customHeight="1">
      <c r="B372" s="293"/>
      <c r="C372" s="305" t="str">
        <f>"Add "&amp;$G$1*100&amp;"% on Labour for Municipal Limits"</f>
        <v>Add 0% on Labour for Municipal Limits</v>
      </c>
      <c r="E372" s="306">
        <f>$D$3</f>
        <v>0</v>
      </c>
      <c r="F372" s="287">
        <f>SUM(G369:G371)</f>
        <v>1171.4000000000001</v>
      </c>
      <c r="G372" s="297">
        <f>ROUND(F372*E372,2)</f>
        <v>0</v>
      </c>
      <c r="H372" s="362"/>
      <c r="I372" s="362"/>
      <c r="J372" s="362"/>
      <c r="K372" s="362"/>
      <c r="L372" s="362"/>
      <c r="M372" s="362"/>
      <c r="N372" s="362"/>
      <c r="O372" s="362"/>
      <c r="P372" s="362">
        <f>G372</f>
        <v>0</v>
      </c>
      <c r="Q372" s="362"/>
    </row>
    <row r="373" spans="1:17" s="293" customFormat="1" ht="18" customHeight="1">
      <c r="C373" s="1084" t="s">
        <v>287</v>
      </c>
      <c r="D373" s="256"/>
      <c r="E373" s="256"/>
      <c r="F373" s="298" t="s">
        <v>438</v>
      </c>
      <c r="G373" s="298">
        <f>ROUND(SUM(G364:G371),2)</f>
        <v>5330.36</v>
      </c>
      <c r="H373" s="361">
        <f>SUM(H364:H371)</f>
        <v>0</v>
      </c>
      <c r="I373" s="361">
        <f t="shared" ref="I373:O373" si="39">SUM(I364:I371)</f>
        <v>206.4</v>
      </c>
      <c r="J373" s="361">
        <f t="shared" si="39"/>
        <v>0</v>
      </c>
      <c r="K373" s="361">
        <f t="shared" si="39"/>
        <v>0</v>
      </c>
      <c r="L373" s="361">
        <f t="shared" si="39"/>
        <v>309.88</v>
      </c>
      <c r="M373" s="361">
        <f t="shared" si="39"/>
        <v>0</v>
      </c>
      <c r="N373" s="361">
        <f t="shared" si="39"/>
        <v>0</v>
      </c>
      <c r="O373" s="361">
        <f t="shared" si="39"/>
        <v>0</v>
      </c>
      <c r="P373" s="361">
        <f>SUM(P364:P371)</f>
        <v>4814.08</v>
      </c>
      <c r="Q373" s="361">
        <f>SUM(H373:P373)</f>
        <v>5330.36</v>
      </c>
    </row>
    <row r="374" spans="1:17" s="293" customFormat="1" ht="18" customHeight="1">
      <c r="B374" s="293" t="s">
        <v>467</v>
      </c>
      <c r="C374" s="1084" t="s">
        <v>468</v>
      </c>
      <c r="D374" s="256"/>
      <c r="E374" s="256"/>
      <c r="F374" s="298"/>
      <c r="G374" s="298"/>
      <c r="H374" s="361"/>
      <c r="I374" s="361"/>
      <c r="J374" s="361"/>
      <c r="K374" s="361"/>
      <c r="L374" s="361"/>
      <c r="M374" s="361"/>
      <c r="N374" s="361"/>
      <c r="O374" s="361"/>
      <c r="P374" s="361"/>
      <c r="Q374" s="361"/>
    </row>
    <row r="375" spans="1:17" s="304" customFormat="1" ht="18" customHeight="1">
      <c r="A375" s="300"/>
      <c r="B375" s="1080"/>
      <c r="C375" s="1082"/>
      <c r="D375" s="256" t="s">
        <v>469</v>
      </c>
      <c r="E375" s="256" t="s">
        <v>409</v>
      </c>
      <c r="F375" s="256" t="s">
        <v>410</v>
      </c>
      <c r="G375" s="298" t="s">
        <v>411</v>
      </c>
      <c r="H375" s="362"/>
      <c r="I375" s="362"/>
      <c r="J375" s="362"/>
      <c r="K375" s="362"/>
      <c r="L375" s="362"/>
      <c r="M375" s="362"/>
      <c r="N375" s="362"/>
      <c r="O375" s="362"/>
      <c r="P375" s="362"/>
      <c r="Q375" s="362"/>
    </row>
    <row r="376" spans="1:17" s="304" customFormat="1" ht="18" customHeight="1">
      <c r="A376" s="300"/>
      <c r="B376" s="1080"/>
      <c r="C376" s="1082" t="s">
        <v>412</v>
      </c>
      <c r="D376" s="287">
        <f>G373*1.14</f>
        <v>6076.6103999999987</v>
      </c>
      <c r="E376" s="309">
        <f>G373</f>
        <v>5330.36</v>
      </c>
      <c r="F376" s="309">
        <f>G373</f>
        <v>5330.36</v>
      </c>
      <c r="G376" s="297">
        <f>G373</f>
        <v>5330.36</v>
      </c>
      <c r="H376" s="361">
        <f>SUM(H357:H375)</f>
        <v>0</v>
      </c>
      <c r="I376" s="361">
        <f>I373</f>
        <v>206.4</v>
      </c>
      <c r="J376" s="361">
        <f>SUM(J357:J375)</f>
        <v>0</v>
      </c>
      <c r="K376" s="361">
        <f>SUM(K357:K375)</f>
        <v>0</v>
      </c>
      <c r="L376" s="361">
        <f>L373</f>
        <v>309.88</v>
      </c>
      <c r="M376" s="361">
        <f>SUM(M357:M375)</f>
        <v>0</v>
      </c>
      <c r="N376" s="361">
        <f>SUM(N357:N375)</f>
        <v>0</v>
      </c>
      <c r="O376" s="361">
        <f>SUM(O357:O375)</f>
        <v>0</v>
      </c>
      <c r="P376" s="361">
        <f>P362</f>
        <v>4814.08</v>
      </c>
      <c r="Q376" s="362">
        <f>SUM(H376:P376)</f>
        <v>5330.36</v>
      </c>
    </row>
    <row r="377" spans="1:17" s="304" customFormat="1" ht="18" customHeight="1">
      <c r="A377" s="300"/>
      <c r="B377" s="1080"/>
      <c r="C377" s="1082" t="s">
        <v>888</v>
      </c>
      <c r="D377" s="307">
        <f>1/0.23</f>
        <v>4.3478260869565215</v>
      </c>
      <c r="E377" s="309">
        <f>ROUND(D377*10.32,2)</f>
        <v>44.87</v>
      </c>
      <c r="F377" s="309">
        <f>ROUND(D377*10.32,2)</f>
        <v>44.87</v>
      </c>
      <c r="G377" s="297">
        <f>ROUND(D377*10.32,2)</f>
        <v>44.87</v>
      </c>
      <c r="H377" s="362"/>
      <c r="I377" s="362"/>
      <c r="J377" s="362"/>
      <c r="K377" s="362"/>
      <c r="L377" s="362"/>
      <c r="M377" s="362"/>
      <c r="N377" s="362"/>
      <c r="O377" s="362"/>
      <c r="P377" s="362">
        <f>E377</f>
        <v>44.87</v>
      </c>
      <c r="Q377" s="362"/>
    </row>
    <row r="378" spans="1:17" s="304" customFormat="1" ht="30" customHeight="1">
      <c r="A378" s="300"/>
      <c r="B378" s="1080"/>
      <c r="C378" s="1082" t="s">
        <v>889</v>
      </c>
      <c r="D378" s="307">
        <f>ROUND(1/0.23,2)</f>
        <v>4.3499999999999996</v>
      </c>
      <c r="E378" s="309">
        <f>ROUND(D378*79.46,2)</f>
        <v>345.65</v>
      </c>
      <c r="F378" s="309">
        <f>ROUND(D378*113.78,2)</f>
        <v>494.94</v>
      </c>
      <c r="G378" s="297">
        <f>ROUND(D378*148.09,2)</f>
        <v>644.19000000000005</v>
      </c>
      <c r="H378" s="362"/>
      <c r="I378" s="362"/>
      <c r="J378" s="362"/>
      <c r="K378" s="362"/>
      <c r="L378" s="362"/>
      <c r="M378" s="362"/>
      <c r="N378" s="362"/>
      <c r="O378" s="362"/>
      <c r="P378" s="362">
        <f>E378</f>
        <v>345.65</v>
      </c>
      <c r="Q378" s="362"/>
    </row>
    <row r="379" spans="1:17" s="304" customFormat="1" ht="18" customHeight="1">
      <c r="A379" s="300"/>
      <c r="B379" s="1080"/>
      <c r="C379" s="1082" t="s">
        <v>415</v>
      </c>
      <c r="D379" s="287"/>
      <c r="E379" s="314"/>
      <c r="F379" s="314">
        <f>ROUND((E378+SUM(G369:G371))*0.1,2)</f>
        <v>151.71</v>
      </c>
      <c r="G379" s="315">
        <f>ROUND(F379*2,2)</f>
        <v>303.42</v>
      </c>
      <c r="H379" s="362"/>
      <c r="I379" s="362"/>
      <c r="J379" s="362"/>
      <c r="K379" s="362"/>
      <c r="L379" s="362"/>
      <c r="M379" s="362"/>
      <c r="N379" s="362"/>
      <c r="O379" s="362"/>
      <c r="P379" s="362">
        <f>E379</f>
        <v>0</v>
      </c>
      <c r="Q379" s="362"/>
    </row>
    <row r="380" spans="1:17" s="304" customFormat="1" ht="18" customHeight="1">
      <c r="A380" s="300"/>
      <c r="B380" s="1080"/>
      <c r="C380" s="305" t="str">
        <f>"Add "&amp;$G$1*100&amp;"% on Labour for Municipal Limits"</f>
        <v>Add 0% on Labour for Municipal Limits</v>
      </c>
      <c r="D380" s="287"/>
      <c r="E380" s="314">
        <f>ROUND(SUM(E378:E379)*$D$3,2)</f>
        <v>0</v>
      </c>
      <c r="F380" s="314">
        <f>ROUND(SUM(F378:F379)*$D$3,2)</f>
        <v>0</v>
      </c>
      <c r="G380" s="314">
        <f>ROUND(SUM(G378:G379)*$D$3,2)</f>
        <v>0</v>
      </c>
      <c r="H380" s="362"/>
      <c r="I380" s="362"/>
      <c r="J380" s="362"/>
      <c r="K380" s="362"/>
      <c r="L380" s="362"/>
      <c r="M380" s="362"/>
      <c r="N380" s="362"/>
      <c r="O380" s="362"/>
      <c r="P380" s="362"/>
      <c r="Q380" s="362"/>
    </row>
    <row r="381" spans="1:17" s="304" customFormat="1" ht="18" customHeight="1">
      <c r="A381" s="300"/>
      <c r="B381" s="1080"/>
      <c r="C381" s="1082"/>
      <c r="D381" s="287">
        <f>SUM(D376)</f>
        <v>6076.6103999999987</v>
      </c>
      <c r="E381" s="287">
        <f>SUM(E376:E380)</f>
        <v>5720.8799999999992</v>
      </c>
      <c r="F381" s="287">
        <f>SUM(F376:F380)</f>
        <v>6021.8799999999992</v>
      </c>
      <c r="G381" s="287">
        <f>SUM(G376:G380)</f>
        <v>6322.84</v>
      </c>
      <c r="H381" s="362"/>
      <c r="I381" s="362"/>
      <c r="J381" s="362"/>
      <c r="K381" s="362"/>
      <c r="L381" s="362"/>
      <c r="M381" s="362"/>
      <c r="N381" s="362"/>
      <c r="O381" s="362"/>
      <c r="P381" s="362"/>
      <c r="Q381" s="362"/>
    </row>
    <row r="382" spans="1:17" s="304" customFormat="1" ht="18" customHeight="1">
      <c r="A382" s="300"/>
      <c r="B382" s="1080"/>
      <c r="C382" s="1082" t="s">
        <v>887</v>
      </c>
      <c r="D382" s="287">
        <f>ROUND(D381*D2%,2)</f>
        <v>0</v>
      </c>
      <c r="E382" s="287">
        <f>ROUND(E381*D2,2)</f>
        <v>0</v>
      </c>
      <c r="F382" s="287">
        <f>ROUND(F381*D2,2)</f>
        <v>0</v>
      </c>
      <c r="G382" s="287">
        <f>ROUND(G381*D2,2)</f>
        <v>0</v>
      </c>
      <c r="H382" s="362"/>
      <c r="I382" s="362"/>
      <c r="J382" s="362"/>
      <c r="K382" s="362"/>
      <c r="L382" s="362"/>
      <c r="M382" s="362"/>
      <c r="N382" s="362"/>
      <c r="O382" s="362"/>
      <c r="P382" s="362"/>
      <c r="Q382" s="362"/>
    </row>
    <row r="383" spans="1:17" s="293" customFormat="1" ht="18" customHeight="1">
      <c r="C383" s="1084" t="s">
        <v>917</v>
      </c>
      <c r="D383" s="271">
        <f>SUM(D381:D382)</f>
        <v>6076.6103999999987</v>
      </c>
      <c r="E383" s="271">
        <f>SUM(E381:E382)</f>
        <v>5720.8799999999992</v>
      </c>
      <c r="F383" s="271">
        <f>SUM(F381:F382)</f>
        <v>6021.8799999999992</v>
      </c>
      <c r="G383" s="271">
        <f>SUM(G381:G382)</f>
        <v>6322.84</v>
      </c>
      <c r="H383" s="443">
        <f>SUM(H375:H382)</f>
        <v>0</v>
      </c>
      <c r="I383" s="443">
        <f t="shared" ref="I383:O383" si="40">SUM(I375:I382)</f>
        <v>206.4</v>
      </c>
      <c r="J383" s="443">
        <f t="shared" si="40"/>
        <v>0</v>
      </c>
      <c r="K383" s="443">
        <f t="shared" si="40"/>
        <v>0</v>
      </c>
      <c r="L383" s="443">
        <f t="shared" si="40"/>
        <v>309.88</v>
      </c>
      <c r="M383" s="443">
        <f t="shared" si="40"/>
        <v>0</v>
      </c>
      <c r="N383" s="443">
        <f t="shared" si="40"/>
        <v>0</v>
      </c>
      <c r="O383" s="443">
        <f t="shared" si="40"/>
        <v>0</v>
      </c>
      <c r="P383" s="443">
        <f>SUM(P375:P382)</f>
        <v>5204.5999999999995</v>
      </c>
      <c r="Q383" s="443">
        <f>SUM(H383:P383)</f>
        <v>5720.8799999999992</v>
      </c>
    </row>
    <row r="384" spans="1:17" s="293" customFormat="1" ht="18" customHeight="1">
      <c r="C384" s="1084" t="s">
        <v>919</v>
      </c>
      <c r="D384" s="271"/>
      <c r="E384" s="271"/>
      <c r="F384" s="271"/>
      <c r="G384" s="271"/>
      <c r="H384" s="443">
        <f>H376</f>
        <v>0</v>
      </c>
      <c r="I384" s="443">
        <f t="shared" ref="I384:O384" si="41">I376</f>
        <v>206.4</v>
      </c>
      <c r="J384" s="443">
        <f t="shared" si="41"/>
        <v>0</v>
      </c>
      <c r="K384" s="443">
        <f t="shared" si="41"/>
        <v>0</v>
      </c>
      <c r="L384" s="443">
        <f t="shared" si="41"/>
        <v>309.88</v>
      </c>
      <c r="M384" s="443">
        <f t="shared" si="41"/>
        <v>0</v>
      </c>
      <c r="N384" s="443">
        <f t="shared" si="41"/>
        <v>0</v>
      </c>
      <c r="O384" s="443">
        <f t="shared" si="41"/>
        <v>0</v>
      </c>
      <c r="P384" s="443">
        <f>P376+SUM(F377:F379)</f>
        <v>5505.6</v>
      </c>
      <c r="Q384" s="443">
        <f>SUM(H384:P384)</f>
        <v>6021.88</v>
      </c>
    </row>
    <row r="385" spans="1:17" s="293" customFormat="1" ht="18" hidden="1" customHeight="1">
      <c r="B385" s="293" t="s">
        <v>470</v>
      </c>
      <c r="C385" s="1084" t="s">
        <v>471</v>
      </c>
      <c r="D385" s="256"/>
      <c r="E385" s="256"/>
      <c r="F385" s="298"/>
      <c r="G385" s="298"/>
      <c r="H385" s="362"/>
      <c r="I385" s="362"/>
      <c r="J385" s="362"/>
      <c r="K385" s="362"/>
      <c r="L385" s="362"/>
      <c r="M385" s="362"/>
      <c r="N385" s="362"/>
      <c r="O385" s="362"/>
      <c r="P385" s="362"/>
      <c r="Q385" s="362"/>
    </row>
    <row r="386" spans="1:17" s="304" customFormat="1" ht="18" hidden="1" customHeight="1">
      <c r="A386" s="300"/>
      <c r="B386" s="1080"/>
      <c r="C386" s="1082"/>
      <c r="D386" s="256" t="s">
        <v>469</v>
      </c>
      <c r="E386" s="256" t="s">
        <v>409</v>
      </c>
      <c r="F386" s="256" t="s">
        <v>410</v>
      </c>
      <c r="G386" s="298" t="s">
        <v>411</v>
      </c>
      <c r="H386" s="362"/>
      <c r="I386" s="362"/>
      <c r="J386" s="362"/>
      <c r="K386" s="362"/>
      <c r="L386" s="362"/>
      <c r="M386" s="362"/>
      <c r="N386" s="362"/>
      <c r="O386" s="362"/>
      <c r="P386" s="362"/>
      <c r="Q386" s="362"/>
    </row>
    <row r="387" spans="1:17" s="304" customFormat="1" ht="18" hidden="1" customHeight="1">
      <c r="A387" s="300"/>
      <c r="B387" s="1080"/>
      <c r="C387" s="1082" t="s">
        <v>412</v>
      </c>
      <c r="D387" s="287">
        <f>G362*1.14</f>
        <v>6017.7864</v>
      </c>
      <c r="E387" s="309">
        <f>G362</f>
        <v>5278.76</v>
      </c>
      <c r="F387" s="309">
        <f>E387</f>
        <v>5278.76</v>
      </c>
      <c r="G387" s="297">
        <f>F387</f>
        <v>5278.76</v>
      </c>
      <c r="H387" s="362">
        <f>H362</f>
        <v>0</v>
      </c>
      <c r="I387" s="362">
        <f t="shared" ref="I387:P387" si="42">I362</f>
        <v>154.80000000000001</v>
      </c>
      <c r="J387" s="362">
        <f t="shared" si="42"/>
        <v>0</v>
      </c>
      <c r="K387" s="362">
        <f t="shared" si="42"/>
        <v>0</v>
      </c>
      <c r="L387" s="362">
        <f t="shared" si="42"/>
        <v>309.88</v>
      </c>
      <c r="M387" s="362">
        <f t="shared" si="42"/>
        <v>0</v>
      </c>
      <c r="N387" s="362">
        <f t="shared" si="42"/>
        <v>0</v>
      </c>
      <c r="O387" s="362">
        <f t="shared" si="42"/>
        <v>0</v>
      </c>
      <c r="P387" s="362">
        <f t="shared" si="42"/>
        <v>4814.08</v>
      </c>
      <c r="Q387" s="362"/>
    </row>
    <row r="388" spans="1:17" s="304" customFormat="1" ht="18" hidden="1" customHeight="1">
      <c r="A388" s="300"/>
      <c r="B388" s="1080"/>
      <c r="C388" s="1082" t="s">
        <v>888</v>
      </c>
      <c r="D388" s="307">
        <f>1/0.23</f>
        <v>4.3478260869565215</v>
      </c>
      <c r="E388" s="309">
        <f>ROUND(D388*10.32,2)</f>
        <v>44.87</v>
      </c>
      <c r="F388" s="309">
        <f>ROUND(D388*10.32,2)</f>
        <v>44.87</v>
      </c>
      <c r="G388" s="297">
        <f>ROUND(D388*10.32,2)</f>
        <v>44.87</v>
      </c>
      <c r="H388" s="362"/>
      <c r="I388" s="362"/>
      <c r="J388" s="362"/>
      <c r="K388" s="362"/>
      <c r="L388" s="362"/>
      <c r="M388" s="362"/>
      <c r="N388" s="362"/>
      <c r="O388" s="362"/>
      <c r="P388" s="362">
        <f>E388</f>
        <v>44.87</v>
      </c>
      <c r="Q388" s="362"/>
    </row>
    <row r="389" spans="1:17" s="304" customFormat="1" ht="24" hidden="1" customHeight="1">
      <c r="A389" s="300"/>
      <c r="B389" s="1080"/>
      <c r="C389" s="1082" t="s">
        <v>889</v>
      </c>
      <c r="D389" s="307">
        <f>1/0.23</f>
        <v>4.3478260869565215</v>
      </c>
      <c r="E389" s="309">
        <f>ROUND(D389*79.46,2)</f>
        <v>345.48</v>
      </c>
      <c r="F389" s="309">
        <f>ROUND(D389*113.78,2)</f>
        <v>494.7</v>
      </c>
      <c r="G389" s="297">
        <f>ROUND(D389*148.09,2)</f>
        <v>643.87</v>
      </c>
      <c r="H389" s="1051"/>
      <c r="I389" s="1051"/>
      <c r="J389" s="1051"/>
      <c r="K389" s="1051"/>
      <c r="L389" s="1051"/>
      <c r="M389" s="364"/>
      <c r="N389" s="364"/>
      <c r="O389" s="364"/>
      <c r="P389" s="362">
        <f>E389</f>
        <v>345.48</v>
      </c>
      <c r="Q389" s="364"/>
    </row>
    <row r="390" spans="1:17" s="304" customFormat="1" ht="18" hidden="1" customHeight="1">
      <c r="A390" s="300"/>
      <c r="B390" s="1080"/>
      <c r="C390" s="1082" t="s">
        <v>415</v>
      </c>
      <c r="D390" s="287"/>
      <c r="E390" s="314"/>
      <c r="F390" s="314">
        <f>ROUND((E389+SUM(G358:G360))*0.1,2)</f>
        <v>151.69</v>
      </c>
      <c r="G390" s="315">
        <f>F390*2</f>
        <v>303.38</v>
      </c>
      <c r="H390" s="373"/>
      <c r="I390" s="373"/>
      <c r="J390" s="373"/>
      <c r="K390" s="373"/>
      <c r="L390" s="373"/>
      <c r="M390" s="373"/>
      <c r="N390" s="373"/>
      <c r="O390" s="373"/>
      <c r="P390" s="373"/>
      <c r="Q390" s="373"/>
    </row>
    <row r="391" spans="1:17" s="304" customFormat="1" ht="18" hidden="1" customHeight="1">
      <c r="A391" s="300"/>
      <c r="B391" s="1080"/>
      <c r="C391" s="305" t="str">
        <f>"Add "&amp;$G$1*100&amp;"% on Labour for Municipal Limits"</f>
        <v>Add 0% on Labour for Municipal Limits</v>
      </c>
      <c r="D391" s="287"/>
      <c r="E391" s="314">
        <f>ROUND(SUM(E389:E390)*$D$3,2)</f>
        <v>0</v>
      </c>
      <c r="F391" s="314">
        <f>ROUND(SUM(F389:F390)*$D$3,2)</f>
        <v>0</v>
      </c>
      <c r="G391" s="314">
        <f>ROUND(SUM(G389:G390)*$D$3,2)</f>
        <v>0</v>
      </c>
      <c r="H391" s="362"/>
      <c r="I391" s="362"/>
      <c r="J391" s="362"/>
      <c r="K391" s="362"/>
      <c r="L391" s="362"/>
      <c r="M391" s="362"/>
      <c r="N391" s="362"/>
      <c r="O391" s="362"/>
      <c r="P391" s="362"/>
      <c r="Q391" s="362"/>
    </row>
    <row r="392" spans="1:17" s="304" customFormat="1" ht="18" hidden="1" customHeight="1">
      <c r="A392" s="300"/>
      <c r="B392" s="1080"/>
      <c r="C392" s="1082"/>
      <c r="D392" s="287">
        <f>SUM(D387)</f>
        <v>6017.7864</v>
      </c>
      <c r="E392" s="287">
        <f>SUM(E387:E391)</f>
        <v>5669.1100000000006</v>
      </c>
      <c r="F392" s="287">
        <f>SUM(F387:F391)</f>
        <v>5970.0199999999995</v>
      </c>
      <c r="G392" s="287">
        <f>SUM(G387:G391)</f>
        <v>6270.88</v>
      </c>
      <c r="H392" s="373"/>
      <c r="I392" s="373"/>
      <c r="J392" s="373"/>
      <c r="K392" s="373"/>
      <c r="L392" s="373"/>
      <c r="M392" s="373"/>
      <c r="N392" s="373"/>
      <c r="O392" s="373"/>
      <c r="P392" s="373"/>
      <c r="Q392" s="373"/>
    </row>
    <row r="393" spans="1:17" s="304" customFormat="1" ht="18" hidden="1" customHeight="1">
      <c r="A393" s="300"/>
      <c r="B393" s="1080"/>
      <c r="C393" s="1082" t="s">
        <v>887</v>
      </c>
      <c r="D393" s="287">
        <f>ROUND(D392*D2%,2)</f>
        <v>0</v>
      </c>
      <c r="E393" s="287">
        <f>ROUND(E392*D2,2)</f>
        <v>0</v>
      </c>
      <c r="F393" s="287">
        <f>ROUND(F392*D2,2)</f>
        <v>0</v>
      </c>
      <c r="G393" s="287">
        <f>ROUND(G392*D2,2)</f>
        <v>0</v>
      </c>
      <c r="H393" s="362"/>
      <c r="I393" s="362"/>
      <c r="J393" s="362"/>
      <c r="K393" s="362"/>
      <c r="L393" s="362"/>
      <c r="M393" s="362"/>
      <c r="N393" s="362"/>
      <c r="O393" s="362"/>
      <c r="P393" s="362"/>
      <c r="Q393" s="362"/>
    </row>
    <row r="394" spans="1:17" s="293" customFormat="1" ht="18" hidden="1" customHeight="1">
      <c r="C394" s="1084" t="s">
        <v>917</v>
      </c>
      <c r="D394" s="271">
        <f>SUM(D392:D393)</f>
        <v>6017.7864</v>
      </c>
      <c r="E394" s="271">
        <f>SUM(E392:E393)</f>
        <v>5669.1100000000006</v>
      </c>
      <c r="F394" s="271">
        <f>SUM(F392:F393)</f>
        <v>5970.0199999999995</v>
      </c>
      <c r="G394" s="271">
        <f>SUM(G392:G393)</f>
        <v>6270.88</v>
      </c>
      <c r="H394" s="443">
        <f t="shared" ref="H394:P394" si="43">SUM(H387:H393)</f>
        <v>0</v>
      </c>
      <c r="I394" s="443">
        <f t="shared" si="43"/>
        <v>154.80000000000001</v>
      </c>
      <c r="J394" s="443">
        <f t="shared" si="43"/>
        <v>0</v>
      </c>
      <c r="K394" s="443">
        <f t="shared" si="43"/>
        <v>0</v>
      </c>
      <c r="L394" s="443">
        <f t="shared" si="43"/>
        <v>309.88</v>
      </c>
      <c r="M394" s="443">
        <f t="shared" si="43"/>
        <v>0</v>
      </c>
      <c r="N394" s="443">
        <f t="shared" si="43"/>
        <v>0</v>
      </c>
      <c r="O394" s="443">
        <f t="shared" si="43"/>
        <v>0</v>
      </c>
      <c r="P394" s="443">
        <f t="shared" si="43"/>
        <v>5204.43</v>
      </c>
      <c r="Q394" s="443">
        <f>SUM(H394:P394)</f>
        <v>5669.1100000000006</v>
      </c>
    </row>
    <row r="395" spans="1:17" s="293" customFormat="1" ht="18" hidden="1" customHeight="1">
      <c r="C395" s="1084" t="s">
        <v>919</v>
      </c>
      <c r="D395" s="271"/>
      <c r="E395" s="271"/>
      <c r="F395" s="271"/>
      <c r="G395" s="271"/>
      <c r="H395" s="443">
        <f>H388</f>
        <v>0</v>
      </c>
      <c r="I395" s="443">
        <f>I387</f>
        <v>154.80000000000001</v>
      </c>
      <c r="J395" s="443">
        <f t="shared" ref="J395:O395" si="44">J387</f>
        <v>0</v>
      </c>
      <c r="K395" s="443">
        <f t="shared" si="44"/>
        <v>0</v>
      </c>
      <c r="L395" s="443">
        <f t="shared" si="44"/>
        <v>309.88</v>
      </c>
      <c r="M395" s="443">
        <f t="shared" si="44"/>
        <v>0</v>
      </c>
      <c r="N395" s="443">
        <f t="shared" si="44"/>
        <v>0</v>
      </c>
      <c r="O395" s="443">
        <f t="shared" si="44"/>
        <v>0</v>
      </c>
      <c r="P395" s="443">
        <f>P387+SUM(F388:F390)</f>
        <v>5505.34</v>
      </c>
      <c r="Q395" s="443">
        <f>SUM(H395:P395)</f>
        <v>5970.02</v>
      </c>
    </row>
    <row r="396" spans="1:17" s="292" customFormat="1" ht="89.25" hidden="1" customHeight="1">
      <c r="A396" s="1080" t="s">
        <v>1040</v>
      </c>
      <c r="B396" s="293">
        <v>22</v>
      </c>
      <c r="C396" s="1312" t="s">
        <v>1106</v>
      </c>
      <c r="D396" s="1312"/>
      <c r="E396" s="1312"/>
      <c r="F396" s="1312"/>
      <c r="G396" s="1312"/>
      <c r="H396" s="361"/>
      <c r="I396" s="361"/>
      <c r="J396" s="361"/>
      <c r="K396" s="361"/>
      <c r="L396" s="361"/>
      <c r="M396" s="361"/>
      <c r="N396" s="361"/>
      <c r="O396" s="361"/>
      <c r="P396" s="361"/>
      <c r="Q396" s="361"/>
    </row>
    <row r="397" spans="1:17" s="304" customFormat="1" ht="18" hidden="1" customHeight="1">
      <c r="A397" s="300"/>
      <c r="B397" s="1080"/>
      <c r="C397" s="1082" t="s">
        <v>225</v>
      </c>
      <c r="D397" s="287"/>
      <c r="E397" s="287"/>
      <c r="F397" s="287"/>
      <c r="G397" s="297"/>
      <c r="H397" s="362"/>
      <c r="I397" s="362"/>
      <c r="J397" s="362"/>
      <c r="K397" s="362"/>
      <c r="L397" s="362"/>
      <c r="M397" s="362"/>
      <c r="N397" s="362"/>
      <c r="O397" s="362"/>
      <c r="P397" s="362"/>
      <c r="Q397" s="362"/>
    </row>
    <row r="398" spans="1:17" s="304" customFormat="1" ht="18" hidden="1" customHeight="1">
      <c r="A398" s="300"/>
      <c r="B398" s="1080"/>
      <c r="C398" s="1082" t="s">
        <v>177</v>
      </c>
      <c r="D398" s="287"/>
      <c r="E398" s="287"/>
      <c r="F398" s="287"/>
      <c r="G398" s="297"/>
      <c r="H398" s="362"/>
      <c r="I398" s="362"/>
      <c r="J398" s="362"/>
      <c r="K398" s="362"/>
      <c r="L398" s="362"/>
      <c r="M398" s="362"/>
      <c r="N398" s="362"/>
      <c r="O398" s="362"/>
      <c r="P398" s="362"/>
      <c r="Q398" s="362"/>
    </row>
    <row r="399" spans="1:17" s="304" customFormat="1" ht="18" hidden="1" customHeight="1">
      <c r="A399" s="300"/>
      <c r="B399" s="1080"/>
      <c r="C399" s="1082" t="s">
        <v>104</v>
      </c>
      <c r="D399" s="287" t="s">
        <v>116</v>
      </c>
      <c r="E399" s="287">
        <v>72</v>
      </c>
      <c r="F399" s="287">
        <f>'lead 1'!M8</f>
        <v>4300</v>
      </c>
      <c r="G399" s="297">
        <f>ROUND(E399*F399/1000,2)</f>
        <v>309.60000000000002</v>
      </c>
      <c r="H399" s="362">
        <v>0</v>
      </c>
      <c r="I399" s="362">
        <f>G399</f>
        <v>309.60000000000002</v>
      </c>
      <c r="J399" s="362"/>
      <c r="K399" s="362"/>
      <c r="L399" s="362"/>
      <c r="M399" s="362"/>
      <c r="N399" s="362"/>
      <c r="O399" s="362"/>
      <c r="P399" s="362"/>
      <c r="Q399" s="362"/>
    </row>
    <row r="400" spans="1:17" s="304" customFormat="1" ht="18" hidden="1" customHeight="1">
      <c r="A400" s="300"/>
      <c r="B400" s="1080"/>
      <c r="C400" s="1082" t="s">
        <v>319</v>
      </c>
      <c r="D400" s="287" t="s">
        <v>95</v>
      </c>
      <c r="E400" s="287">
        <v>565</v>
      </c>
      <c r="F400" s="287">
        <f>'lead 1'!M15</f>
        <v>7114.6</v>
      </c>
      <c r="G400" s="297">
        <f>ROUND(E400*F400/1000,2)</f>
        <v>4019.75</v>
      </c>
      <c r="H400" s="362"/>
      <c r="I400" s="362"/>
      <c r="J400" s="362"/>
      <c r="K400" s="362"/>
      <c r="L400" s="362"/>
      <c r="M400" s="362"/>
      <c r="N400" s="362"/>
      <c r="O400" s="362"/>
      <c r="P400" s="362">
        <f>G400</f>
        <v>4019.75</v>
      </c>
      <c r="Q400" s="362"/>
    </row>
    <row r="401" spans="1:17" s="304" customFormat="1" ht="18" hidden="1" customHeight="1">
      <c r="A401" s="300"/>
      <c r="B401" s="1080"/>
      <c r="C401" s="1082" t="s">
        <v>208</v>
      </c>
      <c r="D401" s="287" t="s">
        <v>112</v>
      </c>
      <c r="E401" s="287">
        <v>0.2</v>
      </c>
      <c r="F401" s="287">
        <f>'lead 1'!M12</f>
        <v>1549.4</v>
      </c>
      <c r="G401" s="297">
        <f>ROUND(E401*F401,2)</f>
        <v>309.88</v>
      </c>
      <c r="H401" s="362"/>
      <c r="I401" s="362"/>
      <c r="J401" s="362"/>
      <c r="K401" s="362"/>
      <c r="L401" s="362">
        <f>G401</f>
        <v>309.88</v>
      </c>
      <c r="M401" s="362"/>
      <c r="N401" s="362"/>
      <c r="O401" s="362"/>
      <c r="P401" s="362"/>
      <c r="Q401" s="362"/>
    </row>
    <row r="402" spans="1:17" s="304" customFormat="1" ht="18" hidden="1" customHeight="1">
      <c r="A402" s="300"/>
      <c r="B402" s="1080"/>
      <c r="C402" s="1082" t="s">
        <v>211</v>
      </c>
      <c r="D402" s="287"/>
      <c r="E402" s="287"/>
      <c r="F402" s="287"/>
      <c r="G402" s="297"/>
      <c r="H402" s="362"/>
      <c r="I402" s="362"/>
      <c r="J402" s="362"/>
      <c r="K402" s="362"/>
      <c r="L402" s="362"/>
      <c r="M402" s="362"/>
      <c r="N402" s="362"/>
      <c r="O402" s="362"/>
      <c r="P402" s="362"/>
      <c r="Q402" s="362"/>
    </row>
    <row r="403" spans="1:17" s="304" customFormat="1" ht="18" hidden="1" customHeight="1">
      <c r="A403" s="300"/>
      <c r="B403" s="1080"/>
      <c r="C403" s="1082" t="s">
        <v>630</v>
      </c>
      <c r="D403" s="287" t="s">
        <v>186</v>
      </c>
      <c r="E403" s="287">
        <v>0.6</v>
      </c>
      <c r="F403" s="287">
        <f>'lead 1'!M31</f>
        <v>500</v>
      </c>
      <c r="G403" s="297">
        <f>ROUND(E403*F403,2)</f>
        <v>300</v>
      </c>
      <c r="H403" s="362"/>
      <c r="I403" s="362"/>
      <c r="J403" s="362"/>
      <c r="K403" s="362"/>
      <c r="L403" s="362"/>
      <c r="M403" s="362"/>
      <c r="N403" s="362"/>
      <c r="O403" s="362"/>
      <c r="P403" s="362">
        <f>G403</f>
        <v>300</v>
      </c>
      <c r="Q403" s="362"/>
    </row>
    <row r="404" spans="1:17" s="304" customFormat="1" ht="18" hidden="1" customHeight="1">
      <c r="A404" s="300"/>
      <c r="B404" s="1080"/>
      <c r="C404" s="1082" t="s">
        <v>631</v>
      </c>
      <c r="D404" s="287" t="s">
        <v>186</v>
      </c>
      <c r="E404" s="287">
        <v>0.6</v>
      </c>
      <c r="F404" s="287">
        <f>'lead 1'!M30</f>
        <v>460</v>
      </c>
      <c r="G404" s="297">
        <f>ROUND(E404*F404,2)</f>
        <v>276</v>
      </c>
      <c r="H404" s="362"/>
      <c r="I404" s="362"/>
      <c r="J404" s="362"/>
      <c r="K404" s="362"/>
      <c r="L404" s="362"/>
      <c r="M404" s="362"/>
      <c r="N404" s="362"/>
      <c r="O404" s="362"/>
      <c r="P404" s="362">
        <f>G404</f>
        <v>276</v>
      </c>
      <c r="Q404" s="362"/>
    </row>
    <row r="405" spans="1:17" s="304" customFormat="1" ht="18" hidden="1" customHeight="1">
      <c r="A405" s="300"/>
      <c r="B405" s="1080"/>
      <c r="C405" s="1082" t="s">
        <v>213</v>
      </c>
      <c r="D405" s="287" t="s">
        <v>186</v>
      </c>
      <c r="E405" s="287">
        <v>2.75</v>
      </c>
      <c r="F405" s="287">
        <f>'lead 1'!M28</f>
        <v>420</v>
      </c>
      <c r="G405" s="297">
        <f>ROUND(E405*F405,2)</f>
        <v>1155</v>
      </c>
      <c r="H405" s="362"/>
      <c r="I405" s="362"/>
      <c r="J405" s="362"/>
      <c r="K405" s="362"/>
      <c r="L405" s="362"/>
      <c r="M405" s="362"/>
      <c r="N405" s="362"/>
      <c r="O405" s="362"/>
      <c r="P405" s="362">
        <f>G405</f>
        <v>1155</v>
      </c>
      <c r="Q405" s="362"/>
    </row>
    <row r="406" spans="1:17" s="292" customFormat="1" ht="18" hidden="1" customHeight="1">
      <c r="B406" s="293"/>
      <c r="C406" s="305" t="str">
        <f>"Add "&amp;$G$1*100&amp;"% on Labour for Municipal Limits"</f>
        <v>Add 0% on Labour for Municipal Limits</v>
      </c>
      <c r="E406" s="306">
        <f>$D$3</f>
        <v>0</v>
      </c>
      <c r="F406" s="287">
        <f>SUM(G403:G405)</f>
        <v>1731</v>
      </c>
      <c r="G406" s="297">
        <f>ROUND(F406*E406,2)</f>
        <v>0</v>
      </c>
      <c r="H406" s="362"/>
      <c r="I406" s="362"/>
      <c r="J406" s="362"/>
      <c r="K406" s="362"/>
      <c r="L406" s="362"/>
      <c r="M406" s="362"/>
      <c r="N406" s="362"/>
      <c r="O406" s="362"/>
      <c r="P406" s="362">
        <f>G406</f>
        <v>0</v>
      </c>
      <c r="Q406" s="362"/>
    </row>
    <row r="407" spans="1:17" s="293" customFormat="1" ht="18" hidden="1" customHeight="1">
      <c r="C407" s="1084" t="s">
        <v>287</v>
      </c>
      <c r="D407" s="256"/>
      <c r="E407" s="256"/>
      <c r="F407" s="298"/>
      <c r="G407" s="298">
        <f>ROUND(SUM(G399:G406),2)</f>
        <v>6370.23</v>
      </c>
      <c r="H407" s="362"/>
      <c r="I407" s="362"/>
      <c r="J407" s="362"/>
      <c r="K407" s="362"/>
      <c r="L407" s="362"/>
      <c r="M407" s="362"/>
      <c r="N407" s="362"/>
      <c r="O407" s="362"/>
      <c r="P407" s="362"/>
      <c r="Q407" s="362"/>
    </row>
    <row r="408" spans="1:17" s="304" customFormat="1" ht="18" hidden="1" customHeight="1">
      <c r="A408" s="300"/>
      <c r="B408" s="1080"/>
      <c r="C408" s="1082"/>
      <c r="D408" s="256" t="s">
        <v>469</v>
      </c>
      <c r="E408" s="256" t="s">
        <v>409</v>
      </c>
      <c r="F408" s="256" t="s">
        <v>410</v>
      </c>
      <c r="G408" s="298" t="s">
        <v>411</v>
      </c>
      <c r="H408" s="362"/>
      <c r="I408" s="362"/>
      <c r="J408" s="362"/>
      <c r="K408" s="362"/>
      <c r="L408" s="362"/>
      <c r="M408" s="362"/>
      <c r="N408" s="362"/>
      <c r="O408" s="362"/>
      <c r="P408" s="362"/>
      <c r="Q408" s="362"/>
    </row>
    <row r="409" spans="1:17" s="293" customFormat="1" ht="18" hidden="1" customHeight="1">
      <c r="C409" s="1084"/>
      <c r="D409" s="256">
        <f>G407</f>
        <v>6370.23</v>
      </c>
      <c r="E409" s="256">
        <f>G407</f>
        <v>6370.23</v>
      </c>
      <c r="F409" s="256">
        <f>G407</f>
        <v>6370.23</v>
      </c>
      <c r="G409" s="256">
        <f>G407</f>
        <v>6370.23</v>
      </c>
      <c r="H409" s="362">
        <f>SUM(H399:H407)</f>
        <v>0</v>
      </c>
      <c r="I409" s="362">
        <f t="shared" ref="I409:P409" si="45">SUM(I399:I407)</f>
        <v>309.60000000000002</v>
      </c>
      <c r="J409" s="362">
        <f t="shared" si="45"/>
        <v>0</v>
      </c>
      <c r="K409" s="362">
        <f t="shared" si="45"/>
        <v>0</v>
      </c>
      <c r="L409" s="362">
        <f t="shared" si="45"/>
        <v>309.88</v>
      </c>
      <c r="M409" s="362">
        <f t="shared" si="45"/>
        <v>0</v>
      </c>
      <c r="N409" s="362">
        <f t="shared" si="45"/>
        <v>0</v>
      </c>
      <c r="O409" s="362">
        <f t="shared" si="45"/>
        <v>0</v>
      </c>
      <c r="P409" s="362">
        <f t="shared" si="45"/>
        <v>5750.75</v>
      </c>
      <c r="Q409" s="362">
        <f>SUM(I409:P409)</f>
        <v>6370.23</v>
      </c>
    </row>
    <row r="410" spans="1:17" s="304" customFormat="1" ht="18" hidden="1" customHeight="1">
      <c r="A410" s="300"/>
      <c r="B410" s="1080"/>
      <c r="C410" s="1082" t="s">
        <v>888</v>
      </c>
      <c r="D410" s="307">
        <f>ROUND(1/0.115,2)</f>
        <v>8.6999999999999993</v>
      </c>
      <c r="E410" s="297">
        <f>ROUND(D410*10.32,2)</f>
        <v>89.78</v>
      </c>
      <c r="F410" s="297">
        <f>ROUND(D410*10.32,2)</f>
        <v>89.78</v>
      </c>
      <c r="G410" s="297">
        <f>ROUND(D410*10.32,2)</f>
        <v>89.78</v>
      </c>
      <c r="H410" s="362"/>
      <c r="I410" s="362"/>
      <c r="J410" s="362"/>
      <c r="K410" s="362"/>
      <c r="L410" s="362"/>
      <c r="M410" s="362"/>
      <c r="N410" s="362"/>
      <c r="O410" s="362"/>
      <c r="P410" s="362">
        <f>E410</f>
        <v>89.78</v>
      </c>
      <c r="Q410" s="362"/>
    </row>
    <row r="411" spans="1:17" s="304" customFormat="1" ht="30" hidden="1" customHeight="1">
      <c r="A411" s="300"/>
      <c r="B411" s="1080"/>
      <c r="C411" s="1082" t="s">
        <v>889</v>
      </c>
      <c r="D411" s="307">
        <f>ROUND(1/0.115,2)</f>
        <v>8.6999999999999993</v>
      </c>
      <c r="E411" s="297">
        <f>ROUND(D411*79.46,2)</f>
        <v>691.3</v>
      </c>
      <c r="F411" s="297">
        <f>ROUND(D411*113.78,2)</f>
        <v>989.89</v>
      </c>
      <c r="G411" s="297">
        <f>ROUND(D411*148.09,2)</f>
        <v>1288.3800000000001</v>
      </c>
      <c r="H411" s="362"/>
      <c r="I411" s="362"/>
      <c r="J411" s="362"/>
      <c r="K411" s="362"/>
      <c r="L411" s="362"/>
      <c r="M411" s="362"/>
      <c r="N411" s="362"/>
      <c r="O411" s="362"/>
      <c r="P411" s="362">
        <f>E411</f>
        <v>691.3</v>
      </c>
      <c r="Q411" s="362"/>
    </row>
    <row r="412" spans="1:17" s="304" customFormat="1" ht="18" hidden="1" customHeight="1">
      <c r="A412" s="300"/>
      <c r="B412" s="1080"/>
      <c r="C412" s="1082" t="s">
        <v>415</v>
      </c>
      <c r="D412" s="287"/>
      <c r="E412" s="315"/>
      <c r="F412" s="315">
        <f>ROUND((E411+SUM(G403:G405))*0.1,2)</f>
        <v>242.23</v>
      </c>
      <c r="G412" s="315">
        <f>ROUND(F412*2,2)</f>
        <v>484.46</v>
      </c>
      <c r="H412" s="362"/>
      <c r="I412" s="362"/>
      <c r="J412" s="362"/>
      <c r="K412" s="362"/>
      <c r="L412" s="362"/>
      <c r="M412" s="362"/>
      <c r="N412" s="362"/>
      <c r="O412" s="362"/>
      <c r="P412" s="362">
        <f>E412</f>
        <v>0</v>
      </c>
      <c r="Q412" s="362"/>
    </row>
    <row r="413" spans="1:17" s="304" customFormat="1" ht="18" hidden="1" customHeight="1">
      <c r="A413" s="300"/>
      <c r="B413" s="1080"/>
      <c r="C413" s="305" t="str">
        <f>"Add "&amp;$G$1*100&amp;"% on Labour for Municipal Limits"</f>
        <v>Add 0% on Labour for Municipal Limits</v>
      </c>
      <c r="D413" s="287"/>
      <c r="E413" s="314">
        <f>ROUND(SUM(E411:E412)*$D$3,2)</f>
        <v>0</v>
      </c>
      <c r="F413" s="314">
        <f>ROUND(SUM(F411:F412)*$D$3,2)</f>
        <v>0</v>
      </c>
      <c r="G413" s="314">
        <f>ROUND(SUM(G411:G412)*$D$3,2)</f>
        <v>0</v>
      </c>
      <c r="H413" s="362"/>
      <c r="I413" s="362"/>
      <c r="J413" s="362"/>
      <c r="K413" s="362"/>
      <c r="L413" s="362"/>
      <c r="M413" s="362"/>
      <c r="N413" s="362"/>
      <c r="O413" s="362"/>
      <c r="P413" s="362"/>
      <c r="Q413" s="362"/>
    </row>
    <row r="414" spans="1:17" s="304" customFormat="1" ht="18" hidden="1" customHeight="1">
      <c r="A414" s="300"/>
      <c r="B414" s="1080"/>
      <c r="C414" s="1082"/>
      <c r="D414" s="287">
        <f>SUM(D409:D409)</f>
        <v>6370.23</v>
      </c>
      <c r="E414" s="297">
        <f>SUM(E409:E413)</f>
        <v>7151.3099999999995</v>
      </c>
      <c r="F414" s="297">
        <f>SUM(F409:F413)</f>
        <v>7692.1299999999992</v>
      </c>
      <c r="G414" s="297">
        <f>SUM(G409:G413)</f>
        <v>8232.8499999999985</v>
      </c>
      <c r="H414" s="362"/>
      <c r="I414" s="362"/>
      <c r="J414" s="362"/>
      <c r="K414" s="362"/>
      <c r="L414" s="362"/>
      <c r="M414" s="362"/>
      <c r="N414" s="362"/>
      <c r="O414" s="362"/>
      <c r="P414" s="362"/>
      <c r="Q414" s="362"/>
    </row>
    <row r="415" spans="1:17" s="304" customFormat="1" ht="18" hidden="1" customHeight="1">
      <c r="A415" s="300"/>
      <c r="B415" s="1080"/>
      <c r="C415" s="1082" t="s">
        <v>887</v>
      </c>
      <c r="D415" s="287">
        <f>ROUND(D414*D2%,2)</f>
        <v>0</v>
      </c>
      <c r="E415" s="297">
        <f>ROUND(E414*E2%,2)</f>
        <v>0</v>
      </c>
      <c r="F415" s="297">
        <f>ROUND(F414*F2%,2)</f>
        <v>0</v>
      </c>
      <c r="G415" s="297">
        <f>ROUND(G414*G2%,2)</f>
        <v>0</v>
      </c>
      <c r="H415" s="362"/>
      <c r="I415" s="362"/>
      <c r="J415" s="362"/>
      <c r="K415" s="362"/>
      <c r="L415" s="362"/>
      <c r="M415" s="362"/>
      <c r="N415" s="362"/>
      <c r="O415" s="362"/>
      <c r="P415" s="362"/>
      <c r="Q415" s="362"/>
    </row>
    <row r="416" spans="1:17" s="304" customFormat="1" ht="18" hidden="1" customHeight="1">
      <c r="A416" s="300"/>
      <c r="B416" s="1080"/>
      <c r="C416" s="1084" t="s">
        <v>1121</v>
      </c>
      <c r="D416" s="287">
        <f>SUM(D414:D415)</f>
        <v>6370.23</v>
      </c>
      <c r="E416" s="297">
        <f>SUM(E414:E415)</f>
        <v>7151.3099999999995</v>
      </c>
      <c r="F416" s="297">
        <f>SUM(F414:F415)</f>
        <v>7692.1299999999992</v>
      </c>
      <c r="G416" s="297">
        <f>SUM(G414:G415)</f>
        <v>8232.8499999999985</v>
      </c>
      <c r="H416" s="362">
        <f>H409</f>
        <v>0</v>
      </c>
      <c r="I416" s="362">
        <f t="shared" ref="I416:O416" si="46">I409</f>
        <v>309.60000000000002</v>
      </c>
      <c r="J416" s="362">
        <f t="shared" si="46"/>
        <v>0</v>
      </c>
      <c r="K416" s="362">
        <f t="shared" si="46"/>
        <v>0</v>
      </c>
      <c r="L416" s="362">
        <f t="shared" si="46"/>
        <v>309.88</v>
      </c>
      <c r="M416" s="362">
        <f t="shared" si="46"/>
        <v>0</v>
      </c>
      <c r="N416" s="362">
        <f t="shared" si="46"/>
        <v>0</v>
      </c>
      <c r="O416" s="362">
        <f t="shared" si="46"/>
        <v>0</v>
      </c>
      <c r="P416" s="362">
        <f>SUM(P409:P415)</f>
        <v>6531.83</v>
      </c>
      <c r="Q416" s="362">
        <f>SUM(H416:P416)</f>
        <v>7151.3099999999995</v>
      </c>
    </row>
    <row r="417" spans="1:17" s="293" customFormat="1" ht="18" hidden="1" customHeight="1">
      <c r="C417" s="1084" t="s">
        <v>1122</v>
      </c>
      <c r="D417" s="256"/>
      <c r="E417" s="256"/>
      <c r="F417" s="298"/>
      <c r="G417" s="298"/>
      <c r="H417" s="361">
        <f>SUM(H399:H415)</f>
        <v>0</v>
      </c>
      <c r="I417" s="361">
        <f>I409</f>
        <v>309.60000000000002</v>
      </c>
      <c r="J417" s="361">
        <f>SUM(J399:J415)</f>
        <v>0</v>
      </c>
      <c r="K417" s="361">
        <f>SUM(K399:K415)</f>
        <v>0</v>
      </c>
      <c r="L417" s="361">
        <f>L409</f>
        <v>309.88</v>
      </c>
      <c r="M417" s="361">
        <f>SUM(M399:M415)</f>
        <v>0</v>
      </c>
      <c r="N417" s="361">
        <f>SUM(N399:N415)</f>
        <v>0</v>
      </c>
      <c r="O417" s="361">
        <f>SUM(O399:O415)</f>
        <v>0</v>
      </c>
      <c r="P417" s="443">
        <f>P409+SUM(F410:F412)</f>
        <v>7072.65</v>
      </c>
      <c r="Q417" s="361">
        <f>SUM(H417:P417)</f>
        <v>7692.1299999999992</v>
      </c>
    </row>
    <row r="418" spans="1:17" s="292" customFormat="1" ht="59.25" customHeight="1">
      <c r="A418" s="1080" t="s">
        <v>360</v>
      </c>
      <c r="B418" s="293">
        <v>17</v>
      </c>
      <c r="C418" s="1312" t="s">
        <v>1123</v>
      </c>
      <c r="D418" s="1312"/>
      <c r="E418" s="1312"/>
      <c r="F418" s="1312"/>
      <c r="G418" s="1312"/>
      <c r="H418" s="361"/>
      <c r="I418" s="361"/>
      <c r="J418" s="361"/>
      <c r="K418" s="361"/>
      <c r="L418" s="361"/>
      <c r="M418" s="361"/>
      <c r="N418" s="361"/>
      <c r="O418" s="361"/>
      <c r="P418" s="361"/>
      <c r="Q418" s="361"/>
    </row>
    <row r="419" spans="1:17" s="304" customFormat="1" ht="18" customHeight="1">
      <c r="A419" s="300"/>
      <c r="B419" s="1080"/>
      <c r="C419" s="1082" t="s">
        <v>326</v>
      </c>
      <c r="D419" s="287"/>
      <c r="E419" s="287"/>
      <c r="F419" s="287"/>
      <c r="G419" s="297"/>
      <c r="H419" s="362"/>
      <c r="I419" s="362"/>
      <c r="J419" s="362"/>
      <c r="K419" s="362"/>
      <c r="L419" s="362"/>
      <c r="M419" s="362"/>
      <c r="N419" s="362"/>
      <c r="O419" s="362"/>
      <c r="P419" s="362"/>
      <c r="Q419" s="362"/>
    </row>
    <row r="420" spans="1:17" s="304" customFormat="1" ht="18" customHeight="1">
      <c r="A420" s="300"/>
      <c r="B420" s="1080"/>
      <c r="C420" s="1082" t="s">
        <v>177</v>
      </c>
      <c r="D420" s="287"/>
      <c r="E420" s="287"/>
      <c r="F420" s="287"/>
      <c r="G420" s="297"/>
      <c r="H420" s="361"/>
      <c r="I420" s="361"/>
      <c r="J420" s="361"/>
      <c r="K420" s="361"/>
      <c r="L420" s="361"/>
      <c r="M420" s="361"/>
      <c r="N420" s="361"/>
      <c r="O420" s="361"/>
      <c r="P420" s="361"/>
      <c r="Q420" s="361"/>
    </row>
    <row r="421" spans="1:17" s="304" customFormat="1" ht="18" customHeight="1">
      <c r="A421" s="300"/>
      <c r="B421" s="1080"/>
      <c r="C421" s="1082" t="s">
        <v>362</v>
      </c>
      <c r="D421" s="287"/>
      <c r="E421" s="316"/>
      <c r="F421" s="287"/>
      <c r="G421" s="297"/>
      <c r="H421" s="362"/>
      <c r="I421" s="362"/>
      <c r="J421" s="362"/>
      <c r="K421" s="362"/>
      <c r="L421" s="362"/>
      <c r="M421" s="362"/>
      <c r="N421" s="362"/>
      <c r="O421" s="362"/>
      <c r="P421" s="362"/>
      <c r="Q421" s="362"/>
    </row>
    <row r="422" spans="1:17" s="304" customFormat="1" ht="18" customHeight="1">
      <c r="A422" s="300"/>
      <c r="B422" s="1080"/>
      <c r="C422" s="1082" t="s">
        <v>104</v>
      </c>
      <c r="D422" s="287" t="s">
        <v>116</v>
      </c>
      <c r="E422" s="287">
        <v>31.7</v>
      </c>
      <c r="F422" s="287">
        <f>'lead 1'!M8</f>
        <v>4300</v>
      </c>
      <c r="G422" s="297">
        <f>ROUND(E422*F422/1000,2)</f>
        <v>136.31</v>
      </c>
      <c r="H422" s="362">
        <v>0</v>
      </c>
      <c r="I422" s="362">
        <f>G422</f>
        <v>136.31</v>
      </c>
      <c r="J422" s="362"/>
      <c r="K422" s="362"/>
      <c r="L422" s="362"/>
      <c r="M422" s="362"/>
      <c r="N422" s="362"/>
      <c r="O422" s="362"/>
      <c r="P422" s="362"/>
      <c r="Q422" s="362"/>
    </row>
    <row r="423" spans="1:17" s="304" customFormat="1" ht="18" customHeight="1">
      <c r="A423" s="300"/>
      <c r="B423" s="1080"/>
      <c r="C423" s="1082" t="s">
        <v>472</v>
      </c>
      <c r="D423" s="287" t="s">
        <v>112</v>
      </c>
      <c r="E423" s="287">
        <v>0.11</v>
      </c>
      <c r="F423" s="287">
        <f>'lead 1'!M12</f>
        <v>1549.4</v>
      </c>
      <c r="G423" s="297">
        <f>ROUND(E423*F423,2)</f>
        <v>170.43</v>
      </c>
      <c r="H423" s="362"/>
      <c r="I423" s="362"/>
      <c r="J423" s="362"/>
      <c r="K423" s="362">
        <f>G423</f>
        <v>170.43</v>
      </c>
      <c r="L423" s="362"/>
      <c r="M423" s="362"/>
      <c r="N423" s="362"/>
      <c r="O423" s="362"/>
      <c r="P423" s="362"/>
      <c r="Q423" s="362"/>
    </row>
    <row r="424" spans="1:17" s="304" customFormat="1" ht="18" customHeight="1">
      <c r="A424" s="300"/>
      <c r="B424" s="1080"/>
      <c r="C424" s="1082" t="s">
        <v>363</v>
      </c>
      <c r="D424" s="287"/>
      <c r="E424" s="316"/>
      <c r="F424" s="317"/>
      <c r="G424" s="297"/>
      <c r="H424" s="362"/>
      <c r="I424" s="362"/>
      <c r="J424" s="362"/>
      <c r="K424" s="362"/>
      <c r="L424" s="362"/>
      <c r="M424" s="362"/>
      <c r="N424" s="362"/>
      <c r="O424" s="362"/>
      <c r="P424" s="362"/>
      <c r="Q424" s="362"/>
    </row>
    <row r="425" spans="1:17" s="304" customFormat="1" ht="18" customHeight="1">
      <c r="A425" s="300"/>
      <c r="B425" s="1080"/>
      <c r="C425" s="1082" t="s">
        <v>104</v>
      </c>
      <c r="D425" s="287" t="s">
        <v>116</v>
      </c>
      <c r="E425" s="287">
        <v>19.2</v>
      </c>
      <c r="F425" s="287">
        <f>'lead 1'!M8</f>
        <v>4300</v>
      </c>
      <c r="G425" s="297">
        <f>ROUND(E425*F425/1000,2)</f>
        <v>82.56</v>
      </c>
      <c r="H425" s="362"/>
      <c r="I425" s="362">
        <f>G425</f>
        <v>82.56</v>
      </c>
      <c r="J425" s="362"/>
      <c r="K425" s="362"/>
      <c r="L425" s="362"/>
      <c r="M425" s="362"/>
      <c r="N425" s="362"/>
      <c r="O425" s="362"/>
      <c r="P425" s="362"/>
      <c r="Q425" s="362"/>
    </row>
    <row r="426" spans="1:17" s="304" customFormat="1" ht="18" customHeight="1">
      <c r="A426" s="300"/>
      <c r="B426" s="1080"/>
      <c r="C426" s="1082" t="s">
        <v>208</v>
      </c>
      <c r="D426" s="287" t="s">
        <v>112</v>
      </c>
      <c r="E426" s="287">
        <v>0.04</v>
      </c>
      <c r="F426" s="287">
        <f>'lead 1'!M12</f>
        <v>1549.4</v>
      </c>
      <c r="G426" s="297">
        <f>ROUND(E426*F426,2)</f>
        <v>61.98</v>
      </c>
      <c r="H426" s="362"/>
      <c r="I426" s="362"/>
      <c r="J426" s="362"/>
      <c r="K426" s="362">
        <f>G426</f>
        <v>61.98</v>
      </c>
      <c r="L426" s="362"/>
      <c r="M426" s="362"/>
      <c r="N426" s="362"/>
      <c r="O426" s="362"/>
      <c r="P426" s="362"/>
      <c r="Q426" s="362"/>
    </row>
    <row r="427" spans="1:17" s="304" customFormat="1" ht="18" customHeight="1">
      <c r="A427" s="300"/>
      <c r="B427" s="1080"/>
      <c r="C427" s="1082" t="s">
        <v>211</v>
      </c>
      <c r="D427" s="287"/>
      <c r="E427" s="287"/>
      <c r="F427" s="287"/>
      <c r="G427" s="297"/>
      <c r="H427" s="362"/>
      <c r="I427" s="362"/>
      <c r="J427" s="362"/>
      <c r="K427" s="362"/>
      <c r="L427" s="362"/>
      <c r="M427" s="362"/>
      <c r="N427" s="362"/>
      <c r="O427" s="362"/>
      <c r="P427" s="362"/>
      <c r="Q427" s="362"/>
    </row>
    <row r="428" spans="1:17" s="304" customFormat="1" ht="18" customHeight="1">
      <c r="A428" s="300"/>
      <c r="B428" s="1080"/>
      <c r="C428" s="1082" t="s">
        <v>630</v>
      </c>
      <c r="D428" s="287" t="s">
        <v>186</v>
      </c>
      <c r="E428" s="287">
        <v>0.45</v>
      </c>
      <c r="F428" s="287">
        <f>'lead 1'!M31</f>
        <v>500</v>
      </c>
      <c r="G428" s="297">
        <f>ROUND(E428*F428,2)</f>
        <v>225</v>
      </c>
      <c r="H428" s="362"/>
      <c r="I428" s="362"/>
      <c r="J428" s="362"/>
      <c r="K428" s="362"/>
      <c r="L428" s="362"/>
      <c r="M428" s="362"/>
      <c r="N428" s="362"/>
      <c r="O428" s="362"/>
      <c r="P428" s="362">
        <f>G428</f>
        <v>225</v>
      </c>
      <c r="Q428" s="362"/>
    </row>
    <row r="429" spans="1:17" s="304" customFormat="1" ht="18" customHeight="1">
      <c r="A429" s="300"/>
      <c r="B429" s="1080"/>
      <c r="C429" s="1082" t="s">
        <v>631</v>
      </c>
      <c r="D429" s="287" t="s">
        <v>186</v>
      </c>
      <c r="E429" s="287">
        <v>1.05</v>
      </c>
      <c r="F429" s="287">
        <f>'lead 1'!M30</f>
        <v>460</v>
      </c>
      <c r="G429" s="297">
        <f>ROUND(E429*F429,2)</f>
        <v>483</v>
      </c>
      <c r="H429" s="362"/>
      <c r="I429" s="362"/>
      <c r="J429" s="362"/>
      <c r="K429" s="362"/>
      <c r="L429" s="362"/>
      <c r="M429" s="362"/>
      <c r="N429" s="362"/>
      <c r="O429" s="362"/>
      <c r="P429" s="362">
        <f>G429</f>
        <v>483</v>
      </c>
      <c r="Q429" s="362"/>
    </row>
    <row r="430" spans="1:17" s="304" customFormat="1" ht="18" customHeight="1">
      <c r="A430" s="300"/>
      <c r="B430" s="1080"/>
      <c r="C430" s="1082" t="s">
        <v>213</v>
      </c>
      <c r="D430" s="287" t="s">
        <v>186</v>
      </c>
      <c r="E430" s="287">
        <v>2.8</v>
      </c>
      <c r="F430" s="287">
        <f>'lead 1'!M28</f>
        <v>420</v>
      </c>
      <c r="G430" s="297">
        <f>ROUND(E430*F430,2)</f>
        <v>1176</v>
      </c>
      <c r="H430" s="1054"/>
      <c r="I430" s="1053"/>
      <c r="J430" s="1053"/>
      <c r="K430" s="1053"/>
      <c r="L430" s="1053"/>
      <c r="M430" s="364"/>
      <c r="N430" s="364"/>
      <c r="O430" s="364"/>
      <c r="P430" s="362">
        <f>G430</f>
        <v>1176</v>
      </c>
      <c r="Q430" s="364"/>
    </row>
    <row r="431" spans="1:17" s="292" customFormat="1" ht="18" customHeight="1">
      <c r="B431" s="293"/>
      <c r="C431" s="305" t="str">
        <f>"Add "&amp;$G$1*100&amp;"% on Labour for Municipal Limits"</f>
        <v>Add 0% on Labour for Municipal Limits</v>
      </c>
      <c r="E431" s="306">
        <f>$D$3</f>
        <v>0</v>
      </c>
      <c r="F431" s="287">
        <f>SUM(G428:G430)</f>
        <v>1884</v>
      </c>
      <c r="G431" s="297">
        <f>ROUND(F431*E431,2)</f>
        <v>0</v>
      </c>
      <c r="H431" s="362"/>
      <c r="I431" s="362"/>
      <c r="J431" s="362"/>
      <c r="K431" s="362"/>
      <c r="L431" s="362"/>
      <c r="M431" s="362"/>
      <c r="N431" s="362"/>
      <c r="O431" s="362"/>
      <c r="P431" s="362">
        <f>G431</f>
        <v>0</v>
      </c>
      <c r="Q431" s="362"/>
    </row>
    <row r="432" spans="1:17" s="293" customFormat="1" ht="18" customHeight="1">
      <c r="C432" s="1084" t="s">
        <v>473</v>
      </c>
      <c r="D432" s="256"/>
      <c r="E432" s="256"/>
      <c r="F432" s="298" t="s">
        <v>438</v>
      </c>
      <c r="G432" s="298">
        <f>ROUND(SUM(G422:G431),2)</f>
        <v>2335.2800000000002</v>
      </c>
      <c r="H432" s="361">
        <f>SUM(H422:H430)</f>
        <v>0</v>
      </c>
      <c r="I432" s="361">
        <f t="shared" ref="I432:P432" si="47">SUM(I422:I430)</f>
        <v>218.87</v>
      </c>
      <c r="J432" s="361">
        <f t="shared" si="47"/>
        <v>0</v>
      </c>
      <c r="K432" s="361">
        <f t="shared" si="47"/>
        <v>232.41</v>
      </c>
      <c r="L432" s="361">
        <f t="shared" si="47"/>
        <v>0</v>
      </c>
      <c r="M432" s="361">
        <f t="shared" si="47"/>
        <v>0</v>
      </c>
      <c r="N432" s="361">
        <f t="shared" si="47"/>
        <v>0</v>
      </c>
      <c r="O432" s="361">
        <f t="shared" si="47"/>
        <v>0</v>
      </c>
      <c r="P432" s="361">
        <f t="shared" si="47"/>
        <v>1884</v>
      </c>
      <c r="Q432" s="361"/>
    </row>
    <row r="433" spans="1:17" s="304" customFormat="1" ht="18" customHeight="1">
      <c r="A433" s="300"/>
      <c r="B433" s="1080"/>
      <c r="C433" s="1082"/>
      <c r="D433" s="256" t="s">
        <v>469</v>
      </c>
      <c r="E433" s="256" t="s">
        <v>409</v>
      </c>
      <c r="F433" s="256" t="s">
        <v>410</v>
      </c>
      <c r="G433" s="298" t="s">
        <v>411</v>
      </c>
      <c r="H433" s="361"/>
      <c r="I433" s="361"/>
      <c r="J433" s="361"/>
      <c r="K433" s="361"/>
      <c r="L433" s="361"/>
      <c r="M433" s="361"/>
      <c r="N433" s="361"/>
      <c r="O433" s="361"/>
      <c r="P433" s="361"/>
      <c r="Q433" s="361"/>
    </row>
    <row r="434" spans="1:17" s="304" customFormat="1" ht="18" customHeight="1">
      <c r="A434" s="300"/>
      <c r="B434" s="1080"/>
      <c r="C434" s="1082" t="s">
        <v>412</v>
      </c>
      <c r="D434" s="287">
        <f>(G432)*0.14+G432</f>
        <v>2662.2192000000005</v>
      </c>
      <c r="E434" s="309">
        <f>G432</f>
        <v>2335.2800000000002</v>
      </c>
      <c r="F434" s="309">
        <f>G432</f>
        <v>2335.2800000000002</v>
      </c>
      <c r="G434" s="297">
        <f>G432</f>
        <v>2335.2800000000002</v>
      </c>
      <c r="H434" s="361">
        <f>SUM(H424:H433)</f>
        <v>0</v>
      </c>
      <c r="I434" s="361">
        <f>I432</f>
        <v>218.87</v>
      </c>
      <c r="J434" s="361">
        <f t="shared" ref="J434:P434" si="48">J432</f>
        <v>0</v>
      </c>
      <c r="K434" s="361">
        <f t="shared" si="48"/>
        <v>232.41</v>
      </c>
      <c r="L434" s="361">
        <f t="shared" si="48"/>
        <v>0</v>
      </c>
      <c r="M434" s="361">
        <f t="shared" si="48"/>
        <v>0</v>
      </c>
      <c r="N434" s="361">
        <f t="shared" si="48"/>
        <v>0</v>
      </c>
      <c r="O434" s="361">
        <f t="shared" si="48"/>
        <v>0</v>
      </c>
      <c r="P434" s="361">
        <f t="shared" si="48"/>
        <v>1884</v>
      </c>
      <c r="Q434" s="361"/>
    </row>
    <row r="435" spans="1:17" s="304" customFormat="1" ht="18" customHeight="1">
      <c r="A435" s="300"/>
      <c r="B435" s="1080"/>
      <c r="C435" s="1082" t="s">
        <v>890</v>
      </c>
      <c r="D435" s="310" t="s">
        <v>474</v>
      </c>
      <c r="E435" s="309">
        <f>ROUND(D435*1.03,2)</f>
        <v>10.3</v>
      </c>
      <c r="F435" s="297">
        <f>ROUND(D435*1.03,2)</f>
        <v>10.3</v>
      </c>
      <c r="G435" s="297">
        <f>ROUND(D435*1.03,2)</f>
        <v>10.3</v>
      </c>
      <c r="H435" s="362"/>
      <c r="I435" s="362"/>
      <c r="J435" s="362"/>
      <c r="K435" s="362"/>
      <c r="L435" s="362"/>
      <c r="M435" s="362"/>
      <c r="N435" s="362"/>
      <c r="O435" s="362"/>
      <c r="P435" s="362">
        <f>E435</f>
        <v>10.3</v>
      </c>
      <c r="Q435" s="362"/>
    </row>
    <row r="436" spans="1:17" s="304" customFormat="1" ht="24" customHeight="1">
      <c r="A436" s="300"/>
      <c r="B436" s="1080"/>
      <c r="C436" s="1082" t="s">
        <v>891</v>
      </c>
      <c r="D436" s="310" t="s">
        <v>474</v>
      </c>
      <c r="E436" s="309">
        <f>ROUND(D436*7.95,2)</f>
        <v>79.5</v>
      </c>
      <c r="F436" s="309">
        <f>ROUND(D436*11.38,2)</f>
        <v>113.8</v>
      </c>
      <c r="G436" s="297">
        <f>ROUND(D436*14.81,2)</f>
        <v>148.1</v>
      </c>
      <c r="H436" s="362"/>
      <c r="I436" s="362"/>
      <c r="J436" s="362"/>
      <c r="K436" s="362"/>
      <c r="L436" s="362"/>
      <c r="M436" s="362"/>
      <c r="N436" s="362"/>
      <c r="O436" s="362"/>
      <c r="P436" s="362">
        <f>E436</f>
        <v>79.5</v>
      </c>
      <c r="Q436" s="362"/>
    </row>
    <row r="437" spans="1:17" s="304" customFormat="1" ht="18" customHeight="1">
      <c r="A437" s="300"/>
      <c r="B437" s="1080"/>
      <c r="C437" s="1082" t="s">
        <v>475</v>
      </c>
      <c r="D437" s="306" t="s">
        <v>474</v>
      </c>
      <c r="E437" s="314"/>
      <c r="F437" s="314">
        <f>((SUM(G428:G430)+E436)*D437/100)</f>
        <v>196.35</v>
      </c>
      <c r="G437" s="315">
        <f>F437*2</f>
        <v>392.7</v>
      </c>
      <c r="H437" s="361"/>
      <c r="I437" s="361"/>
      <c r="J437" s="361"/>
      <c r="K437" s="361"/>
      <c r="L437" s="361"/>
      <c r="M437" s="361"/>
      <c r="N437" s="361"/>
      <c r="O437" s="361"/>
      <c r="P437" s="361"/>
      <c r="Q437" s="361"/>
    </row>
    <row r="438" spans="1:17" s="304" customFormat="1" ht="18" customHeight="1">
      <c r="A438" s="300"/>
      <c r="B438" s="1080"/>
      <c r="C438" s="305" t="str">
        <f>"Add "&amp;$G$1*100&amp;"% on Labour for Municipal Limits"</f>
        <v>Add 0% on Labour for Municipal Limits</v>
      </c>
      <c r="D438" s="287"/>
      <c r="E438" s="314">
        <f>ROUND(SUM(E436:E437)*$D$3,2)</f>
        <v>0</v>
      </c>
      <c r="F438" s="314">
        <f>ROUND(SUM(F436:F437)*$D$3,2)</f>
        <v>0</v>
      </c>
      <c r="G438" s="314">
        <f>ROUND(SUM(G436:G437)*$D$3,2)</f>
        <v>0</v>
      </c>
      <c r="H438" s="362"/>
      <c r="I438" s="362"/>
      <c r="J438" s="362"/>
      <c r="K438" s="362"/>
      <c r="L438" s="362"/>
      <c r="M438" s="362"/>
      <c r="N438" s="362"/>
      <c r="O438" s="362"/>
      <c r="P438" s="362"/>
      <c r="Q438" s="362"/>
    </row>
    <row r="439" spans="1:17" s="304" customFormat="1" ht="18" customHeight="1">
      <c r="A439" s="300"/>
      <c r="B439" s="1080"/>
      <c r="C439" s="1082"/>
      <c r="D439" s="318">
        <f>SUM(D434)</f>
        <v>2662.2192000000005</v>
      </c>
      <c r="E439" s="309">
        <f>SUM(E434:E438)</f>
        <v>2425.0800000000004</v>
      </c>
      <c r="F439" s="309">
        <f>SUM(F434:F438)</f>
        <v>2655.7300000000005</v>
      </c>
      <c r="G439" s="309">
        <f>SUM(G434:G438)</f>
        <v>2886.38</v>
      </c>
      <c r="H439" s="362"/>
      <c r="I439" s="362"/>
      <c r="J439" s="362"/>
      <c r="K439" s="362"/>
      <c r="L439" s="362"/>
      <c r="M439" s="362"/>
      <c r="N439" s="362"/>
      <c r="O439" s="362"/>
      <c r="P439" s="362"/>
      <c r="Q439" s="362"/>
    </row>
    <row r="440" spans="1:17" s="304" customFormat="1" ht="18" customHeight="1">
      <c r="A440" s="300"/>
      <c r="B440" s="1080"/>
      <c r="C440" s="1082" t="s">
        <v>887</v>
      </c>
      <c r="D440" s="309">
        <f>ROUND(D439*D2,2)</f>
        <v>0</v>
      </c>
      <c r="E440" s="309">
        <f>ROUND(E439*D2,2)</f>
        <v>0</v>
      </c>
      <c r="F440" s="309">
        <f>ROUND(F439*D2,2)</f>
        <v>0</v>
      </c>
      <c r="G440" s="309">
        <f>ROUND(G439*D2,2)</f>
        <v>0</v>
      </c>
      <c r="H440" s="362"/>
      <c r="I440" s="362"/>
      <c r="J440" s="362"/>
      <c r="K440" s="362"/>
      <c r="L440" s="362"/>
      <c r="M440" s="362"/>
      <c r="N440" s="362"/>
      <c r="O440" s="362"/>
      <c r="P440" s="362"/>
      <c r="Q440" s="362"/>
    </row>
    <row r="441" spans="1:17" s="293" customFormat="1" ht="18" customHeight="1">
      <c r="C441" s="1084" t="s">
        <v>473</v>
      </c>
      <c r="D441" s="271">
        <f>SUM(D439:D440)</f>
        <v>2662.2192000000005</v>
      </c>
      <c r="E441" s="271">
        <f>SUM(E439:E440)</f>
        <v>2425.0800000000004</v>
      </c>
      <c r="F441" s="271">
        <f>SUM(F439:F440)</f>
        <v>2655.7300000000005</v>
      </c>
      <c r="G441" s="271">
        <f>SUM(G439:G440)</f>
        <v>2886.38</v>
      </c>
      <c r="H441" s="361">
        <f>SUM(H433:H440)</f>
        <v>0</v>
      </c>
      <c r="I441" s="361">
        <f t="shared" ref="I441:P441" si="49">SUM(I433:I440)</f>
        <v>218.87</v>
      </c>
      <c r="J441" s="361">
        <f t="shared" si="49"/>
        <v>0</v>
      </c>
      <c r="K441" s="361">
        <f t="shared" si="49"/>
        <v>232.41</v>
      </c>
      <c r="L441" s="361">
        <f t="shared" si="49"/>
        <v>0</v>
      </c>
      <c r="M441" s="361">
        <f t="shared" si="49"/>
        <v>0</v>
      </c>
      <c r="N441" s="361">
        <f t="shared" si="49"/>
        <v>0</v>
      </c>
      <c r="O441" s="361">
        <f t="shared" si="49"/>
        <v>0</v>
      </c>
      <c r="P441" s="361">
        <f t="shared" si="49"/>
        <v>1973.8</v>
      </c>
      <c r="Q441" s="361"/>
    </row>
    <row r="442" spans="1:17" s="293" customFormat="1" ht="18" customHeight="1">
      <c r="C442" s="1084" t="s">
        <v>924</v>
      </c>
      <c r="D442" s="298">
        <f>ROUND(D441/10,2)</f>
        <v>266.22000000000003</v>
      </c>
      <c r="E442" s="298">
        <f>ROUND(E441/10,2)</f>
        <v>242.51</v>
      </c>
      <c r="F442" s="298">
        <f>ROUND(F441/10,2)</f>
        <v>265.57</v>
      </c>
      <c r="G442" s="298">
        <f>ROUND(G441/10,2)</f>
        <v>288.64</v>
      </c>
      <c r="H442" s="362">
        <f>ROUND(H441/10,2)</f>
        <v>0</v>
      </c>
      <c r="I442" s="362">
        <f t="shared" ref="I442:P442" si="50">ROUND(I441/10,2)</f>
        <v>21.89</v>
      </c>
      <c r="J442" s="362">
        <f t="shared" si="50"/>
        <v>0</v>
      </c>
      <c r="K442" s="362">
        <f t="shared" si="50"/>
        <v>23.24</v>
      </c>
      <c r="L442" s="362">
        <f t="shared" si="50"/>
        <v>0</v>
      </c>
      <c r="M442" s="362">
        <f t="shared" si="50"/>
        <v>0</v>
      </c>
      <c r="N442" s="362">
        <f t="shared" si="50"/>
        <v>0</v>
      </c>
      <c r="O442" s="362">
        <f t="shared" si="50"/>
        <v>0</v>
      </c>
      <c r="P442" s="362">
        <f t="shared" si="50"/>
        <v>197.38</v>
      </c>
      <c r="Q442" s="362">
        <f>SUM(H442:P442)</f>
        <v>242.51</v>
      </c>
    </row>
    <row r="443" spans="1:17" s="293" customFormat="1" ht="18" hidden="1" customHeight="1">
      <c r="C443" s="1084" t="s">
        <v>926</v>
      </c>
      <c r="D443" s="298"/>
      <c r="E443" s="298"/>
      <c r="F443" s="298"/>
      <c r="G443" s="298"/>
      <c r="H443" s="362">
        <f>H434</f>
        <v>0</v>
      </c>
      <c r="I443" s="362">
        <f t="shared" ref="I443:O443" si="51">I434</f>
        <v>218.87</v>
      </c>
      <c r="J443" s="362">
        <f t="shared" si="51"/>
        <v>0</v>
      </c>
      <c r="K443" s="362">
        <f t="shared" si="51"/>
        <v>232.41</v>
      </c>
      <c r="L443" s="362">
        <f t="shared" si="51"/>
        <v>0</v>
      </c>
      <c r="M443" s="362">
        <f t="shared" si="51"/>
        <v>0</v>
      </c>
      <c r="N443" s="362">
        <f t="shared" si="51"/>
        <v>0</v>
      </c>
      <c r="O443" s="362">
        <f t="shared" si="51"/>
        <v>0</v>
      </c>
      <c r="P443" s="362">
        <f>P434+SUM(F435:F437)</f>
        <v>2204.4499999999998</v>
      </c>
      <c r="Q443" s="362"/>
    </row>
    <row r="444" spans="1:17" s="293" customFormat="1" ht="18" hidden="1" customHeight="1">
      <c r="C444" s="1084" t="s">
        <v>925</v>
      </c>
      <c r="D444" s="298"/>
      <c r="E444" s="298"/>
      <c r="F444" s="298"/>
      <c r="G444" s="298"/>
      <c r="H444" s="362">
        <f>ROUND(H443/10,2)</f>
        <v>0</v>
      </c>
      <c r="I444" s="362">
        <f t="shared" ref="I444:P444" si="52">ROUND(I443/10,2)</f>
        <v>21.89</v>
      </c>
      <c r="J444" s="362">
        <f t="shared" si="52"/>
        <v>0</v>
      </c>
      <c r="K444" s="362">
        <f t="shared" si="52"/>
        <v>23.24</v>
      </c>
      <c r="L444" s="362">
        <f t="shared" si="52"/>
        <v>0</v>
      </c>
      <c r="M444" s="362">
        <f t="shared" si="52"/>
        <v>0</v>
      </c>
      <c r="N444" s="362">
        <f t="shared" si="52"/>
        <v>0</v>
      </c>
      <c r="O444" s="362">
        <f t="shared" si="52"/>
        <v>0</v>
      </c>
      <c r="P444" s="362">
        <f t="shared" si="52"/>
        <v>220.45</v>
      </c>
      <c r="Q444" s="362">
        <f>SUM(H444:P444)</f>
        <v>265.58</v>
      </c>
    </row>
    <row r="445" spans="1:17" s="292" customFormat="1" ht="60" customHeight="1">
      <c r="A445" s="1080" t="s">
        <v>355</v>
      </c>
      <c r="B445" s="293">
        <v>18</v>
      </c>
      <c r="C445" s="1309" t="s">
        <v>1066</v>
      </c>
      <c r="D445" s="1309"/>
      <c r="E445" s="1309"/>
      <c r="F445" s="1309"/>
      <c r="G445" s="1309"/>
      <c r="H445" s="362"/>
      <c r="I445" s="362"/>
      <c r="J445" s="362"/>
      <c r="K445" s="362"/>
      <c r="L445" s="362"/>
      <c r="M445" s="362"/>
      <c r="N445" s="362"/>
      <c r="O445" s="362"/>
      <c r="P445" s="362"/>
      <c r="Q445" s="362"/>
    </row>
    <row r="446" spans="1:17" s="304" customFormat="1" ht="18" customHeight="1">
      <c r="A446" s="300"/>
      <c r="B446" s="1080"/>
      <c r="C446" s="1082" t="s">
        <v>326</v>
      </c>
      <c r="D446" s="287"/>
      <c r="E446" s="287"/>
      <c r="F446" s="287"/>
      <c r="G446" s="297"/>
      <c r="H446" s="362"/>
      <c r="I446" s="362"/>
      <c r="J446" s="362"/>
      <c r="K446" s="362"/>
      <c r="L446" s="362"/>
      <c r="M446" s="362"/>
      <c r="N446" s="362"/>
      <c r="O446" s="362"/>
      <c r="P446" s="362"/>
      <c r="Q446" s="362"/>
    </row>
    <row r="447" spans="1:17" s="304" customFormat="1" ht="18" customHeight="1">
      <c r="A447" s="300"/>
      <c r="B447" s="1080"/>
      <c r="C447" s="1082" t="s">
        <v>177</v>
      </c>
      <c r="D447" s="287"/>
      <c r="E447" s="287"/>
      <c r="F447" s="287"/>
      <c r="G447" s="297"/>
      <c r="H447" s="362"/>
      <c r="I447" s="362"/>
      <c r="J447" s="362"/>
      <c r="K447" s="362"/>
      <c r="L447" s="362"/>
      <c r="M447" s="362"/>
      <c r="N447" s="362"/>
      <c r="O447" s="362"/>
      <c r="P447" s="362"/>
      <c r="Q447" s="362"/>
    </row>
    <row r="448" spans="1:17" s="304" customFormat="1" ht="18" customHeight="1">
      <c r="A448" s="300"/>
      <c r="B448" s="1080"/>
      <c r="C448" s="1082" t="s">
        <v>477</v>
      </c>
      <c r="D448" s="287"/>
      <c r="E448" s="316"/>
      <c r="F448" s="287"/>
      <c r="G448" s="297"/>
      <c r="H448" s="362"/>
      <c r="I448" s="362"/>
      <c r="J448" s="362"/>
      <c r="K448" s="362"/>
      <c r="L448" s="362"/>
      <c r="M448" s="362"/>
      <c r="N448" s="362"/>
      <c r="O448" s="362"/>
      <c r="P448" s="362"/>
      <c r="Q448" s="362"/>
    </row>
    <row r="449" spans="1:17" s="304" customFormat="1" ht="18" customHeight="1">
      <c r="A449" s="300"/>
      <c r="B449" s="1080"/>
      <c r="C449" s="1082" t="s">
        <v>104</v>
      </c>
      <c r="D449" s="287" t="s">
        <v>116</v>
      </c>
      <c r="E449" s="287">
        <v>43</v>
      </c>
      <c r="F449" s="287">
        <f>'lead 1'!M8</f>
        <v>4300</v>
      </c>
      <c r="G449" s="297">
        <f>ROUND(E449*F449/1000,2)</f>
        <v>184.9</v>
      </c>
      <c r="H449" s="362"/>
      <c r="I449" s="362">
        <f>G449</f>
        <v>184.9</v>
      </c>
      <c r="J449" s="362"/>
      <c r="K449" s="362"/>
      <c r="L449" s="362"/>
      <c r="M449" s="362"/>
      <c r="N449" s="362"/>
      <c r="O449" s="362"/>
      <c r="P449" s="362"/>
      <c r="Q449" s="362"/>
    </row>
    <row r="450" spans="1:17" s="304" customFormat="1" ht="18" customHeight="1">
      <c r="A450" s="300"/>
      <c r="B450" s="1080"/>
      <c r="C450" s="1082" t="s">
        <v>478</v>
      </c>
      <c r="D450" s="287" t="s">
        <v>112</v>
      </c>
      <c r="E450" s="287">
        <v>0.18</v>
      </c>
      <c r="F450" s="287">
        <f>'lead 1'!M12</f>
        <v>1549.4</v>
      </c>
      <c r="G450" s="297">
        <f>ROUND(E450*F450,2)</f>
        <v>278.89</v>
      </c>
      <c r="H450" s="362"/>
      <c r="I450" s="362"/>
      <c r="J450" s="362"/>
      <c r="K450" s="362">
        <f>G450</f>
        <v>278.89</v>
      </c>
      <c r="L450" s="362"/>
      <c r="M450" s="362"/>
      <c r="N450" s="362"/>
      <c r="O450" s="362"/>
      <c r="P450" s="362"/>
      <c r="Q450" s="362"/>
    </row>
    <row r="451" spans="1:17" s="304" customFormat="1" ht="18" customHeight="1">
      <c r="A451" s="300"/>
      <c r="B451" s="1080"/>
      <c r="C451" s="1082" t="s">
        <v>359</v>
      </c>
      <c r="D451" s="287"/>
      <c r="E451" s="319"/>
      <c r="F451" s="287"/>
      <c r="G451" s="297"/>
      <c r="H451" s="362"/>
      <c r="I451" s="362"/>
      <c r="J451" s="362"/>
      <c r="K451" s="362"/>
      <c r="L451" s="362"/>
      <c r="M451" s="362"/>
      <c r="N451" s="362"/>
      <c r="O451" s="362"/>
      <c r="P451" s="362"/>
      <c r="Q451" s="362"/>
    </row>
    <row r="452" spans="1:17" s="304" customFormat="1" ht="18" customHeight="1">
      <c r="A452" s="300"/>
      <c r="B452" s="1080"/>
      <c r="C452" s="1082" t="s">
        <v>104</v>
      </c>
      <c r="D452" s="287" t="s">
        <v>116</v>
      </c>
      <c r="E452" s="287">
        <v>14.5</v>
      </c>
      <c r="F452" s="287">
        <f>'lead 1'!M8</f>
        <v>4300</v>
      </c>
      <c r="G452" s="297">
        <f>ROUND(E452*F452/1000,2)</f>
        <v>62.35</v>
      </c>
      <c r="H452" s="362"/>
      <c r="I452" s="362">
        <f>G452</f>
        <v>62.35</v>
      </c>
      <c r="J452" s="362"/>
      <c r="K452" s="362"/>
      <c r="L452" s="362"/>
      <c r="M452" s="362"/>
      <c r="N452" s="362"/>
      <c r="O452" s="362"/>
      <c r="P452" s="362"/>
      <c r="Q452" s="362"/>
    </row>
    <row r="453" spans="1:17" s="304" customFormat="1" ht="18" customHeight="1">
      <c r="A453" s="300"/>
      <c r="B453" s="1080"/>
      <c r="C453" s="1082" t="s">
        <v>478</v>
      </c>
      <c r="D453" s="287" t="s">
        <v>112</v>
      </c>
      <c r="E453" s="287">
        <v>0.04</v>
      </c>
      <c r="F453" s="287">
        <f>'lead 1'!M12</f>
        <v>1549.4</v>
      </c>
      <c r="G453" s="297">
        <f>ROUND(E453*F453,2)</f>
        <v>61.98</v>
      </c>
      <c r="H453" s="362"/>
      <c r="I453" s="362"/>
      <c r="J453" s="362"/>
      <c r="K453" s="362">
        <f>G453</f>
        <v>61.98</v>
      </c>
      <c r="L453" s="362"/>
      <c r="M453" s="362"/>
      <c r="N453" s="362"/>
      <c r="O453" s="362"/>
      <c r="P453" s="362"/>
      <c r="Q453" s="362"/>
    </row>
    <row r="454" spans="1:17" s="304" customFormat="1" ht="18" customHeight="1">
      <c r="A454" s="300"/>
      <c r="B454" s="1080"/>
      <c r="C454" s="1082" t="s">
        <v>211</v>
      </c>
      <c r="D454" s="287"/>
      <c r="E454" s="287"/>
      <c r="F454" s="287"/>
      <c r="G454" s="297"/>
      <c r="H454" s="362"/>
      <c r="I454" s="1053"/>
      <c r="J454" s="1053"/>
      <c r="K454" s="1053"/>
      <c r="L454" s="1053"/>
      <c r="M454" s="376"/>
      <c r="N454" s="376"/>
      <c r="O454" s="376"/>
      <c r="P454" s="376"/>
      <c r="Q454" s="376"/>
    </row>
    <row r="455" spans="1:17" s="304" customFormat="1" ht="18" customHeight="1">
      <c r="A455" s="300"/>
      <c r="B455" s="1080"/>
      <c r="C455" s="1082" t="s">
        <v>630</v>
      </c>
      <c r="D455" s="287" t="s">
        <v>186</v>
      </c>
      <c r="E455" s="287">
        <v>0.45</v>
      </c>
      <c r="F455" s="287">
        <f>'lead 1'!M31</f>
        <v>500</v>
      </c>
      <c r="G455" s="297">
        <f>ROUND(E455*F455,2)</f>
        <v>225</v>
      </c>
      <c r="H455" s="362"/>
      <c r="I455" s="1053"/>
      <c r="J455" s="1053"/>
      <c r="K455" s="1053"/>
      <c r="L455" s="1053"/>
      <c r="M455" s="376"/>
      <c r="N455" s="376"/>
      <c r="O455" s="376"/>
      <c r="P455" s="366">
        <f>G455</f>
        <v>225</v>
      </c>
      <c r="Q455" s="376"/>
    </row>
    <row r="456" spans="1:17" s="304" customFormat="1" ht="18" customHeight="1">
      <c r="A456" s="300"/>
      <c r="B456" s="1080"/>
      <c r="C456" s="1082" t="s">
        <v>631</v>
      </c>
      <c r="D456" s="287" t="s">
        <v>186</v>
      </c>
      <c r="E456" s="287">
        <v>1.05</v>
      </c>
      <c r="F456" s="287">
        <f>'lead 1'!M30</f>
        <v>460</v>
      </c>
      <c r="G456" s="297">
        <f>ROUND(E456*F456,2)</f>
        <v>483</v>
      </c>
      <c r="H456" s="362"/>
      <c r="I456" s="1053"/>
      <c r="J456" s="1053"/>
      <c r="K456" s="1053"/>
      <c r="L456" s="1053"/>
      <c r="M456" s="376"/>
      <c r="N456" s="376"/>
      <c r="O456" s="376"/>
      <c r="P456" s="366">
        <f>G456</f>
        <v>483</v>
      </c>
      <c r="Q456" s="376"/>
    </row>
    <row r="457" spans="1:17" s="304" customFormat="1" ht="18" customHeight="1">
      <c r="A457" s="300"/>
      <c r="B457" s="1080"/>
      <c r="C457" s="1082" t="s">
        <v>213</v>
      </c>
      <c r="D457" s="287" t="s">
        <v>186</v>
      </c>
      <c r="E457" s="287">
        <v>2.8</v>
      </c>
      <c r="F457" s="287">
        <f>'lead 1'!M28</f>
        <v>420</v>
      </c>
      <c r="G457" s="297">
        <f>ROUND(E457*F457,2)</f>
        <v>1176</v>
      </c>
      <c r="H457" s="362"/>
      <c r="I457" s="373"/>
      <c r="J457" s="373"/>
      <c r="K457" s="373"/>
      <c r="L457" s="373"/>
      <c r="M457" s="373"/>
      <c r="N457" s="373"/>
      <c r="O457" s="373"/>
      <c r="P457" s="366">
        <f>G457</f>
        <v>1176</v>
      </c>
      <c r="Q457" s="373"/>
    </row>
    <row r="458" spans="1:17" s="292" customFormat="1" ht="18" customHeight="1">
      <c r="B458" s="293"/>
      <c r="C458" s="305" t="str">
        <f>"Add "&amp;$G$1*100&amp;"% on Labour for Municipal Limits"</f>
        <v>Add 0% on Labour for Municipal Limits</v>
      </c>
      <c r="E458" s="306">
        <f>$D$3</f>
        <v>0</v>
      </c>
      <c r="F458" s="287">
        <f>SUM(G455:G457)</f>
        <v>1884</v>
      </c>
      <c r="G458" s="297">
        <f>ROUND(F458*E458,2)</f>
        <v>0</v>
      </c>
      <c r="H458" s="362"/>
      <c r="I458" s="362"/>
      <c r="J458" s="362"/>
      <c r="K458" s="362"/>
      <c r="L458" s="362"/>
      <c r="M458" s="362"/>
      <c r="N458" s="362"/>
      <c r="O458" s="362"/>
      <c r="P458" s="362">
        <f>G458</f>
        <v>0</v>
      </c>
      <c r="Q458" s="362"/>
    </row>
    <row r="459" spans="1:17" s="293" customFormat="1" ht="18" customHeight="1">
      <c r="C459" s="1084" t="s">
        <v>473</v>
      </c>
      <c r="D459" s="256"/>
      <c r="E459" s="256"/>
      <c r="F459" s="298" t="s">
        <v>438</v>
      </c>
      <c r="G459" s="298">
        <f>ROUND(SUM(G449:G458),2)</f>
        <v>2472.12</v>
      </c>
      <c r="H459" s="361">
        <f>SUM(H448:H457)</f>
        <v>0</v>
      </c>
      <c r="I459" s="361">
        <f>SUM(I448:I457)</f>
        <v>247.25</v>
      </c>
      <c r="J459" s="361">
        <f t="shared" ref="J459:O459" si="53">SUM(J448:J457)</f>
        <v>0</v>
      </c>
      <c r="K459" s="361">
        <f>SUM(K448:K457)</f>
        <v>340.87</v>
      </c>
      <c r="L459" s="361">
        <f t="shared" si="53"/>
        <v>0</v>
      </c>
      <c r="M459" s="361">
        <f t="shared" si="53"/>
        <v>0</v>
      </c>
      <c r="N459" s="361">
        <f t="shared" si="53"/>
        <v>0</v>
      </c>
      <c r="O459" s="361">
        <f t="shared" si="53"/>
        <v>0</v>
      </c>
      <c r="P459" s="361">
        <f>SUM(P448:P457)</f>
        <v>1884</v>
      </c>
      <c r="Q459" s="361"/>
    </row>
    <row r="460" spans="1:17" s="304" customFormat="1" ht="18" customHeight="1">
      <c r="A460" s="300"/>
      <c r="B460" s="1080"/>
      <c r="C460" s="1082"/>
      <c r="D460" s="287"/>
      <c r="E460" s="256" t="s">
        <v>409</v>
      </c>
      <c r="F460" s="256" t="s">
        <v>410</v>
      </c>
      <c r="G460" s="298" t="s">
        <v>411</v>
      </c>
      <c r="H460" s="362"/>
      <c r="I460" s="362"/>
      <c r="J460" s="362"/>
      <c r="K460" s="362"/>
      <c r="L460" s="362"/>
      <c r="M460" s="362"/>
      <c r="N460" s="362"/>
      <c r="O460" s="362"/>
      <c r="P460" s="362"/>
      <c r="Q460" s="362"/>
    </row>
    <row r="461" spans="1:17" s="304" customFormat="1" ht="18" customHeight="1">
      <c r="A461" s="300"/>
      <c r="B461" s="1080"/>
      <c r="C461" s="1082" t="s">
        <v>412</v>
      </c>
      <c r="D461" s="287"/>
      <c r="E461" s="309">
        <f>G459</f>
        <v>2472.12</v>
      </c>
      <c r="F461" s="309">
        <f>G459</f>
        <v>2472.12</v>
      </c>
      <c r="G461" s="297">
        <f>G459</f>
        <v>2472.12</v>
      </c>
      <c r="H461" s="361">
        <f>H459</f>
        <v>0</v>
      </c>
      <c r="I461" s="361">
        <f t="shared" ref="I461:P461" si="54">I459</f>
        <v>247.25</v>
      </c>
      <c r="J461" s="361">
        <f t="shared" si="54"/>
        <v>0</v>
      </c>
      <c r="K461" s="361">
        <f t="shared" si="54"/>
        <v>340.87</v>
      </c>
      <c r="L461" s="361">
        <f t="shared" si="54"/>
        <v>0</v>
      </c>
      <c r="M461" s="361">
        <f t="shared" si="54"/>
        <v>0</v>
      </c>
      <c r="N461" s="361">
        <f t="shared" si="54"/>
        <v>0</v>
      </c>
      <c r="O461" s="361">
        <f t="shared" si="54"/>
        <v>0</v>
      </c>
      <c r="P461" s="361">
        <f t="shared" si="54"/>
        <v>1884</v>
      </c>
      <c r="Q461" s="361"/>
    </row>
    <row r="462" spans="1:17" s="304" customFormat="1" ht="18" customHeight="1">
      <c r="A462" s="300"/>
      <c r="B462" s="1080"/>
      <c r="C462" s="1082" t="s">
        <v>890</v>
      </c>
      <c r="D462" s="310" t="s">
        <v>474</v>
      </c>
      <c r="E462" s="309">
        <f>ROUND(D462*1.03,2)</f>
        <v>10.3</v>
      </c>
      <c r="F462" s="297">
        <f>ROUND(D462*1.03,2)</f>
        <v>10.3</v>
      </c>
      <c r="G462" s="297">
        <f>ROUND(D462*1.03,2)</f>
        <v>10.3</v>
      </c>
      <c r="H462" s="361"/>
      <c r="I462" s="361"/>
      <c r="J462" s="361"/>
      <c r="K462" s="361"/>
      <c r="L462" s="361"/>
      <c r="M462" s="361"/>
      <c r="N462" s="361"/>
      <c r="O462" s="361"/>
      <c r="P462" s="361">
        <f>E462</f>
        <v>10.3</v>
      </c>
      <c r="Q462" s="361"/>
    </row>
    <row r="463" spans="1:17" s="304" customFormat="1" ht="24" customHeight="1">
      <c r="A463" s="300"/>
      <c r="B463" s="1080"/>
      <c r="C463" s="1082" t="s">
        <v>891</v>
      </c>
      <c r="D463" s="310" t="s">
        <v>474</v>
      </c>
      <c r="E463" s="309">
        <f>ROUND(D463*7.95,2)</f>
        <v>79.5</v>
      </c>
      <c r="F463" s="309">
        <f>ROUND(D463*11.38,2)</f>
        <v>113.8</v>
      </c>
      <c r="G463" s="297">
        <f>ROUND(D463*14.81,2)</f>
        <v>148.1</v>
      </c>
      <c r="H463" s="362"/>
      <c r="I463" s="362"/>
      <c r="J463" s="362"/>
      <c r="K463" s="362"/>
      <c r="L463" s="362"/>
      <c r="M463" s="362"/>
      <c r="N463" s="362"/>
      <c r="O463" s="362"/>
      <c r="P463" s="361">
        <f>E463</f>
        <v>79.5</v>
      </c>
      <c r="Q463" s="362"/>
    </row>
    <row r="464" spans="1:17" s="304" customFormat="1" ht="18" customHeight="1">
      <c r="A464" s="300"/>
      <c r="B464" s="1080"/>
      <c r="C464" s="1082" t="s">
        <v>479</v>
      </c>
      <c r="D464" s="306" t="s">
        <v>474</v>
      </c>
      <c r="E464" s="314">
        <v>0</v>
      </c>
      <c r="F464" s="314">
        <f>ROUND(((SUM(G455:G457)+E463)*D464/100),2)</f>
        <v>196.35</v>
      </c>
      <c r="G464" s="315">
        <f>F464*2</f>
        <v>392.7</v>
      </c>
      <c r="H464" s="362"/>
      <c r="I464" s="362"/>
      <c r="J464" s="362"/>
      <c r="K464" s="362"/>
      <c r="L464" s="362"/>
      <c r="M464" s="362"/>
      <c r="N464" s="362"/>
      <c r="O464" s="362"/>
      <c r="P464" s="362"/>
      <c r="Q464" s="362"/>
    </row>
    <row r="465" spans="1:17" s="304" customFormat="1" ht="18" customHeight="1">
      <c r="A465" s="300"/>
      <c r="B465" s="1080"/>
      <c r="C465" s="305" t="str">
        <f>"Add "&amp;$G$1*100&amp;"% on Labour for Municipal Limits"</f>
        <v>Add 0% on Labour for Municipal Limits</v>
      </c>
      <c r="D465" s="287"/>
      <c r="E465" s="314">
        <f>ROUND(SUM(E463:E464)*$D$3,2)</f>
        <v>0</v>
      </c>
      <c r="F465" s="314">
        <f>ROUND(SUM(F463:F464)*$D$3,2)</f>
        <v>0</v>
      </c>
      <c r="G465" s="314">
        <f>ROUND(SUM(G463:G464)*$D$3,2)</f>
        <v>0</v>
      </c>
      <c r="H465" s="362"/>
      <c r="I465" s="362"/>
      <c r="J465" s="362"/>
      <c r="K465" s="362"/>
      <c r="L465" s="362"/>
      <c r="M465" s="362"/>
      <c r="N465" s="362"/>
      <c r="O465" s="362"/>
      <c r="P465" s="362"/>
      <c r="Q465" s="362"/>
    </row>
    <row r="466" spans="1:17" s="304" customFormat="1" ht="18" customHeight="1">
      <c r="A466" s="300"/>
      <c r="B466" s="1080"/>
      <c r="C466" s="1082"/>
      <c r="D466" s="306"/>
      <c r="E466" s="309">
        <f>SUM(E461:E465)</f>
        <v>2561.92</v>
      </c>
      <c r="F466" s="309">
        <f>SUM(F461:F465)</f>
        <v>2792.57</v>
      </c>
      <c r="G466" s="309">
        <f>SUM(G461:G465)</f>
        <v>3023.22</v>
      </c>
      <c r="H466" s="362"/>
      <c r="I466" s="362"/>
      <c r="J466" s="362"/>
      <c r="K466" s="362"/>
      <c r="L466" s="362"/>
      <c r="M466" s="362"/>
      <c r="N466" s="362"/>
      <c r="O466" s="362"/>
      <c r="P466" s="362"/>
      <c r="Q466" s="362"/>
    </row>
    <row r="467" spans="1:17" s="304" customFormat="1" ht="18" customHeight="1">
      <c r="A467" s="300"/>
      <c r="B467" s="1080"/>
      <c r="C467" s="1082" t="s">
        <v>691</v>
      </c>
      <c r="D467" s="309">
        <f>ROUND(D466*D2,2)</f>
        <v>0</v>
      </c>
      <c r="E467" s="309">
        <f>ROUND(E466*D2,2)</f>
        <v>0</v>
      </c>
      <c r="F467" s="309">
        <f>ROUND(F466*D2,2)</f>
        <v>0</v>
      </c>
      <c r="G467" s="309">
        <f>ROUND(G466*D2,2)</f>
        <v>0</v>
      </c>
      <c r="H467" s="361"/>
      <c r="I467" s="361"/>
      <c r="J467" s="361"/>
      <c r="K467" s="361"/>
      <c r="L467" s="361"/>
      <c r="M467" s="361"/>
      <c r="N467" s="361"/>
      <c r="O467" s="361"/>
      <c r="P467" s="361"/>
      <c r="Q467" s="361"/>
    </row>
    <row r="468" spans="1:17" s="293" customFormat="1" ht="18" customHeight="1">
      <c r="C468" s="1084" t="s">
        <v>473</v>
      </c>
      <c r="D468" s="271"/>
      <c r="E468" s="311">
        <f>SUM(E466:E467)</f>
        <v>2561.92</v>
      </c>
      <c r="F468" s="311">
        <f>SUM(F466:F467)</f>
        <v>2792.57</v>
      </c>
      <c r="G468" s="311">
        <f>SUM(G466:G467)</f>
        <v>3023.22</v>
      </c>
      <c r="H468" s="362">
        <f>SUM(H461:H467)</f>
        <v>0</v>
      </c>
      <c r="I468" s="362">
        <f t="shared" ref="I468:P468" si="55">SUM(I461:I467)</f>
        <v>247.25</v>
      </c>
      <c r="J468" s="362">
        <f t="shared" si="55"/>
        <v>0</v>
      </c>
      <c r="K468" s="362">
        <f t="shared" si="55"/>
        <v>340.87</v>
      </c>
      <c r="L468" s="362">
        <f t="shared" si="55"/>
        <v>0</v>
      </c>
      <c r="M468" s="362">
        <f t="shared" si="55"/>
        <v>0</v>
      </c>
      <c r="N468" s="362">
        <f t="shared" si="55"/>
        <v>0</v>
      </c>
      <c r="O468" s="362">
        <f t="shared" si="55"/>
        <v>0</v>
      </c>
      <c r="P468" s="362">
        <f t="shared" si="55"/>
        <v>1973.8</v>
      </c>
      <c r="Q468" s="362"/>
    </row>
    <row r="469" spans="1:17" s="293" customFormat="1" ht="18" customHeight="1">
      <c r="C469" s="1084" t="s">
        <v>927</v>
      </c>
      <c r="D469" s="271"/>
      <c r="E469" s="298">
        <f>ROUND(E468/10,2)</f>
        <v>256.19</v>
      </c>
      <c r="F469" s="298">
        <f>ROUND(F468/10,2)</f>
        <v>279.26</v>
      </c>
      <c r="G469" s="298">
        <f>ROUND(G468/10,2)</f>
        <v>302.32</v>
      </c>
      <c r="H469" s="362">
        <f>ROUND(H468/10,2)</f>
        <v>0</v>
      </c>
      <c r="I469" s="362">
        <f t="shared" ref="I469:P469" si="56">ROUND(I468/10,2)</f>
        <v>24.73</v>
      </c>
      <c r="J469" s="362">
        <f t="shared" si="56"/>
        <v>0</v>
      </c>
      <c r="K469" s="362">
        <f t="shared" si="56"/>
        <v>34.090000000000003</v>
      </c>
      <c r="L469" s="362">
        <f t="shared" si="56"/>
        <v>0</v>
      </c>
      <c r="M469" s="362">
        <f t="shared" si="56"/>
        <v>0</v>
      </c>
      <c r="N469" s="362">
        <f t="shared" si="56"/>
        <v>0</v>
      </c>
      <c r="O469" s="362">
        <f t="shared" si="56"/>
        <v>0</v>
      </c>
      <c r="P469" s="362">
        <f t="shared" si="56"/>
        <v>197.38</v>
      </c>
      <c r="Q469" s="362"/>
    </row>
    <row r="470" spans="1:17" s="293" customFormat="1" ht="18" hidden="1" customHeight="1">
      <c r="C470" s="1084" t="s">
        <v>928</v>
      </c>
      <c r="D470" s="271"/>
      <c r="E470" s="298"/>
      <c r="F470" s="298"/>
      <c r="G470" s="298"/>
      <c r="H470" s="362">
        <f>H461</f>
        <v>0</v>
      </c>
      <c r="I470" s="362">
        <f t="shared" ref="I470:O470" si="57">I461</f>
        <v>247.25</v>
      </c>
      <c r="J470" s="362">
        <f t="shared" si="57"/>
        <v>0</v>
      </c>
      <c r="K470" s="362">
        <f t="shared" si="57"/>
        <v>340.87</v>
      </c>
      <c r="L470" s="362">
        <f t="shared" si="57"/>
        <v>0</v>
      </c>
      <c r="M470" s="362">
        <f t="shared" si="57"/>
        <v>0</v>
      </c>
      <c r="N470" s="362">
        <f t="shared" si="57"/>
        <v>0</v>
      </c>
      <c r="O470" s="362">
        <f t="shared" si="57"/>
        <v>0</v>
      </c>
      <c r="P470" s="362">
        <f>P461+SUM(F462:F464)</f>
        <v>2204.4499999999998</v>
      </c>
      <c r="Q470" s="362"/>
    </row>
    <row r="471" spans="1:17" s="293" customFormat="1" ht="18" hidden="1" customHeight="1">
      <c r="C471" s="1084" t="s">
        <v>929</v>
      </c>
      <c r="D471" s="271"/>
      <c r="E471" s="298"/>
      <c r="F471" s="298"/>
      <c r="G471" s="298"/>
      <c r="H471" s="362">
        <f>ROUND(H470/10,2)</f>
        <v>0</v>
      </c>
      <c r="I471" s="362">
        <f t="shared" ref="I471:P471" si="58">ROUND(I470/10,2)</f>
        <v>24.73</v>
      </c>
      <c r="J471" s="362">
        <f t="shared" si="58"/>
        <v>0</v>
      </c>
      <c r="K471" s="362">
        <f t="shared" si="58"/>
        <v>34.090000000000003</v>
      </c>
      <c r="L471" s="362">
        <f t="shared" si="58"/>
        <v>0</v>
      </c>
      <c r="M471" s="362">
        <f t="shared" si="58"/>
        <v>0</v>
      </c>
      <c r="N471" s="362">
        <f t="shared" si="58"/>
        <v>0</v>
      </c>
      <c r="O471" s="362">
        <f t="shared" si="58"/>
        <v>0</v>
      </c>
      <c r="P471" s="362">
        <f t="shared" si="58"/>
        <v>220.45</v>
      </c>
      <c r="Q471" s="362">
        <f>SUM(H471:P471)</f>
        <v>279.27</v>
      </c>
    </row>
    <row r="472" spans="1:17" s="304" customFormat="1" ht="18" customHeight="1">
      <c r="A472" s="1080" t="s">
        <v>364</v>
      </c>
      <c r="B472" s="1080"/>
      <c r="C472" s="1084" t="s">
        <v>365</v>
      </c>
      <c r="D472" s="287"/>
      <c r="E472" s="287"/>
      <c r="F472" s="287"/>
      <c r="G472" s="297"/>
      <c r="H472" s="376"/>
      <c r="I472" s="376"/>
      <c r="J472" s="376"/>
      <c r="K472" s="376"/>
      <c r="L472" s="376"/>
      <c r="M472" s="376"/>
      <c r="N472" s="376"/>
      <c r="O472" s="376"/>
      <c r="P472" s="376"/>
      <c r="Q472" s="376"/>
    </row>
    <row r="473" spans="1:17" s="292" customFormat="1" ht="72" customHeight="1">
      <c r="A473" s="1080" t="s">
        <v>10</v>
      </c>
      <c r="B473" s="293">
        <v>19</v>
      </c>
      <c r="C473" s="1309" t="s">
        <v>730</v>
      </c>
      <c r="D473" s="1309"/>
      <c r="E473" s="1309"/>
      <c r="F473" s="1309"/>
      <c r="G473" s="1309"/>
      <c r="H473" s="373"/>
      <c r="I473" s="373"/>
      <c r="J473" s="373"/>
      <c r="K473" s="373"/>
      <c r="L473" s="373"/>
      <c r="M473" s="373"/>
      <c r="N473" s="373"/>
      <c r="O473" s="373"/>
      <c r="P473" s="373"/>
      <c r="Q473" s="373"/>
    </row>
    <row r="474" spans="1:17" s="304" customFormat="1" ht="18" customHeight="1">
      <c r="A474" s="300"/>
      <c r="B474" s="1080"/>
      <c r="C474" s="1082" t="s">
        <v>326</v>
      </c>
      <c r="D474" s="287"/>
      <c r="E474" s="287"/>
      <c r="F474" s="287"/>
      <c r="G474" s="297"/>
      <c r="H474" s="373"/>
      <c r="I474" s="373"/>
      <c r="J474" s="373"/>
      <c r="K474" s="373"/>
      <c r="L474" s="373"/>
      <c r="M474" s="373"/>
      <c r="N474" s="373"/>
      <c r="O474" s="373"/>
      <c r="P474" s="373"/>
      <c r="Q474" s="373"/>
    </row>
    <row r="475" spans="1:17" s="304" customFormat="1" ht="18" customHeight="1">
      <c r="A475" s="300"/>
      <c r="B475" s="1080"/>
      <c r="C475" s="1082" t="s">
        <v>177</v>
      </c>
      <c r="D475" s="287"/>
      <c r="E475" s="287"/>
      <c r="F475" s="287"/>
      <c r="G475" s="297"/>
      <c r="H475" s="362"/>
      <c r="I475" s="362"/>
      <c r="J475" s="362"/>
      <c r="K475" s="362"/>
      <c r="L475" s="362"/>
      <c r="M475" s="362"/>
      <c r="N475" s="362"/>
      <c r="O475" s="362"/>
      <c r="P475" s="362"/>
      <c r="Q475" s="362"/>
    </row>
    <row r="476" spans="1:17" s="304" customFormat="1" ht="24" customHeight="1">
      <c r="A476" s="300"/>
      <c r="B476" s="1080"/>
      <c r="C476" s="1082" t="s">
        <v>989</v>
      </c>
      <c r="D476" s="287" t="s">
        <v>114</v>
      </c>
      <c r="E476" s="287">
        <v>10.5</v>
      </c>
      <c r="F476" s="287">
        <f>'lead 1'!H111</f>
        <v>612</v>
      </c>
      <c r="G476" s="297">
        <f>ROUND(E476*F476,2)</f>
        <v>6426</v>
      </c>
      <c r="H476" s="361"/>
      <c r="I476" s="361"/>
      <c r="J476" s="361"/>
      <c r="K476" s="361"/>
      <c r="L476" s="361"/>
      <c r="M476" s="361"/>
      <c r="N476" s="361"/>
      <c r="O476" s="361"/>
      <c r="P476" s="361">
        <f>G476</f>
        <v>6426</v>
      </c>
      <c r="Q476" s="361"/>
    </row>
    <row r="477" spans="1:17" s="304" customFormat="1" ht="18" customHeight="1">
      <c r="A477" s="300"/>
      <c r="B477" s="1080"/>
      <c r="C477" s="1082" t="s">
        <v>0</v>
      </c>
      <c r="D477" s="287" t="s">
        <v>178</v>
      </c>
      <c r="E477" s="287">
        <v>21.6</v>
      </c>
      <c r="F477" s="287">
        <f>'lead 1'!M8</f>
        <v>4300</v>
      </c>
      <c r="G477" s="297">
        <f>ROUND(E477*F477/1000,2)</f>
        <v>92.88</v>
      </c>
      <c r="H477" s="361"/>
      <c r="I477" s="361">
        <f>G477</f>
        <v>92.88</v>
      </c>
      <c r="J477" s="361"/>
      <c r="K477" s="361"/>
      <c r="L477" s="361"/>
      <c r="M477" s="361"/>
      <c r="N477" s="361"/>
      <c r="O477" s="361"/>
      <c r="P477" s="361"/>
      <c r="Q477" s="361"/>
    </row>
    <row r="478" spans="1:17" s="304" customFormat="1" ht="18" customHeight="1">
      <c r="A478" s="300"/>
      <c r="B478" s="1080"/>
      <c r="C478" s="1082" t="s">
        <v>480</v>
      </c>
      <c r="D478" s="287" t="s">
        <v>178</v>
      </c>
      <c r="E478" s="287">
        <v>33</v>
      </c>
      <c r="F478" s="287">
        <f>'lead 1'!M8</f>
        <v>4300</v>
      </c>
      <c r="G478" s="297">
        <f>ROUND(E478*F478/1000,2)</f>
        <v>141.9</v>
      </c>
      <c r="H478" s="362"/>
      <c r="I478" s="362">
        <f>G478</f>
        <v>141.9</v>
      </c>
      <c r="J478" s="362"/>
      <c r="K478" s="362"/>
      <c r="L478" s="362"/>
      <c r="M478" s="362"/>
      <c r="N478" s="362"/>
      <c r="O478" s="362"/>
      <c r="P478" s="362"/>
      <c r="Q478" s="362"/>
    </row>
    <row r="479" spans="1:17" s="304" customFormat="1" ht="18" customHeight="1">
      <c r="A479" s="300"/>
      <c r="B479" s="1080"/>
      <c r="C479" s="1082" t="s">
        <v>481</v>
      </c>
      <c r="D479" s="287" t="s">
        <v>178</v>
      </c>
      <c r="E479" s="287">
        <v>6</v>
      </c>
      <c r="F479" s="287">
        <f>'lead 1'!M8</f>
        <v>4300</v>
      </c>
      <c r="G479" s="297">
        <f>ROUND(E479*F479/1000,2)</f>
        <v>25.8</v>
      </c>
      <c r="H479" s="362"/>
      <c r="I479" s="362">
        <f>G479</f>
        <v>25.8</v>
      </c>
      <c r="J479" s="362"/>
      <c r="K479" s="362"/>
      <c r="L479" s="362"/>
      <c r="M479" s="362"/>
      <c r="N479" s="362"/>
      <c r="O479" s="362"/>
      <c r="P479" s="362"/>
      <c r="Q479" s="362"/>
    </row>
    <row r="480" spans="1:17" s="304" customFormat="1" ht="18" customHeight="1">
      <c r="A480" s="300"/>
      <c r="B480" s="1080"/>
      <c r="C480" s="1082" t="s">
        <v>1</v>
      </c>
      <c r="D480" s="287" t="s">
        <v>112</v>
      </c>
      <c r="E480" s="287">
        <v>0.12</v>
      </c>
      <c r="F480" s="287">
        <f>'lead 1'!M12</f>
        <v>1549.4</v>
      </c>
      <c r="G480" s="297">
        <f>ROUND(E480*F480,2)</f>
        <v>185.93</v>
      </c>
      <c r="H480" s="361"/>
      <c r="I480" s="361"/>
      <c r="J480" s="361"/>
      <c r="K480" s="361">
        <f>G480</f>
        <v>185.93</v>
      </c>
      <c r="M480" s="361"/>
      <c r="N480" s="361"/>
      <c r="O480" s="361"/>
      <c r="P480" s="361"/>
      <c r="Q480" s="361"/>
    </row>
    <row r="481" spans="1:17" s="304" customFormat="1" ht="18" customHeight="1">
      <c r="A481" s="300"/>
      <c r="B481" s="1080"/>
      <c r="C481" s="1082" t="s">
        <v>482</v>
      </c>
      <c r="D481" s="287" t="s">
        <v>112</v>
      </c>
      <c r="E481" s="287">
        <v>0.02</v>
      </c>
      <c r="F481" s="287">
        <f>'lead 1'!M12</f>
        <v>1549.4</v>
      </c>
      <c r="G481" s="297">
        <f>ROUND(E481*F481,2)</f>
        <v>30.99</v>
      </c>
      <c r="H481" s="362"/>
      <c r="I481" s="362"/>
      <c r="J481" s="362"/>
      <c r="K481" s="361">
        <f>G481</f>
        <v>30.99</v>
      </c>
      <c r="M481" s="362"/>
      <c r="N481" s="362"/>
      <c r="O481" s="362"/>
      <c r="P481" s="362"/>
      <c r="Q481" s="362"/>
    </row>
    <row r="482" spans="1:17" s="304" customFormat="1" ht="18" customHeight="1">
      <c r="A482" s="300"/>
      <c r="B482" s="1080"/>
      <c r="C482" s="1082" t="s">
        <v>211</v>
      </c>
      <c r="D482" s="287"/>
      <c r="E482" s="287"/>
      <c r="F482" s="287"/>
      <c r="G482" s="297"/>
      <c r="H482" s="364"/>
      <c r="I482" s="364"/>
      <c r="J482" s="364"/>
      <c r="K482" s="364"/>
      <c r="L482" s="364"/>
      <c r="M482" s="364"/>
      <c r="N482" s="364"/>
      <c r="O482" s="364"/>
      <c r="P482" s="364"/>
      <c r="Q482" s="364"/>
    </row>
    <row r="483" spans="1:17" s="304" customFormat="1" ht="18" customHeight="1">
      <c r="A483" s="300"/>
      <c r="B483" s="1080"/>
      <c r="C483" s="1082" t="s">
        <v>630</v>
      </c>
      <c r="D483" s="287" t="s">
        <v>186</v>
      </c>
      <c r="E483" s="287">
        <v>0.96</v>
      </c>
      <c r="F483" s="287">
        <f>'lead 1'!M31</f>
        <v>500</v>
      </c>
      <c r="G483" s="297">
        <f>ROUND(E483*F483,2)</f>
        <v>480</v>
      </c>
      <c r="H483" s="362"/>
      <c r="I483" s="362"/>
      <c r="J483" s="362"/>
      <c r="K483" s="362"/>
      <c r="L483" s="362"/>
      <c r="M483" s="362"/>
      <c r="N483" s="362"/>
      <c r="O483" s="362"/>
      <c r="P483" s="362">
        <f>G483</f>
        <v>480</v>
      </c>
      <c r="Q483" s="362"/>
    </row>
    <row r="484" spans="1:17" s="304" customFormat="1" ht="18" customHeight="1">
      <c r="A484" s="300"/>
      <c r="B484" s="1080"/>
      <c r="C484" s="1082" t="s">
        <v>631</v>
      </c>
      <c r="D484" s="287" t="s">
        <v>186</v>
      </c>
      <c r="E484" s="287">
        <v>2.2400000000000002</v>
      </c>
      <c r="F484" s="287">
        <f>'lead 1'!M30</f>
        <v>460</v>
      </c>
      <c r="G484" s="297">
        <f>ROUND(E484*F484,2)</f>
        <v>1030.4000000000001</v>
      </c>
      <c r="H484" s="362"/>
      <c r="I484" s="362"/>
      <c r="J484" s="362"/>
      <c r="K484" s="362"/>
      <c r="L484" s="362"/>
      <c r="M484" s="362"/>
      <c r="N484" s="362"/>
      <c r="O484" s="362"/>
      <c r="P484" s="362">
        <f>G484</f>
        <v>1030.4000000000001</v>
      </c>
      <c r="Q484" s="362"/>
    </row>
    <row r="485" spans="1:17" s="304" customFormat="1" ht="18" customHeight="1">
      <c r="A485" s="300"/>
      <c r="B485" s="1080"/>
      <c r="C485" s="1082" t="s">
        <v>213</v>
      </c>
      <c r="D485" s="287" t="s">
        <v>186</v>
      </c>
      <c r="E485" s="287">
        <v>3.3</v>
      </c>
      <c r="F485" s="287">
        <f>'lead 1'!M28</f>
        <v>420</v>
      </c>
      <c r="G485" s="297">
        <f>ROUND(E485*F485,2)</f>
        <v>1386</v>
      </c>
      <c r="H485" s="362"/>
      <c r="I485" s="362"/>
      <c r="J485" s="362"/>
      <c r="K485" s="362"/>
      <c r="L485" s="362"/>
      <c r="M485" s="362"/>
      <c r="N485" s="362"/>
      <c r="O485" s="362"/>
      <c r="P485" s="362">
        <f>G485</f>
        <v>1386</v>
      </c>
      <c r="Q485" s="362"/>
    </row>
    <row r="486" spans="1:17" s="304" customFormat="1" ht="18" customHeight="1">
      <c r="A486" s="300"/>
      <c r="B486" s="1080"/>
      <c r="C486" s="1082" t="s">
        <v>2</v>
      </c>
      <c r="D486" s="287"/>
      <c r="E486" s="287">
        <v>0.01</v>
      </c>
      <c r="F486" s="287">
        <f>SUM(G476:G485)</f>
        <v>9799.9</v>
      </c>
      <c r="G486" s="297"/>
      <c r="H486" s="362"/>
      <c r="I486" s="362"/>
      <c r="J486" s="362"/>
      <c r="K486" s="362"/>
      <c r="L486" s="362"/>
      <c r="M486" s="362"/>
      <c r="N486" s="362"/>
      <c r="O486" s="362"/>
      <c r="P486" s="362"/>
      <c r="Q486" s="362"/>
    </row>
    <row r="487" spans="1:17" s="292" customFormat="1" ht="18" customHeight="1">
      <c r="B487" s="293"/>
      <c r="C487" s="305" t="str">
        <f>"Add "&amp;$G$1*100&amp;"% on Labour for Municipal Limits"</f>
        <v>Add 0% on Labour for Municipal Limits</v>
      </c>
      <c r="E487" s="306">
        <f>$D$3</f>
        <v>0</v>
      </c>
      <c r="F487" s="287">
        <f>SUM(G483:G486)</f>
        <v>2896.4</v>
      </c>
      <c r="G487" s="297">
        <f>ROUND(F487*E487,2)</f>
        <v>0</v>
      </c>
      <c r="H487" s="362"/>
      <c r="I487" s="362"/>
      <c r="J487" s="362"/>
      <c r="K487" s="362"/>
      <c r="L487" s="362"/>
      <c r="M487" s="362"/>
      <c r="N487" s="362"/>
      <c r="O487" s="362"/>
      <c r="P487" s="362">
        <f>G487</f>
        <v>0</v>
      </c>
      <c r="Q487" s="362"/>
    </row>
    <row r="488" spans="1:17" s="304" customFormat="1" ht="18" customHeight="1">
      <c r="A488" s="300"/>
      <c r="B488" s="1080"/>
      <c r="C488" s="1082"/>
      <c r="D488" s="287"/>
      <c r="E488" s="287"/>
      <c r="F488" s="287"/>
      <c r="G488" s="297">
        <f>ROUND(SUM(G476:G487),2)</f>
        <v>9799.9</v>
      </c>
      <c r="H488" s="297">
        <f>ROUND(SUM(H476:H486),2)</f>
        <v>0</v>
      </c>
      <c r="I488" s="297">
        <f t="shared" ref="I488:P488" si="59">ROUND(SUM(I476:I486),2)</f>
        <v>260.58</v>
      </c>
      <c r="J488" s="297">
        <f t="shared" si="59"/>
        <v>0</v>
      </c>
      <c r="K488" s="297">
        <f t="shared" si="59"/>
        <v>216.92</v>
      </c>
      <c r="L488" s="297">
        <f t="shared" si="59"/>
        <v>0</v>
      </c>
      <c r="M488" s="297">
        <f t="shared" si="59"/>
        <v>0</v>
      </c>
      <c r="N488" s="297">
        <f t="shared" si="59"/>
        <v>0</v>
      </c>
      <c r="O488" s="297">
        <f t="shared" si="59"/>
        <v>0</v>
      </c>
      <c r="P488" s="297">
        <f t="shared" si="59"/>
        <v>9322.4</v>
      </c>
      <c r="Q488" s="364"/>
    </row>
    <row r="489" spans="1:17" s="293" customFormat="1" ht="18" customHeight="1">
      <c r="C489" s="1084" t="s">
        <v>473</v>
      </c>
      <c r="D489" s="256"/>
      <c r="E489" s="256"/>
      <c r="F489" s="298" t="s">
        <v>438</v>
      </c>
      <c r="G489" s="298">
        <f>G488</f>
        <v>9799.9</v>
      </c>
      <c r="H489" s="362"/>
      <c r="I489" s="362"/>
      <c r="J489" s="362"/>
      <c r="K489" s="362"/>
      <c r="L489" s="362"/>
      <c r="M489" s="362"/>
      <c r="N489" s="362"/>
      <c r="O489" s="362"/>
      <c r="P489" s="362"/>
      <c r="Q489" s="362"/>
    </row>
    <row r="490" spans="1:17" s="304" customFormat="1" ht="18" customHeight="1">
      <c r="A490" s="300"/>
      <c r="B490" s="1080"/>
      <c r="C490" s="1082"/>
      <c r="D490" s="287"/>
      <c r="E490" s="256" t="s">
        <v>409</v>
      </c>
      <c r="F490" s="256" t="s">
        <v>410</v>
      </c>
      <c r="G490" s="298" t="s">
        <v>411</v>
      </c>
      <c r="H490" s="361"/>
      <c r="I490" s="361"/>
      <c r="J490" s="361"/>
      <c r="K490" s="361"/>
      <c r="L490" s="361"/>
      <c r="M490" s="361"/>
      <c r="N490" s="361"/>
      <c r="O490" s="361"/>
      <c r="P490" s="361"/>
      <c r="Q490" s="361"/>
    </row>
    <row r="491" spans="1:17" s="304" customFormat="1" ht="18" customHeight="1">
      <c r="A491" s="300"/>
      <c r="B491" s="1080"/>
      <c r="C491" s="1082" t="s">
        <v>412</v>
      </c>
      <c r="D491" s="287"/>
      <c r="E491" s="309">
        <f>G489</f>
        <v>9799.9</v>
      </c>
      <c r="F491" s="309">
        <f>G489</f>
        <v>9799.9</v>
      </c>
      <c r="G491" s="297">
        <f>G489</f>
        <v>9799.9</v>
      </c>
      <c r="H491" s="361">
        <f>H488</f>
        <v>0</v>
      </c>
      <c r="I491" s="361">
        <f t="shared" ref="I491:P491" si="60">I488</f>
        <v>260.58</v>
      </c>
      <c r="J491" s="361">
        <f t="shared" si="60"/>
        <v>0</v>
      </c>
      <c r="K491" s="361">
        <f t="shared" si="60"/>
        <v>216.92</v>
      </c>
      <c r="L491" s="361">
        <f t="shared" si="60"/>
        <v>0</v>
      </c>
      <c r="M491" s="361">
        <f t="shared" si="60"/>
        <v>0</v>
      </c>
      <c r="N491" s="361">
        <f t="shared" si="60"/>
        <v>0</v>
      </c>
      <c r="O491" s="361">
        <f t="shared" si="60"/>
        <v>0</v>
      </c>
      <c r="P491" s="361">
        <f t="shared" si="60"/>
        <v>9322.4</v>
      </c>
      <c r="Q491" s="361"/>
    </row>
    <row r="492" spans="1:17" s="304" customFormat="1" ht="18" customHeight="1">
      <c r="A492" s="300"/>
      <c r="B492" s="1080"/>
      <c r="C492" s="1082" t="s">
        <v>483</v>
      </c>
      <c r="D492" s="310"/>
      <c r="E492" s="314"/>
      <c r="F492" s="309">
        <f>SUM(G483:G485)*10%</f>
        <v>289.64000000000004</v>
      </c>
      <c r="G492" s="297">
        <f>ROUND(F492*2,2)</f>
        <v>579.28</v>
      </c>
      <c r="H492" s="362"/>
      <c r="I492" s="362"/>
      <c r="J492" s="362"/>
      <c r="K492" s="362"/>
      <c r="L492" s="362"/>
      <c r="M492" s="362"/>
      <c r="N492" s="362"/>
      <c r="O492" s="362"/>
      <c r="P492" s="362"/>
      <c r="Q492" s="362"/>
    </row>
    <row r="493" spans="1:17" s="304" customFormat="1" ht="18" customHeight="1">
      <c r="A493" s="300"/>
      <c r="B493" s="1080"/>
      <c r="C493" s="305" t="str">
        <f>"Add "&amp;$G$1*100&amp;"% on Labour for Municipal Limits"</f>
        <v>Add 0% on Labour for Municipal Limits</v>
      </c>
      <c r="D493" s="287"/>
      <c r="E493" s="314">
        <f>ROUND(SUM(E491:E492)*$D$3,2)</f>
        <v>0</v>
      </c>
      <c r="F493" s="314">
        <f>ROUND(SUM(F491:F492)*$D$3,2)</f>
        <v>0</v>
      </c>
      <c r="G493" s="314">
        <f>ROUND(SUM(G491:G492)*$D$3,2)</f>
        <v>0</v>
      </c>
      <c r="H493" s="362"/>
      <c r="I493" s="362"/>
      <c r="J493" s="362"/>
      <c r="K493" s="362"/>
      <c r="L493" s="362"/>
      <c r="M493" s="362"/>
      <c r="N493" s="362"/>
      <c r="O493" s="362"/>
      <c r="P493" s="362"/>
      <c r="Q493" s="362"/>
    </row>
    <row r="494" spans="1:17" s="304" customFormat="1" ht="18" customHeight="1">
      <c r="A494" s="300"/>
      <c r="B494" s="1080"/>
      <c r="C494" s="1082"/>
      <c r="D494" s="310"/>
      <c r="E494" s="309">
        <f>SUM(E491:E493)</f>
        <v>9799.9</v>
      </c>
      <c r="F494" s="309">
        <f>SUM(F491:F493)</f>
        <v>10089.539999999999</v>
      </c>
      <c r="G494" s="309">
        <f>SUM(G491:G493)</f>
        <v>10379.18</v>
      </c>
      <c r="H494" s="364"/>
      <c r="I494" s="364"/>
      <c r="J494" s="364"/>
      <c r="K494" s="364"/>
      <c r="L494" s="364"/>
      <c r="M494" s="364"/>
      <c r="N494" s="364"/>
      <c r="O494" s="364"/>
      <c r="P494" s="364"/>
      <c r="Q494" s="364"/>
    </row>
    <row r="495" spans="1:17" s="304" customFormat="1" ht="18" customHeight="1">
      <c r="A495" s="300"/>
      <c r="B495" s="1080"/>
      <c r="C495" s="1082" t="s">
        <v>691</v>
      </c>
      <c r="D495" s="309">
        <f>ROUND(D494*D2,2)</f>
        <v>0</v>
      </c>
      <c r="E495" s="309">
        <f>ROUND(E494*D2,2)</f>
        <v>0</v>
      </c>
      <c r="F495" s="309">
        <f>ROUND(F494*D2,2)</f>
        <v>0</v>
      </c>
      <c r="G495" s="309">
        <f>ROUND(G494*D2,2)</f>
        <v>0</v>
      </c>
      <c r="H495" s="362"/>
      <c r="I495" s="362"/>
      <c r="J495" s="362"/>
      <c r="K495" s="362"/>
      <c r="L495" s="362"/>
      <c r="M495" s="362"/>
      <c r="N495" s="362"/>
      <c r="O495" s="362"/>
      <c r="P495" s="362"/>
      <c r="Q495" s="362"/>
    </row>
    <row r="496" spans="1:17" s="293" customFormat="1" ht="18" customHeight="1">
      <c r="C496" s="1084" t="s">
        <v>931</v>
      </c>
      <c r="D496" s="271"/>
      <c r="E496" s="298">
        <f>SUM(E494:E495)</f>
        <v>9799.9</v>
      </c>
      <c r="F496" s="298">
        <f>SUM(F494:F495)</f>
        <v>10089.539999999999</v>
      </c>
      <c r="G496" s="298">
        <f>SUM(G494:G495)</f>
        <v>10379.18</v>
      </c>
      <c r="H496" s="361">
        <f>H491</f>
        <v>0</v>
      </c>
      <c r="I496" s="361">
        <f t="shared" ref="I496:P496" si="61">I491</f>
        <v>260.58</v>
      </c>
      <c r="J496" s="361">
        <f t="shared" si="61"/>
        <v>0</v>
      </c>
      <c r="K496" s="361">
        <f t="shared" si="61"/>
        <v>216.92</v>
      </c>
      <c r="L496" s="361">
        <f t="shared" si="61"/>
        <v>0</v>
      </c>
      <c r="M496" s="361">
        <f t="shared" si="61"/>
        <v>0</v>
      </c>
      <c r="N496" s="361">
        <f t="shared" si="61"/>
        <v>0</v>
      </c>
      <c r="O496" s="361">
        <f t="shared" si="61"/>
        <v>0</v>
      </c>
      <c r="P496" s="361">
        <f t="shared" si="61"/>
        <v>9322.4</v>
      </c>
      <c r="Q496" s="361"/>
    </row>
    <row r="497" spans="1:17" s="293" customFormat="1" ht="18" customHeight="1">
      <c r="C497" s="1083" t="s">
        <v>930</v>
      </c>
      <c r="D497" s="263"/>
      <c r="E497" s="256">
        <f>ROUND(E496/10,2)</f>
        <v>979.99</v>
      </c>
      <c r="F497" s="256">
        <f>ROUND(F496/10,2)</f>
        <v>1008.95</v>
      </c>
      <c r="G497" s="256">
        <f>ROUND(G496/10,2)</f>
        <v>1037.92</v>
      </c>
      <c r="H497" s="361">
        <f>ROUND(H496/10,2)</f>
        <v>0</v>
      </c>
      <c r="I497" s="361">
        <f t="shared" ref="I497:P497" si="62">ROUND(I496/10,2)</f>
        <v>26.06</v>
      </c>
      <c r="J497" s="361">
        <f t="shared" si="62"/>
        <v>0</v>
      </c>
      <c r="K497" s="361">
        <f t="shared" si="62"/>
        <v>21.69</v>
      </c>
      <c r="L497" s="361">
        <f t="shared" si="62"/>
        <v>0</v>
      </c>
      <c r="M497" s="361">
        <f t="shared" si="62"/>
        <v>0</v>
      </c>
      <c r="N497" s="361">
        <f t="shared" si="62"/>
        <v>0</v>
      </c>
      <c r="O497" s="361">
        <f t="shared" si="62"/>
        <v>0</v>
      </c>
      <c r="P497" s="361">
        <f t="shared" si="62"/>
        <v>932.24</v>
      </c>
      <c r="Q497" s="361">
        <f>SUM(H497:P497)</f>
        <v>979.99</v>
      </c>
    </row>
    <row r="498" spans="1:17" s="293" customFormat="1" ht="18" hidden="1" customHeight="1">
      <c r="C498" s="1084" t="s">
        <v>926</v>
      </c>
      <c r="D498" s="263"/>
      <c r="E498" s="256"/>
      <c r="F498" s="256"/>
      <c r="G498" s="256"/>
      <c r="H498" s="361">
        <f>H491</f>
        <v>0</v>
      </c>
      <c r="I498" s="361">
        <f t="shared" ref="I498:O498" si="63">I491</f>
        <v>260.58</v>
      </c>
      <c r="J498" s="361">
        <f t="shared" si="63"/>
        <v>0</v>
      </c>
      <c r="K498" s="361">
        <f t="shared" si="63"/>
        <v>216.92</v>
      </c>
      <c r="L498" s="361">
        <f t="shared" si="63"/>
        <v>0</v>
      </c>
      <c r="M498" s="361">
        <f t="shared" si="63"/>
        <v>0</v>
      </c>
      <c r="N498" s="361">
        <f t="shared" si="63"/>
        <v>0</v>
      </c>
      <c r="O498" s="361">
        <f t="shared" si="63"/>
        <v>0</v>
      </c>
      <c r="P498" s="361">
        <f>P491+SUM(F492)</f>
        <v>9612.0399999999991</v>
      </c>
      <c r="Q498" s="361"/>
    </row>
    <row r="499" spans="1:17" s="293" customFormat="1" ht="18" hidden="1" customHeight="1">
      <c r="C499" s="1084" t="s">
        <v>925</v>
      </c>
      <c r="D499" s="263"/>
      <c r="E499" s="256"/>
      <c r="F499" s="256"/>
      <c r="G499" s="256"/>
      <c r="H499" s="361">
        <f>ROUND(H498/10,2)</f>
        <v>0</v>
      </c>
      <c r="I499" s="361">
        <f t="shared" ref="I499:P499" si="64">ROUND(I498/10,2)</f>
        <v>26.06</v>
      </c>
      <c r="J499" s="361">
        <f t="shared" si="64"/>
        <v>0</v>
      </c>
      <c r="K499" s="361">
        <f t="shared" si="64"/>
        <v>21.69</v>
      </c>
      <c r="L499" s="361">
        <f t="shared" si="64"/>
        <v>0</v>
      </c>
      <c r="M499" s="361">
        <f t="shared" si="64"/>
        <v>0</v>
      </c>
      <c r="N499" s="361">
        <f t="shared" si="64"/>
        <v>0</v>
      </c>
      <c r="O499" s="361">
        <f t="shared" si="64"/>
        <v>0</v>
      </c>
      <c r="P499" s="361">
        <f t="shared" si="64"/>
        <v>961.2</v>
      </c>
      <c r="Q499" s="361">
        <f>SUM(H499:P499)</f>
        <v>1008.95</v>
      </c>
    </row>
    <row r="500" spans="1:17" s="292" customFormat="1" ht="60" customHeight="1">
      <c r="A500" s="1080" t="s">
        <v>1041</v>
      </c>
      <c r="B500" s="293">
        <v>20</v>
      </c>
      <c r="C500" s="1309" t="s">
        <v>1936</v>
      </c>
      <c r="D500" s="1309"/>
      <c r="E500" s="1309"/>
      <c r="F500" s="1309"/>
      <c r="G500" s="1309"/>
      <c r="H500" s="362"/>
      <c r="I500" s="362"/>
      <c r="J500" s="362"/>
      <c r="K500" s="362"/>
      <c r="L500" s="362"/>
      <c r="M500" s="362"/>
      <c r="N500" s="362"/>
      <c r="O500" s="362"/>
      <c r="P500" s="362"/>
      <c r="Q500" s="362"/>
    </row>
    <row r="501" spans="1:17" s="304" customFormat="1" ht="18" customHeight="1">
      <c r="A501" s="300"/>
      <c r="B501" s="1080"/>
      <c r="C501" s="1082" t="s">
        <v>326</v>
      </c>
      <c r="D501" s="287"/>
      <c r="E501" s="287"/>
      <c r="F501" s="287"/>
      <c r="G501" s="297"/>
      <c r="H501" s="364"/>
      <c r="I501" s="364"/>
      <c r="J501" s="364"/>
      <c r="K501" s="364"/>
      <c r="L501" s="364"/>
      <c r="M501" s="364"/>
      <c r="N501" s="364"/>
      <c r="O501" s="364"/>
      <c r="P501" s="364"/>
      <c r="Q501" s="364"/>
    </row>
    <row r="502" spans="1:17" s="304" customFormat="1" ht="18" customHeight="1">
      <c r="A502" s="300"/>
      <c r="B502" s="1080"/>
      <c r="C502" s="1082" t="s">
        <v>177</v>
      </c>
      <c r="D502" s="287"/>
      <c r="E502" s="287"/>
      <c r="F502" s="287"/>
      <c r="G502" s="297"/>
      <c r="H502" s="367"/>
      <c r="I502" s="367"/>
      <c r="J502" s="367"/>
      <c r="K502" s="367"/>
      <c r="L502" s="367"/>
      <c r="M502" s="367"/>
      <c r="N502" s="367"/>
      <c r="O502" s="367"/>
      <c r="P502" s="367"/>
      <c r="Q502" s="367"/>
    </row>
    <row r="503" spans="1:17" s="304" customFormat="1" ht="24" customHeight="1">
      <c r="A503" s="300"/>
      <c r="B503" s="1080"/>
      <c r="C503" s="1082" t="s">
        <v>731</v>
      </c>
      <c r="D503" s="287" t="s">
        <v>114</v>
      </c>
      <c r="E503" s="287">
        <v>10.5</v>
      </c>
      <c r="F503" s="287">
        <f>F476</f>
        <v>612</v>
      </c>
      <c r="G503" s="297">
        <f>ROUND(E503*F503,2)</f>
        <v>6426</v>
      </c>
      <c r="H503" s="367"/>
      <c r="I503" s="367"/>
      <c r="J503" s="367"/>
      <c r="K503" s="367"/>
      <c r="L503" s="367"/>
      <c r="M503" s="367"/>
      <c r="N503" s="367"/>
      <c r="O503" s="367"/>
      <c r="P503" s="367">
        <f>G503</f>
        <v>6426</v>
      </c>
      <c r="Q503" s="367"/>
    </row>
    <row r="504" spans="1:17" s="304" customFormat="1" ht="18" customHeight="1">
      <c r="A504" s="300"/>
      <c r="B504" s="1080"/>
      <c r="C504" s="1082" t="s">
        <v>486</v>
      </c>
      <c r="D504" s="287" t="s">
        <v>112</v>
      </c>
      <c r="E504" s="287">
        <v>0.12</v>
      </c>
      <c r="F504" s="287">
        <f>'lead 1'!M12</f>
        <v>1549.4</v>
      </c>
      <c r="G504" s="297">
        <f>ROUND(E504*F504,2)</f>
        <v>185.93</v>
      </c>
      <c r="H504" s="367"/>
      <c r="I504" s="367"/>
      <c r="J504" s="367"/>
      <c r="K504" s="367">
        <f>G504</f>
        <v>185.93</v>
      </c>
      <c r="M504" s="367"/>
      <c r="N504" s="367"/>
      <c r="O504" s="367"/>
      <c r="P504" s="367"/>
      <c r="Q504" s="367"/>
    </row>
    <row r="505" spans="1:17" s="304" customFormat="1" ht="18" customHeight="1">
      <c r="A505" s="300"/>
      <c r="B505" s="1080"/>
      <c r="C505" s="1082" t="s">
        <v>487</v>
      </c>
      <c r="D505" s="287" t="s">
        <v>113</v>
      </c>
      <c r="E505" s="287">
        <v>34.56</v>
      </c>
      <c r="F505" s="287">
        <f>'lead 1'!M8</f>
        <v>4300</v>
      </c>
      <c r="G505" s="297">
        <f>ROUND(E505*F505/1000,2)</f>
        <v>148.61000000000001</v>
      </c>
      <c r="H505" s="366"/>
      <c r="I505" s="366">
        <f>G505</f>
        <v>148.61000000000001</v>
      </c>
      <c r="J505" s="366"/>
      <c r="K505" s="366"/>
      <c r="L505" s="366"/>
      <c r="M505" s="366"/>
      <c r="N505" s="366"/>
      <c r="O505" s="366"/>
      <c r="P505" s="366"/>
      <c r="Q505" s="366"/>
    </row>
    <row r="506" spans="1:17" s="304" customFormat="1" ht="18" customHeight="1">
      <c r="A506" s="300"/>
      <c r="B506" s="1080"/>
      <c r="C506" s="1082" t="s">
        <v>488</v>
      </c>
      <c r="D506" s="287" t="s">
        <v>113</v>
      </c>
      <c r="E506" s="287">
        <v>33</v>
      </c>
      <c r="F506" s="287">
        <f>'lead 1'!M8</f>
        <v>4300</v>
      </c>
      <c r="G506" s="297">
        <f>ROUND(E506*F506/1000,2)</f>
        <v>141.9</v>
      </c>
      <c r="H506" s="367"/>
      <c r="I506" s="366">
        <f>G506</f>
        <v>141.9</v>
      </c>
      <c r="J506" s="367"/>
      <c r="K506" s="367"/>
      <c r="L506" s="367"/>
      <c r="M506" s="367"/>
      <c r="N506" s="367"/>
      <c r="O506" s="367"/>
      <c r="P506" s="367"/>
      <c r="Q506" s="367"/>
    </row>
    <row r="507" spans="1:17" s="304" customFormat="1" ht="18" customHeight="1">
      <c r="A507" s="300"/>
      <c r="B507" s="1080"/>
      <c r="C507" s="1082" t="s">
        <v>990</v>
      </c>
      <c r="D507" s="287" t="s">
        <v>113</v>
      </c>
      <c r="E507" s="287">
        <v>2</v>
      </c>
      <c r="F507" s="287">
        <f>'lead 1'!H79</f>
        <v>27</v>
      </c>
      <c r="G507" s="297">
        <f>ROUND(E507*F507,2)</f>
        <v>54</v>
      </c>
      <c r="H507" s="362"/>
      <c r="I507" s="366">
        <f>G507</f>
        <v>54</v>
      </c>
      <c r="J507" s="362"/>
      <c r="K507" s="362"/>
      <c r="L507" s="362"/>
      <c r="M507" s="362"/>
      <c r="N507" s="362"/>
      <c r="O507" s="362"/>
      <c r="P507" s="362"/>
      <c r="Q507" s="362"/>
    </row>
    <row r="508" spans="1:17" s="304" customFormat="1" ht="18" customHeight="1">
      <c r="A508" s="300"/>
      <c r="B508" s="1080"/>
      <c r="C508" s="1082" t="s">
        <v>379</v>
      </c>
      <c r="D508" s="287" t="s">
        <v>112</v>
      </c>
      <c r="E508" s="287">
        <v>0.12</v>
      </c>
      <c r="F508" s="287"/>
      <c r="G508" s="297"/>
      <c r="H508" s="362"/>
      <c r="I508" s="362"/>
      <c r="J508" s="362"/>
      <c r="K508" s="362"/>
      <c r="L508" s="362"/>
      <c r="M508" s="362"/>
      <c r="N508" s="362"/>
      <c r="O508" s="362"/>
      <c r="P508" s="362"/>
      <c r="Q508" s="362"/>
    </row>
    <row r="509" spans="1:17" s="304" customFormat="1" ht="18" customHeight="1">
      <c r="A509" s="300"/>
      <c r="B509" s="1080"/>
      <c r="C509" s="1082" t="s">
        <v>3</v>
      </c>
      <c r="D509" s="287"/>
      <c r="E509" s="287"/>
      <c r="F509" s="287"/>
      <c r="G509" s="297"/>
      <c r="H509" s="364"/>
      <c r="I509" s="364"/>
      <c r="J509" s="364"/>
      <c r="K509" s="364"/>
      <c r="L509" s="364"/>
      <c r="M509" s="364"/>
      <c r="N509" s="364"/>
      <c r="O509" s="364"/>
      <c r="P509" s="364"/>
      <c r="Q509" s="364"/>
    </row>
    <row r="510" spans="1:17" s="304" customFormat="1" ht="18" customHeight="1">
      <c r="A510" s="300"/>
      <c r="B510" s="1080"/>
      <c r="C510" s="1082" t="s">
        <v>490</v>
      </c>
      <c r="D510" s="287" t="s">
        <v>186</v>
      </c>
      <c r="E510" s="287">
        <v>0.96</v>
      </c>
      <c r="F510" s="287">
        <f>'lead 1'!M31</f>
        <v>500</v>
      </c>
      <c r="G510" s="297">
        <f>ROUND(E510*F510,2)</f>
        <v>480</v>
      </c>
      <c r="H510" s="362"/>
      <c r="I510" s="362"/>
      <c r="J510" s="362"/>
      <c r="K510" s="362"/>
      <c r="L510" s="362"/>
      <c r="M510" s="362"/>
      <c r="N510" s="362"/>
      <c r="O510" s="362"/>
      <c r="P510" s="362">
        <f>G510</f>
        <v>480</v>
      </c>
      <c r="Q510" s="362"/>
    </row>
    <row r="511" spans="1:17" s="304" customFormat="1" ht="18" customHeight="1">
      <c r="A511" s="300"/>
      <c r="B511" s="1080"/>
      <c r="C511" s="1082" t="s">
        <v>266</v>
      </c>
      <c r="D511" s="287" t="s">
        <v>186</v>
      </c>
      <c r="E511" s="287">
        <v>2.2400000000000002</v>
      </c>
      <c r="F511" s="287">
        <f>'lead 1'!M30</f>
        <v>460</v>
      </c>
      <c r="G511" s="297">
        <f>ROUND(E511*F511,2)</f>
        <v>1030.4000000000001</v>
      </c>
      <c r="H511" s="361"/>
      <c r="I511" s="361"/>
      <c r="J511" s="361"/>
      <c r="K511" s="361"/>
      <c r="L511" s="361"/>
      <c r="M511" s="361"/>
      <c r="N511" s="361"/>
      <c r="O511" s="361"/>
      <c r="P511" s="362">
        <f>G511</f>
        <v>1030.4000000000001</v>
      </c>
      <c r="Q511" s="361"/>
    </row>
    <row r="512" spans="1:17" s="304" customFormat="1" ht="18" customHeight="1">
      <c r="A512" s="300"/>
      <c r="B512" s="1080"/>
      <c r="C512" s="1082" t="s">
        <v>4</v>
      </c>
      <c r="D512" s="287" t="s">
        <v>186</v>
      </c>
      <c r="E512" s="287">
        <v>3.3</v>
      </c>
      <c r="F512" s="287">
        <f>'lead 1'!M28</f>
        <v>420</v>
      </c>
      <c r="G512" s="297">
        <f>ROUND(E512*F512,2)</f>
        <v>1386</v>
      </c>
      <c r="H512" s="361"/>
      <c r="I512" s="361"/>
      <c r="J512" s="361"/>
      <c r="K512" s="361"/>
      <c r="L512" s="361"/>
      <c r="M512" s="361"/>
      <c r="N512" s="361"/>
      <c r="O512" s="361"/>
      <c r="P512" s="362">
        <f>G512</f>
        <v>1386</v>
      </c>
      <c r="Q512" s="361"/>
    </row>
    <row r="513" spans="1:17" s="292" customFormat="1" ht="18" customHeight="1">
      <c r="B513" s="293"/>
      <c r="C513" s="320" t="s">
        <v>105</v>
      </c>
      <c r="E513" s="306"/>
      <c r="F513" s="287">
        <f>SUM(G510:G512)</f>
        <v>2896.4</v>
      </c>
      <c r="G513" s="297">
        <f>ROUND(F513*E513,2)</f>
        <v>0</v>
      </c>
      <c r="H513" s="362"/>
      <c r="I513" s="362"/>
      <c r="J513" s="362"/>
      <c r="K513" s="362"/>
      <c r="L513" s="362"/>
      <c r="M513" s="362"/>
      <c r="N513" s="362"/>
      <c r="O513" s="362"/>
      <c r="P513" s="362"/>
      <c r="Q513" s="362"/>
    </row>
    <row r="514" spans="1:17" s="292" customFormat="1" ht="18" customHeight="1">
      <c r="B514" s="293"/>
      <c r="C514" s="1082" t="s">
        <v>2</v>
      </c>
      <c r="D514" s="287"/>
      <c r="E514" s="287">
        <v>0.01</v>
      </c>
      <c r="F514" s="287">
        <f>SUM(G503:G512)</f>
        <v>9852.84</v>
      </c>
      <c r="G514" s="297"/>
      <c r="H514" s="364"/>
      <c r="I514" s="364"/>
      <c r="J514" s="364"/>
      <c r="K514" s="364"/>
      <c r="L514" s="364"/>
      <c r="M514" s="364"/>
      <c r="N514" s="364"/>
      <c r="O514" s="364"/>
      <c r="P514" s="364"/>
      <c r="Q514" s="364"/>
    </row>
    <row r="515" spans="1:17" s="304" customFormat="1" ht="18" customHeight="1">
      <c r="A515" s="300"/>
      <c r="B515" s="1080"/>
      <c r="F515" s="287"/>
      <c r="G515" s="297">
        <f>SUM(G502:G514)</f>
        <v>9852.84</v>
      </c>
      <c r="H515" s="297">
        <f t="shared" ref="H515:P515" si="65">SUM(H502:H514)</f>
        <v>0</v>
      </c>
      <c r="I515" s="297">
        <f t="shared" si="65"/>
        <v>344.51</v>
      </c>
      <c r="J515" s="297">
        <f t="shared" si="65"/>
        <v>0</v>
      </c>
      <c r="K515" s="297">
        <f t="shared" si="65"/>
        <v>185.93</v>
      </c>
      <c r="L515" s="297">
        <f t="shared" si="65"/>
        <v>0</v>
      </c>
      <c r="M515" s="297">
        <f t="shared" si="65"/>
        <v>0</v>
      </c>
      <c r="N515" s="297">
        <f t="shared" si="65"/>
        <v>0</v>
      </c>
      <c r="O515" s="297">
        <f t="shared" si="65"/>
        <v>0</v>
      </c>
      <c r="P515" s="297">
        <f t="shared" si="65"/>
        <v>9322.4</v>
      </c>
      <c r="Q515" s="362"/>
    </row>
    <row r="516" spans="1:17" s="263" customFormat="1" ht="18" customHeight="1">
      <c r="B516" s="315"/>
      <c r="C516" s="1084" t="s">
        <v>460</v>
      </c>
      <c r="E516" s="321" t="s">
        <v>409</v>
      </c>
      <c r="F516" s="322" t="s">
        <v>410</v>
      </c>
      <c r="G516" s="321" t="s">
        <v>411</v>
      </c>
      <c r="H516" s="362"/>
      <c r="I516" s="362"/>
      <c r="J516" s="362"/>
      <c r="K516" s="362"/>
      <c r="L516" s="362"/>
      <c r="M516" s="362"/>
      <c r="N516" s="362"/>
      <c r="O516" s="362"/>
      <c r="P516" s="362"/>
      <c r="Q516" s="362"/>
    </row>
    <row r="517" spans="1:17" s="263" customFormat="1" ht="18" customHeight="1">
      <c r="B517" s="315"/>
      <c r="C517" s="323" t="s">
        <v>491</v>
      </c>
      <c r="E517" s="287">
        <f>G515</f>
        <v>9852.84</v>
      </c>
      <c r="F517" s="287">
        <f>E517</f>
        <v>9852.84</v>
      </c>
      <c r="G517" s="287">
        <f>F517</f>
        <v>9852.84</v>
      </c>
      <c r="H517" s="361">
        <f>H515</f>
        <v>0</v>
      </c>
      <c r="I517" s="361">
        <f t="shared" ref="I517:P517" si="66">I515</f>
        <v>344.51</v>
      </c>
      <c r="J517" s="361">
        <f t="shared" si="66"/>
        <v>0</v>
      </c>
      <c r="K517" s="361">
        <f t="shared" si="66"/>
        <v>185.93</v>
      </c>
      <c r="L517" s="361">
        <f t="shared" si="66"/>
        <v>0</v>
      </c>
      <c r="M517" s="361">
        <f t="shared" si="66"/>
        <v>0</v>
      </c>
      <c r="N517" s="361">
        <f t="shared" si="66"/>
        <v>0</v>
      </c>
      <c r="O517" s="361">
        <f t="shared" si="66"/>
        <v>0</v>
      </c>
      <c r="P517" s="361">
        <f t="shared" si="66"/>
        <v>9322.4</v>
      </c>
      <c r="Q517" s="361"/>
    </row>
    <row r="518" spans="1:17" s="263" customFormat="1" ht="18" customHeight="1">
      <c r="B518" s="315"/>
      <c r="C518" s="1082" t="s">
        <v>492</v>
      </c>
      <c r="E518" s="287">
        <v>0</v>
      </c>
      <c r="F518" s="287">
        <f>F513*0.1</f>
        <v>289.64000000000004</v>
      </c>
      <c r="G518" s="287">
        <f>F518*2</f>
        <v>579.28000000000009</v>
      </c>
      <c r="H518" s="361"/>
      <c r="I518" s="361"/>
      <c r="J518" s="361"/>
      <c r="K518" s="361"/>
      <c r="L518" s="361"/>
      <c r="M518" s="361"/>
      <c r="N518" s="361"/>
      <c r="O518" s="361"/>
      <c r="P518" s="361"/>
      <c r="Q518" s="361"/>
    </row>
    <row r="519" spans="1:17" s="263" customFormat="1" ht="18" customHeight="1">
      <c r="B519" s="315"/>
      <c r="C519" s="324" t="s">
        <v>493</v>
      </c>
      <c r="E519" s="256">
        <f>SUM(E517:E518)</f>
        <v>9852.84</v>
      </c>
      <c r="F519" s="256">
        <f>SUM(F517:F518)</f>
        <v>10142.48</v>
      </c>
      <c r="G519" s="256">
        <f>SUM(G517:G518)</f>
        <v>10432.120000000001</v>
      </c>
      <c r="H519" s="362"/>
      <c r="I519" s="362"/>
      <c r="J519" s="362"/>
      <c r="K519" s="362"/>
      <c r="L519" s="362"/>
      <c r="M519" s="362"/>
      <c r="N519" s="362"/>
      <c r="O519" s="362"/>
      <c r="P519" s="362"/>
      <c r="Q519" s="362"/>
    </row>
    <row r="520" spans="1:17" s="304" customFormat="1" ht="18" customHeight="1">
      <c r="A520" s="300"/>
      <c r="B520" s="1080"/>
      <c r="C520" s="1082" t="s">
        <v>691</v>
      </c>
      <c r="D520" s="309">
        <f>ROUND(D519*D2,2)</f>
        <v>0</v>
      </c>
      <c r="E520" s="309">
        <f>ROUND(E519*D2,2)</f>
        <v>0</v>
      </c>
      <c r="F520" s="309">
        <f>ROUND(F519*D2,2)</f>
        <v>0</v>
      </c>
      <c r="G520" s="309">
        <f>ROUND(G519*D2,2)</f>
        <v>0</v>
      </c>
      <c r="H520" s="364"/>
      <c r="I520" s="364"/>
      <c r="J520" s="364"/>
      <c r="K520" s="364"/>
      <c r="L520" s="364"/>
      <c r="M520" s="364"/>
      <c r="N520" s="364"/>
      <c r="O520" s="364"/>
      <c r="P520" s="364"/>
      <c r="Q520" s="364"/>
    </row>
    <row r="521" spans="1:17" s="263" customFormat="1" ht="18" customHeight="1">
      <c r="B521" s="315"/>
      <c r="C521" s="1083" t="s">
        <v>932</v>
      </c>
      <c r="E521" s="256">
        <f>SUM(E519:E520)</f>
        <v>9852.84</v>
      </c>
      <c r="F521" s="256">
        <f>SUM(F519:F520)</f>
        <v>10142.48</v>
      </c>
      <c r="G521" s="256">
        <f>SUM(G519:G520)</f>
        <v>10432.120000000001</v>
      </c>
      <c r="H521" s="362">
        <f>SUM(H517:H520)</f>
        <v>0</v>
      </c>
      <c r="I521" s="362">
        <f t="shared" ref="I521:P521" si="67">SUM(I517:I520)</f>
        <v>344.51</v>
      </c>
      <c r="J521" s="362">
        <f t="shared" si="67"/>
        <v>0</v>
      </c>
      <c r="K521" s="362">
        <f t="shared" si="67"/>
        <v>185.93</v>
      </c>
      <c r="L521" s="362">
        <f t="shared" si="67"/>
        <v>0</v>
      </c>
      <c r="M521" s="362">
        <f t="shared" si="67"/>
        <v>0</v>
      </c>
      <c r="N521" s="362">
        <f t="shared" si="67"/>
        <v>0</v>
      </c>
      <c r="O521" s="362">
        <f t="shared" si="67"/>
        <v>0</v>
      </c>
      <c r="P521" s="362">
        <f t="shared" si="67"/>
        <v>9322.4</v>
      </c>
      <c r="Q521" s="362"/>
    </row>
    <row r="522" spans="1:17" s="263" customFormat="1" ht="18" customHeight="1">
      <c r="B522" s="315"/>
      <c r="C522" s="1083" t="s">
        <v>933</v>
      </c>
      <c r="E522" s="256">
        <f>ROUND(E521/10,2)</f>
        <v>985.28</v>
      </c>
      <c r="F522" s="256">
        <f>ROUND(F521/10,2)</f>
        <v>1014.25</v>
      </c>
      <c r="G522" s="256">
        <f>ROUND(G521/10,2)</f>
        <v>1043.21</v>
      </c>
      <c r="H522" s="361">
        <f>ROUND(H521/10,2)</f>
        <v>0</v>
      </c>
      <c r="I522" s="361">
        <f t="shared" ref="I522:P522" si="68">ROUND(I521/10,2)</f>
        <v>34.450000000000003</v>
      </c>
      <c r="J522" s="361">
        <f t="shared" si="68"/>
        <v>0</v>
      </c>
      <c r="K522" s="361">
        <f t="shared" si="68"/>
        <v>18.59</v>
      </c>
      <c r="L522" s="361">
        <f t="shared" si="68"/>
        <v>0</v>
      </c>
      <c r="M522" s="361">
        <f t="shared" si="68"/>
        <v>0</v>
      </c>
      <c r="N522" s="361">
        <f t="shared" si="68"/>
        <v>0</v>
      </c>
      <c r="O522" s="361">
        <f t="shared" si="68"/>
        <v>0</v>
      </c>
      <c r="P522" s="361">
        <f t="shared" si="68"/>
        <v>932.24</v>
      </c>
      <c r="Q522" s="362"/>
    </row>
    <row r="523" spans="1:17" s="263" customFormat="1" ht="18" hidden="1" customHeight="1">
      <c r="B523" s="315"/>
      <c r="C523" s="1083" t="s">
        <v>934</v>
      </c>
      <c r="E523" s="256"/>
      <c r="F523" s="256"/>
      <c r="G523" s="256"/>
      <c r="H523" s="361">
        <f>H517</f>
        <v>0</v>
      </c>
      <c r="I523" s="361">
        <f t="shared" ref="I523:O523" si="69">I517</f>
        <v>344.51</v>
      </c>
      <c r="J523" s="361">
        <f t="shared" si="69"/>
        <v>0</v>
      </c>
      <c r="K523" s="361">
        <f t="shared" si="69"/>
        <v>185.93</v>
      </c>
      <c r="L523" s="361">
        <f t="shared" si="69"/>
        <v>0</v>
      </c>
      <c r="M523" s="361">
        <f t="shared" si="69"/>
        <v>0</v>
      </c>
      <c r="N523" s="361">
        <f t="shared" si="69"/>
        <v>0</v>
      </c>
      <c r="O523" s="361">
        <f t="shared" si="69"/>
        <v>0</v>
      </c>
      <c r="P523" s="361">
        <f>P517+F518</f>
        <v>9612.0399999999991</v>
      </c>
      <c r="Q523" s="361"/>
    </row>
    <row r="524" spans="1:17" s="263" customFormat="1" ht="18" hidden="1" customHeight="1">
      <c r="B524" s="315"/>
      <c r="C524" s="1083" t="s">
        <v>935</v>
      </c>
      <c r="E524" s="256"/>
      <c r="F524" s="256"/>
      <c r="G524" s="256"/>
      <c r="H524" s="361">
        <f>ROUND(H523/10,2)</f>
        <v>0</v>
      </c>
      <c r="I524" s="361">
        <f t="shared" ref="I524:P524" si="70">ROUND(I523/10,2)</f>
        <v>34.450000000000003</v>
      </c>
      <c r="J524" s="361">
        <f t="shared" si="70"/>
        <v>0</v>
      </c>
      <c r="K524" s="361">
        <f t="shared" si="70"/>
        <v>18.59</v>
      </c>
      <c r="L524" s="361">
        <f t="shared" si="70"/>
        <v>0</v>
      </c>
      <c r="M524" s="361">
        <f t="shared" si="70"/>
        <v>0</v>
      </c>
      <c r="N524" s="361">
        <f t="shared" si="70"/>
        <v>0</v>
      </c>
      <c r="O524" s="361">
        <f t="shared" si="70"/>
        <v>0</v>
      </c>
      <c r="P524" s="361">
        <f t="shared" si="70"/>
        <v>961.2</v>
      </c>
      <c r="Q524" s="361">
        <f>SUM(H524:P524)</f>
        <v>1014.24</v>
      </c>
    </row>
    <row r="525" spans="1:17" s="292" customFormat="1" ht="72" hidden="1" customHeight="1">
      <c r="A525" s="1080" t="s">
        <v>1042</v>
      </c>
      <c r="B525" s="293">
        <f>B500+1</f>
        <v>21</v>
      </c>
      <c r="C525" s="1309" t="s">
        <v>495</v>
      </c>
      <c r="D525" s="1309"/>
      <c r="E525" s="1309"/>
      <c r="F525" s="1309"/>
      <c r="G525" s="1309"/>
      <c r="H525" s="361"/>
      <c r="I525" s="361"/>
      <c r="J525" s="361"/>
      <c r="K525" s="361"/>
      <c r="L525" s="361"/>
      <c r="M525" s="361"/>
      <c r="N525" s="361"/>
      <c r="O525" s="361"/>
      <c r="P525" s="361"/>
      <c r="Q525" s="361"/>
    </row>
    <row r="526" spans="1:17" s="304" customFormat="1" ht="18" hidden="1" customHeight="1">
      <c r="A526" s="300"/>
      <c r="B526" s="1080"/>
      <c r="C526" s="1082" t="s">
        <v>326</v>
      </c>
      <c r="D526" s="287"/>
      <c r="E526" s="287"/>
      <c r="F526" s="287"/>
      <c r="G526" s="297"/>
      <c r="H526" s="362"/>
      <c r="I526" s="362"/>
      <c r="J526" s="362"/>
      <c r="K526" s="362"/>
      <c r="L526" s="362"/>
      <c r="M526" s="362"/>
      <c r="N526" s="362"/>
      <c r="O526" s="362"/>
      <c r="P526" s="362"/>
      <c r="Q526" s="362"/>
    </row>
    <row r="527" spans="1:17" s="304" customFormat="1" ht="18" hidden="1" customHeight="1">
      <c r="A527" s="300"/>
      <c r="B527" s="1080"/>
      <c r="C527" s="1082" t="s">
        <v>177</v>
      </c>
      <c r="D527" s="287"/>
      <c r="E527" s="287"/>
      <c r="F527" s="287"/>
      <c r="G527" s="297"/>
      <c r="H527" s="364"/>
      <c r="I527" s="364"/>
      <c r="J527" s="364"/>
      <c r="K527" s="364"/>
      <c r="L527" s="364"/>
      <c r="M527" s="364"/>
      <c r="N527" s="364"/>
      <c r="O527" s="364"/>
      <c r="P527" s="364"/>
      <c r="Q527" s="364"/>
    </row>
    <row r="528" spans="1:17" s="304" customFormat="1" ht="24" hidden="1" customHeight="1">
      <c r="A528" s="300"/>
      <c r="B528" s="1080"/>
      <c r="C528" s="1082" t="s">
        <v>1160</v>
      </c>
      <c r="D528" s="287" t="s">
        <v>114</v>
      </c>
      <c r="E528" s="287">
        <v>10.5</v>
      </c>
      <c r="F528" s="287">
        <v>323</v>
      </c>
      <c r="G528" s="297">
        <f>ROUND(E528*F528,2)</f>
        <v>3391.5</v>
      </c>
      <c r="H528" s="362"/>
      <c r="I528" s="362"/>
      <c r="J528" s="362"/>
      <c r="K528" s="362"/>
      <c r="L528" s="362"/>
      <c r="M528" s="362"/>
      <c r="N528" s="362"/>
      <c r="O528" s="362"/>
      <c r="P528" s="362">
        <f>G528</f>
        <v>3391.5</v>
      </c>
      <c r="Q528" s="362"/>
    </row>
    <row r="529" spans="1:17" s="304" customFormat="1" ht="18" hidden="1" customHeight="1">
      <c r="A529" s="300"/>
      <c r="B529" s="1080"/>
      <c r="C529" s="1082" t="s">
        <v>496</v>
      </c>
      <c r="D529" s="287" t="s">
        <v>178</v>
      </c>
      <c r="E529" s="287">
        <v>21.6</v>
      </c>
      <c r="F529" s="287">
        <f>'lead 1'!M8</f>
        <v>4300</v>
      </c>
      <c r="G529" s="297">
        <f>ROUND(E529*F529/1000,2)</f>
        <v>92.88</v>
      </c>
      <c r="H529" s="362"/>
      <c r="I529" s="362">
        <f>G529</f>
        <v>92.88</v>
      </c>
      <c r="J529" s="362"/>
      <c r="K529" s="362"/>
      <c r="L529" s="362"/>
      <c r="M529" s="362"/>
      <c r="N529" s="362"/>
      <c r="O529" s="362"/>
      <c r="P529" s="362"/>
      <c r="Q529" s="362"/>
    </row>
    <row r="530" spans="1:17" s="304" customFormat="1" ht="18" hidden="1" customHeight="1">
      <c r="A530" s="300"/>
      <c r="B530" s="1080"/>
      <c r="C530" s="1082" t="s">
        <v>480</v>
      </c>
      <c r="D530" s="287" t="s">
        <v>178</v>
      </c>
      <c r="E530" s="287">
        <v>33</v>
      </c>
      <c r="F530" s="287">
        <f>'lead 1'!M8</f>
        <v>4300</v>
      </c>
      <c r="G530" s="297">
        <f>ROUND(E530*F530/1000,2)</f>
        <v>141.9</v>
      </c>
      <c r="H530" s="361"/>
      <c r="I530" s="362">
        <f>G530</f>
        <v>141.9</v>
      </c>
      <c r="J530" s="361"/>
      <c r="K530" s="361"/>
      <c r="L530" s="361"/>
      <c r="M530" s="361"/>
      <c r="N530" s="361"/>
      <c r="O530" s="361"/>
      <c r="P530" s="361"/>
      <c r="Q530" s="361"/>
    </row>
    <row r="531" spans="1:17" s="304" customFormat="1" ht="18" hidden="1" customHeight="1">
      <c r="A531" s="300"/>
      <c r="B531" s="1080"/>
      <c r="C531" s="1082" t="s">
        <v>497</v>
      </c>
      <c r="D531" s="287" t="s">
        <v>178</v>
      </c>
      <c r="E531" s="287">
        <v>2</v>
      </c>
      <c r="F531" s="287">
        <f>'lead 1'!H79</f>
        <v>27</v>
      </c>
      <c r="G531" s="297">
        <f>ROUND(E531*F531,2)</f>
        <v>54</v>
      </c>
      <c r="H531" s="361"/>
      <c r="I531" s="361"/>
      <c r="J531" s="361"/>
      <c r="K531" s="361"/>
      <c r="L531" s="361"/>
      <c r="M531" s="361"/>
      <c r="N531" s="361"/>
      <c r="O531" s="361"/>
      <c r="P531" s="361">
        <f>G531</f>
        <v>54</v>
      </c>
      <c r="Q531" s="361"/>
    </row>
    <row r="532" spans="1:17" s="304" customFormat="1" ht="18" hidden="1" customHeight="1">
      <c r="A532" s="300"/>
      <c r="B532" s="1080"/>
      <c r="C532" s="1082" t="s">
        <v>498</v>
      </c>
      <c r="D532" s="287" t="s">
        <v>112</v>
      </c>
      <c r="E532" s="287">
        <v>0.12</v>
      </c>
      <c r="F532" s="287">
        <f>'lead 1'!M12</f>
        <v>1549.4</v>
      </c>
      <c r="G532" s="297">
        <f>ROUND(E532*F532,2)</f>
        <v>185.93</v>
      </c>
      <c r="H532" s="362"/>
      <c r="I532" s="362"/>
      <c r="J532" s="362"/>
      <c r="K532" s="362">
        <f>G532</f>
        <v>185.93</v>
      </c>
      <c r="M532" s="362"/>
      <c r="N532" s="362"/>
      <c r="O532" s="362"/>
      <c r="P532" s="362"/>
      <c r="Q532" s="362"/>
    </row>
    <row r="533" spans="1:17" s="304" customFormat="1" ht="18" hidden="1" customHeight="1">
      <c r="A533" s="300"/>
      <c r="B533" s="1080"/>
      <c r="C533" s="1082" t="s">
        <v>3</v>
      </c>
      <c r="D533" s="287"/>
      <c r="E533" s="287"/>
      <c r="F533" s="287"/>
      <c r="G533" s="297"/>
      <c r="H533" s="362"/>
      <c r="I533" s="362"/>
      <c r="J533" s="362"/>
      <c r="K533" s="362"/>
      <c r="L533" s="362"/>
      <c r="M533" s="362"/>
      <c r="N533" s="362"/>
      <c r="O533" s="362"/>
      <c r="P533" s="362"/>
      <c r="Q533" s="362"/>
    </row>
    <row r="534" spans="1:17" s="304" customFormat="1" ht="18" hidden="1" customHeight="1">
      <c r="A534" s="300"/>
      <c r="B534" s="1080"/>
      <c r="C534" s="1082" t="s">
        <v>630</v>
      </c>
      <c r="D534" s="287" t="s">
        <v>186</v>
      </c>
      <c r="E534" s="287">
        <v>0.96</v>
      </c>
      <c r="F534" s="287">
        <f>'lead 1'!M31</f>
        <v>500</v>
      </c>
      <c r="G534" s="297">
        <f>ROUND(E534*F534,2)</f>
        <v>480</v>
      </c>
      <c r="H534" s="362"/>
      <c r="I534" s="362"/>
      <c r="J534" s="362"/>
      <c r="K534" s="362"/>
      <c r="L534" s="362"/>
      <c r="M534" s="362"/>
      <c r="N534" s="362"/>
      <c r="O534" s="362"/>
      <c r="P534" s="362">
        <f>G534</f>
        <v>480</v>
      </c>
      <c r="Q534" s="362"/>
    </row>
    <row r="535" spans="1:17" s="304" customFormat="1" ht="18" hidden="1" customHeight="1">
      <c r="A535" s="300"/>
      <c r="B535" s="1080"/>
      <c r="C535" s="1082" t="s">
        <v>631</v>
      </c>
      <c r="D535" s="287" t="s">
        <v>186</v>
      </c>
      <c r="E535" s="287">
        <v>2.2400000000000002</v>
      </c>
      <c r="F535" s="287">
        <f>'lead 1'!M30</f>
        <v>460</v>
      </c>
      <c r="G535" s="297">
        <f>ROUND(E535*F535,2)</f>
        <v>1030.4000000000001</v>
      </c>
      <c r="H535" s="361"/>
      <c r="I535" s="361"/>
      <c r="J535" s="361"/>
      <c r="K535" s="361"/>
      <c r="L535" s="361"/>
      <c r="M535" s="361"/>
      <c r="N535" s="361"/>
      <c r="O535" s="361"/>
      <c r="P535" s="362">
        <f>G535</f>
        <v>1030.4000000000001</v>
      </c>
      <c r="Q535" s="361"/>
    </row>
    <row r="536" spans="1:17" s="304" customFormat="1" ht="18" hidden="1" customHeight="1">
      <c r="A536" s="300"/>
      <c r="B536" s="1080"/>
      <c r="C536" s="1082" t="s">
        <v>4</v>
      </c>
      <c r="D536" s="287" t="s">
        <v>186</v>
      </c>
      <c r="E536" s="287">
        <v>3.3</v>
      </c>
      <c r="F536" s="287">
        <f>'lead 1'!M28</f>
        <v>420</v>
      </c>
      <c r="G536" s="297">
        <f>ROUND(E536*F536,2)</f>
        <v>1386</v>
      </c>
      <c r="H536" s="361"/>
      <c r="I536" s="361"/>
      <c r="J536" s="361"/>
      <c r="K536" s="361"/>
      <c r="L536" s="361"/>
      <c r="M536" s="361"/>
      <c r="N536" s="361"/>
      <c r="O536" s="361"/>
      <c r="P536" s="362">
        <f>G536</f>
        <v>1386</v>
      </c>
      <c r="Q536" s="361"/>
    </row>
    <row r="537" spans="1:17" s="292" customFormat="1" ht="18" hidden="1" customHeight="1">
      <c r="B537" s="293"/>
      <c r="C537" s="320" t="s">
        <v>169</v>
      </c>
      <c r="E537" s="306">
        <v>0</v>
      </c>
      <c r="F537" s="287">
        <f>SUM(G534:G536)</f>
        <v>2896.4</v>
      </c>
      <c r="G537" s="297">
        <f>ROUND(F537*E537,2)</f>
        <v>0</v>
      </c>
      <c r="H537" s="362"/>
      <c r="I537" s="362"/>
      <c r="J537" s="362"/>
      <c r="K537" s="362"/>
      <c r="L537" s="362"/>
      <c r="M537" s="362"/>
      <c r="N537" s="362"/>
      <c r="O537" s="362"/>
      <c r="P537" s="362"/>
      <c r="Q537" s="362"/>
    </row>
    <row r="538" spans="1:17" s="304" customFormat="1" ht="18" hidden="1" customHeight="1">
      <c r="A538" s="300"/>
      <c r="B538" s="1080"/>
      <c r="C538" s="1082" t="s">
        <v>2</v>
      </c>
      <c r="D538" s="287"/>
      <c r="E538" s="287">
        <v>0.01</v>
      </c>
      <c r="F538" s="287">
        <f>SUM(G528:G536)</f>
        <v>6762.6100000000006</v>
      </c>
      <c r="G538" s="297"/>
      <c r="H538" s="362"/>
      <c r="I538" s="362"/>
      <c r="J538" s="362"/>
      <c r="K538" s="362"/>
      <c r="L538" s="362"/>
      <c r="M538" s="362"/>
      <c r="N538" s="362"/>
      <c r="O538" s="362"/>
      <c r="P538" s="362"/>
      <c r="Q538" s="362"/>
    </row>
    <row r="539" spans="1:17" s="308" customFormat="1" ht="18" hidden="1" customHeight="1">
      <c r="A539" s="1080"/>
      <c r="B539" s="1080"/>
      <c r="C539" s="1084" t="s">
        <v>187</v>
      </c>
      <c r="D539" s="256"/>
      <c r="E539" s="256"/>
      <c r="F539" s="256"/>
      <c r="G539" s="297">
        <f>ROUND(SUM(G528:G538),2)</f>
        <v>6762.61</v>
      </c>
      <c r="H539" s="297">
        <f t="shared" ref="H539:P539" si="71">ROUND(SUM(H528:H538),2)</f>
        <v>0</v>
      </c>
      <c r="I539" s="297">
        <f t="shared" si="71"/>
        <v>234.78</v>
      </c>
      <c r="J539" s="297">
        <f t="shared" si="71"/>
        <v>0</v>
      </c>
      <c r="K539" s="297">
        <f t="shared" si="71"/>
        <v>185.93</v>
      </c>
      <c r="L539" s="297">
        <f t="shared" si="71"/>
        <v>0</v>
      </c>
      <c r="M539" s="297">
        <f t="shared" si="71"/>
        <v>0</v>
      </c>
      <c r="N539" s="297">
        <f t="shared" si="71"/>
        <v>0</v>
      </c>
      <c r="O539" s="297">
        <f t="shared" si="71"/>
        <v>0</v>
      </c>
      <c r="P539" s="297">
        <f t="shared" si="71"/>
        <v>6341.9</v>
      </c>
      <c r="Q539" s="365"/>
    </row>
    <row r="540" spans="1:17" s="263" customFormat="1" ht="18" hidden="1" customHeight="1">
      <c r="B540" s="315"/>
      <c r="C540" s="1084" t="s">
        <v>460</v>
      </c>
      <c r="E540" s="321" t="s">
        <v>409</v>
      </c>
      <c r="F540" s="322" t="s">
        <v>410</v>
      </c>
      <c r="G540" s="321" t="s">
        <v>411</v>
      </c>
      <c r="H540" s="365"/>
      <c r="I540" s="365"/>
      <c r="J540" s="365"/>
      <c r="K540" s="365"/>
      <c r="L540" s="365"/>
      <c r="M540" s="365"/>
      <c r="N540" s="365"/>
      <c r="O540" s="365"/>
      <c r="P540" s="365"/>
      <c r="Q540" s="365"/>
    </row>
    <row r="541" spans="1:17" s="263" customFormat="1" ht="18" hidden="1" customHeight="1">
      <c r="B541" s="315"/>
      <c r="C541" s="323" t="s">
        <v>491</v>
      </c>
      <c r="E541" s="287">
        <f>G539</f>
        <v>6762.61</v>
      </c>
      <c r="F541" s="287">
        <f>E541</f>
        <v>6762.61</v>
      </c>
      <c r="G541" s="287">
        <f>F541</f>
        <v>6762.61</v>
      </c>
      <c r="H541" s="365">
        <f>H539</f>
        <v>0</v>
      </c>
      <c r="I541" s="365">
        <f t="shared" ref="I541:P541" si="72">I539</f>
        <v>234.78</v>
      </c>
      <c r="J541" s="365">
        <f t="shared" si="72"/>
        <v>0</v>
      </c>
      <c r="K541" s="365">
        <f t="shared" si="72"/>
        <v>185.93</v>
      </c>
      <c r="L541" s="365">
        <f t="shared" si="72"/>
        <v>0</v>
      </c>
      <c r="M541" s="365">
        <f t="shared" si="72"/>
        <v>0</v>
      </c>
      <c r="N541" s="365">
        <f t="shared" si="72"/>
        <v>0</v>
      </c>
      <c r="O541" s="365">
        <f t="shared" si="72"/>
        <v>0</v>
      </c>
      <c r="P541" s="365">
        <f t="shared" si="72"/>
        <v>6341.9</v>
      </c>
      <c r="Q541" s="365"/>
    </row>
    <row r="542" spans="1:17" s="263" customFormat="1" ht="18" hidden="1" customHeight="1">
      <c r="B542" s="315"/>
      <c r="C542" s="1082" t="s">
        <v>492</v>
      </c>
      <c r="E542" s="287">
        <v>0</v>
      </c>
      <c r="F542" s="287">
        <f>ROUND(F537*0.1,2)</f>
        <v>289.64</v>
      </c>
      <c r="G542" s="287">
        <f>F542*2</f>
        <v>579.28</v>
      </c>
      <c r="H542" s="365"/>
      <c r="I542" s="365"/>
      <c r="J542" s="365"/>
      <c r="K542" s="365"/>
      <c r="L542" s="365"/>
      <c r="M542" s="365"/>
      <c r="N542" s="365"/>
      <c r="O542" s="365"/>
      <c r="P542" s="365"/>
      <c r="Q542" s="365"/>
    </row>
    <row r="543" spans="1:17" s="263" customFormat="1" ht="18" hidden="1" customHeight="1">
      <c r="B543" s="315"/>
      <c r="C543" s="324" t="s">
        <v>493</v>
      </c>
      <c r="E543" s="256">
        <f>SUM(E541:E542)</f>
        <v>6762.61</v>
      </c>
      <c r="F543" s="256">
        <f>SUM(F541:F542)</f>
        <v>7052.25</v>
      </c>
      <c r="G543" s="256">
        <f>SUM(G541:G542)</f>
        <v>7341.8899999999994</v>
      </c>
      <c r="H543" s="365"/>
      <c r="I543" s="365"/>
      <c r="J543" s="365"/>
      <c r="K543" s="365"/>
      <c r="L543" s="365"/>
      <c r="M543" s="365"/>
      <c r="N543" s="365"/>
      <c r="O543" s="365"/>
      <c r="P543" s="365"/>
      <c r="Q543" s="365"/>
    </row>
    <row r="544" spans="1:17" s="304" customFormat="1" ht="18" hidden="1" customHeight="1">
      <c r="A544" s="300"/>
      <c r="B544" s="1080"/>
      <c r="C544" s="1082" t="s">
        <v>887</v>
      </c>
      <c r="D544" s="309">
        <f>ROUND(D543*D2,2)</f>
        <v>0</v>
      </c>
      <c r="E544" s="309">
        <f>ROUND(E543*D2,2)</f>
        <v>0</v>
      </c>
      <c r="F544" s="309">
        <f>ROUND(F543*D2,2)</f>
        <v>0</v>
      </c>
      <c r="G544" s="309">
        <f>ROUND(G543*D2,2)</f>
        <v>0</v>
      </c>
      <c r="H544" s="365"/>
      <c r="I544" s="365"/>
      <c r="J544" s="365"/>
      <c r="K544" s="365"/>
      <c r="L544" s="365"/>
      <c r="M544" s="365"/>
      <c r="N544" s="365"/>
      <c r="O544" s="365"/>
      <c r="P544" s="365"/>
      <c r="Q544" s="365"/>
    </row>
    <row r="545" spans="1:17" s="263" customFormat="1" ht="18" hidden="1" customHeight="1">
      <c r="B545" s="315"/>
      <c r="C545" s="1083" t="s">
        <v>936</v>
      </c>
      <c r="E545" s="256">
        <f>SUM(E543:E544)</f>
        <v>6762.61</v>
      </c>
      <c r="F545" s="256">
        <f>SUM(F543:F544)</f>
        <v>7052.25</v>
      </c>
      <c r="G545" s="256">
        <f>SUM(G543:G544)</f>
        <v>7341.8899999999994</v>
      </c>
      <c r="H545" s="365">
        <f>SUM(H541:H544)</f>
        <v>0</v>
      </c>
      <c r="I545" s="365">
        <f t="shared" ref="I545:P545" si="73">SUM(I541:I544)</f>
        <v>234.78</v>
      </c>
      <c r="J545" s="365">
        <f t="shared" si="73"/>
        <v>0</v>
      </c>
      <c r="K545" s="365">
        <f t="shared" si="73"/>
        <v>185.93</v>
      </c>
      <c r="L545" s="365">
        <f t="shared" si="73"/>
        <v>0</v>
      </c>
      <c r="M545" s="365">
        <f t="shared" si="73"/>
        <v>0</v>
      </c>
      <c r="N545" s="365">
        <f t="shared" si="73"/>
        <v>0</v>
      </c>
      <c r="O545" s="365">
        <f t="shared" si="73"/>
        <v>0</v>
      </c>
      <c r="P545" s="365">
        <f t="shared" si="73"/>
        <v>6341.9</v>
      </c>
      <c r="Q545" s="365"/>
    </row>
    <row r="546" spans="1:17" s="263" customFormat="1" ht="18" hidden="1" customHeight="1">
      <c r="B546" s="315"/>
      <c r="C546" s="1083" t="s">
        <v>935</v>
      </c>
      <c r="E546" s="256">
        <f>ROUND(E545/10,2)</f>
        <v>676.26</v>
      </c>
      <c r="F546" s="256">
        <f>ROUND(F545/10,2)</f>
        <v>705.23</v>
      </c>
      <c r="G546" s="256">
        <f>ROUND(G545/10,2)</f>
        <v>734.19</v>
      </c>
      <c r="H546" s="365">
        <f>ROUND(H545/10,2)</f>
        <v>0</v>
      </c>
      <c r="I546" s="365">
        <f t="shared" ref="I546:P546" si="74">ROUND(I545/10,2)</f>
        <v>23.48</v>
      </c>
      <c r="J546" s="365">
        <f t="shared" si="74"/>
        <v>0</v>
      </c>
      <c r="K546" s="365">
        <f t="shared" si="74"/>
        <v>18.59</v>
      </c>
      <c r="L546" s="365">
        <f t="shared" si="74"/>
        <v>0</v>
      </c>
      <c r="M546" s="365">
        <f t="shared" si="74"/>
        <v>0</v>
      </c>
      <c r="N546" s="365">
        <f t="shared" si="74"/>
        <v>0</v>
      </c>
      <c r="O546" s="365">
        <f t="shared" si="74"/>
        <v>0</v>
      </c>
      <c r="P546" s="365">
        <f t="shared" si="74"/>
        <v>634.19000000000005</v>
      </c>
      <c r="Q546" s="365">
        <f>SUM(H546:P546)</f>
        <v>676.2600000000001</v>
      </c>
    </row>
    <row r="547" spans="1:17" s="263" customFormat="1" ht="18" hidden="1" customHeight="1">
      <c r="B547" s="315"/>
      <c r="C547" s="1083" t="s">
        <v>937</v>
      </c>
      <c r="E547" s="256"/>
      <c r="F547" s="256"/>
      <c r="G547" s="256"/>
      <c r="H547" s="365">
        <f>H541</f>
        <v>0</v>
      </c>
      <c r="I547" s="365">
        <f t="shared" ref="I547:O547" si="75">I541</f>
        <v>234.78</v>
      </c>
      <c r="J547" s="365">
        <f t="shared" si="75"/>
        <v>0</v>
      </c>
      <c r="K547" s="365">
        <f t="shared" si="75"/>
        <v>185.93</v>
      </c>
      <c r="L547" s="365">
        <f t="shared" si="75"/>
        <v>0</v>
      </c>
      <c r="M547" s="365">
        <f t="shared" si="75"/>
        <v>0</v>
      </c>
      <c r="N547" s="365">
        <f t="shared" si="75"/>
        <v>0</v>
      </c>
      <c r="O547" s="365">
        <f t="shared" si="75"/>
        <v>0</v>
      </c>
      <c r="P547" s="365">
        <f>P541+F542</f>
        <v>6631.54</v>
      </c>
      <c r="Q547" s="365"/>
    </row>
    <row r="548" spans="1:17" s="263" customFormat="1" ht="18" hidden="1" customHeight="1">
      <c r="B548" s="315"/>
      <c r="C548" s="1083" t="s">
        <v>938</v>
      </c>
      <c r="E548" s="256"/>
      <c r="F548" s="256"/>
      <c r="G548" s="256"/>
      <c r="H548" s="365">
        <f>ROUND(H547/10,2)</f>
        <v>0</v>
      </c>
      <c r="I548" s="365">
        <f t="shared" ref="I548:P548" si="76">ROUND(I547/10,2)</f>
        <v>23.48</v>
      </c>
      <c r="J548" s="365">
        <f t="shared" si="76"/>
        <v>0</v>
      </c>
      <c r="K548" s="365">
        <f t="shared" si="76"/>
        <v>18.59</v>
      </c>
      <c r="L548" s="365">
        <f t="shared" si="76"/>
        <v>0</v>
      </c>
      <c r="M548" s="365">
        <f t="shared" si="76"/>
        <v>0</v>
      </c>
      <c r="N548" s="365">
        <f t="shared" si="76"/>
        <v>0</v>
      </c>
      <c r="O548" s="365">
        <f t="shared" si="76"/>
        <v>0</v>
      </c>
      <c r="P548" s="365">
        <f t="shared" si="76"/>
        <v>663.15</v>
      </c>
      <c r="Q548" s="365">
        <f>SUM(H548:P548)</f>
        <v>705.22</v>
      </c>
    </row>
    <row r="549" spans="1:17" s="292" customFormat="1" ht="60" hidden="1" customHeight="1">
      <c r="A549" s="1080" t="s">
        <v>1043</v>
      </c>
      <c r="B549" s="293">
        <f>B525+1</f>
        <v>22</v>
      </c>
      <c r="C549" s="1309" t="s">
        <v>499</v>
      </c>
      <c r="D549" s="1309"/>
      <c r="E549" s="1309"/>
      <c r="F549" s="1309"/>
      <c r="G549" s="1309"/>
      <c r="H549" s="365"/>
      <c r="I549" s="365"/>
      <c r="J549" s="365"/>
      <c r="K549" s="365"/>
      <c r="L549" s="365"/>
      <c r="M549" s="365"/>
      <c r="N549" s="365"/>
      <c r="O549" s="365"/>
      <c r="P549" s="365"/>
      <c r="Q549" s="365"/>
    </row>
    <row r="550" spans="1:17" s="304" customFormat="1" ht="18" hidden="1" customHeight="1">
      <c r="A550" s="300"/>
      <c r="B550" s="1080"/>
      <c r="C550" s="1082" t="s">
        <v>500</v>
      </c>
      <c r="D550" s="287"/>
      <c r="E550" s="287"/>
      <c r="F550" s="287"/>
      <c r="G550" s="297"/>
      <c r="H550" s="365"/>
      <c r="I550" s="365"/>
      <c r="J550" s="365"/>
      <c r="K550" s="365"/>
      <c r="L550" s="365"/>
      <c r="M550" s="365"/>
      <c r="N550" s="365"/>
      <c r="O550" s="365"/>
      <c r="P550" s="365"/>
      <c r="Q550" s="365"/>
    </row>
    <row r="551" spans="1:17" s="304" customFormat="1" ht="18" hidden="1" customHeight="1">
      <c r="A551" s="300"/>
      <c r="B551" s="1080"/>
      <c r="C551" s="1082" t="s">
        <v>177</v>
      </c>
      <c r="D551" s="287"/>
      <c r="E551" s="287"/>
      <c r="F551" s="287"/>
      <c r="G551" s="297"/>
      <c r="H551" s="365"/>
      <c r="I551" s="365"/>
      <c r="J551" s="365"/>
      <c r="K551" s="365"/>
      <c r="L551" s="365"/>
      <c r="M551" s="365"/>
      <c r="N551" s="365"/>
      <c r="O551" s="365"/>
      <c r="P551" s="365"/>
      <c r="Q551" s="365"/>
    </row>
    <row r="552" spans="1:17" s="304" customFormat="1" ht="18" hidden="1" customHeight="1">
      <c r="A552" s="300"/>
      <c r="B552" s="1080"/>
      <c r="C552" s="299" t="s">
        <v>893</v>
      </c>
      <c r="D552" s="287" t="s">
        <v>114</v>
      </c>
      <c r="E552" s="287">
        <v>10.5</v>
      </c>
      <c r="F552" s="287">
        <f>'lead 1'!H109</f>
        <v>323</v>
      </c>
      <c r="G552" s="297">
        <f>ROUND(E552*F552,2)</f>
        <v>3391.5</v>
      </c>
      <c r="H552" s="365"/>
      <c r="I552" s="365"/>
      <c r="J552" s="365"/>
      <c r="K552" s="365"/>
      <c r="L552" s="365"/>
      <c r="M552" s="365"/>
      <c r="N552" s="365"/>
      <c r="O552" s="365"/>
      <c r="P552" s="365">
        <f>G552</f>
        <v>3391.5</v>
      </c>
      <c r="Q552" s="365"/>
    </row>
    <row r="553" spans="1:17" s="304" customFormat="1" ht="18" hidden="1" customHeight="1">
      <c r="A553" s="300"/>
      <c r="B553" s="1080"/>
      <c r="C553" s="1082" t="s">
        <v>501</v>
      </c>
      <c r="D553" s="287" t="s">
        <v>112</v>
      </c>
      <c r="E553" s="287">
        <v>0.12</v>
      </c>
      <c r="F553" s="287">
        <f>'lead 1'!M12</f>
        <v>1549.4</v>
      </c>
      <c r="G553" s="297">
        <f>ROUND(E553*F553,2)</f>
        <v>185.93</v>
      </c>
      <c r="H553" s="365"/>
      <c r="I553" s="365"/>
      <c r="J553" s="365"/>
      <c r="K553" s="365">
        <f>G553</f>
        <v>185.93</v>
      </c>
      <c r="M553" s="365"/>
      <c r="N553" s="365"/>
      <c r="O553" s="365"/>
      <c r="P553" s="365"/>
      <c r="Q553" s="365"/>
    </row>
    <row r="554" spans="1:17" s="304" customFormat="1" ht="18" hidden="1" customHeight="1">
      <c r="A554" s="300"/>
      <c r="B554" s="1080"/>
      <c r="C554" s="1082" t="s">
        <v>502</v>
      </c>
      <c r="D554" s="287" t="s">
        <v>113</v>
      </c>
      <c r="E554" s="287">
        <v>57.6</v>
      </c>
      <c r="F554" s="287">
        <f>'lead 1'!M8</f>
        <v>4300</v>
      </c>
      <c r="G554" s="297">
        <f>ROUND(E554*F554/1000,2)</f>
        <v>247.68</v>
      </c>
      <c r="H554" s="364"/>
      <c r="I554" s="364">
        <f>G554</f>
        <v>247.68</v>
      </c>
      <c r="J554" s="364"/>
      <c r="K554" s="364"/>
      <c r="L554" s="364"/>
      <c r="M554" s="364"/>
      <c r="N554" s="364"/>
      <c r="O554" s="364"/>
      <c r="P554" s="364"/>
      <c r="Q554" s="364"/>
    </row>
    <row r="555" spans="1:17" s="304" customFormat="1" ht="18" hidden="1" customHeight="1">
      <c r="A555" s="300"/>
      <c r="B555" s="1080"/>
      <c r="C555" s="1082" t="s">
        <v>488</v>
      </c>
      <c r="D555" s="287" t="s">
        <v>113</v>
      </c>
      <c r="E555" s="287">
        <v>33</v>
      </c>
      <c r="F555" s="287">
        <f>'lead 1'!M8</f>
        <v>4300</v>
      </c>
      <c r="G555" s="297">
        <f>ROUND(E555*F555/1000,2)</f>
        <v>141.9</v>
      </c>
      <c r="H555" s="365"/>
      <c r="I555" s="364">
        <f>G555</f>
        <v>141.9</v>
      </c>
      <c r="J555" s="365"/>
      <c r="K555" s="365"/>
      <c r="L555" s="365"/>
      <c r="M555" s="365"/>
      <c r="N555" s="365"/>
      <c r="O555" s="365"/>
      <c r="P555" s="365"/>
      <c r="Q555" s="365"/>
    </row>
    <row r="556" spans="1:17" s="304" customFormat="1" ht="18" hidden="1" customHeight="1">
      <c r="A556" s="300"/>
      <c r="B556" s="1080"/>
      <c r="C556" s="1082" t="s">
        <v>489</v>
      </c>
      <c r="D556" s="287" t="s">
        <v>113</v>
      </c>
      <c r="E556" s="287">
        <v>6</v>
      </c>
      <c r="F556" s="287">
        <f>F531</f>
        <v>27</v>
      </c>
      <c r="G556" s="297">
        <f>ROUND(E556*F556,2)</f>
        <v>162</v>
      </c>
      <c r="H556" s="361"/>
      <c r="I556" s="361"/>
      <c r="J556" s="361"/>
      <c r="K556" s="361"/>
      <c r="L556" s="361"/>
      <c r="M556" s="361"/>
      <c r="N556" s="361"/>
      <c r="O556" s="361"/>
      <c r="P556" s="361">
        <f>G556</f>
        <v>162</v>
      </c>
      <c r="Q556" s="361"/>
    </row>
    <row r="557" spans="1:17" s="304" customFormat="1" ht="18" hidden="1" customHeight="1">
      <c r="A557" s="300"/>
      <c r="B557" s="1080"/>
      <c r="C557" s="1082" t="s">
        <v>3</v>
      </c>
      <c r="D557" s="287"/>
      <c r="E557" s="287"/>
      <c r="F557" s="287"/>
      <c r="G557" s="297"/>
      <c r="H557" s="365"/>
      <c r="I557" s="365"/>
      <c r="J557" s="365"/>
      <c r="K557" s="365"/>
      <c r="L557" s="365"/>
      <c r="M557" s="365"/>
      <c r="N557" s="365"/>
      <c r="O557" s="365"/>
      <c r="P557" s="365"/>
      <c r="Q557" s="365"/>
    </row>
    <row r="558" spans="1:17" s="304" customFormat="1" ht="18" hidden="1" customHeight="1">
      <c r="A558" s="300"/>
      <c r="B558" s="1080"/>
      <c r="C558" s="1082" t="s">
        <v>630</v>
      </c>
      <c r="D558" s="287" t="s">
        <v>186</v>
      </c>
      <c r="E558" s="287">
        <v>0.77</v>
      </c>
      <c r="F558" s="287">
        <f>'lead 1'!M31</f>
        <v>500</v>
      </c>
      <c r="G558" s="297">
        <f>ROUND(E558*F558,2)</f>
        <v>385</v>
      </c>
      <c r="H558" s="361"/>
      <c r="I558" s="361"/>
      <c r="J558" s="361"/>
      <c r="K558" s="361"/>
      <c r="L558" s="361"/>
      <c r="M558" s="361"/>
      <c r="N558" s="361"/>
      <c r="O558" s="361"/>
      <c r="P558" s="361">
        <f>G558</f>
        <v>385</v>
      </c>
      <c r="Q558" s="361"/>
    </row>
    <row r="559" spans="1:17" s="304" customFormat="1" ht="18" hidden="1" customHeight="1">
      <c r="A559" s="300"/>
      <c r="B559" s="1080"/>
      <c r="C559" s="1082" t="s">
        <v>4</v>
      </c>
      <c r="D559" s="287" t="s">
        <v>186</v>
      </c>
      <c r="E559" s="287">
        <v>0.8</v>
      </c>
      <c r="F559" s="287">
        <f>'lead 1'!M28</f>
        <v>420</v>
      </c>
      <c r="G559" s="297">
        <f>ROUND(E559*F559,2)</f>
        <v>336</v>
      </c>
      <c r="H559" s="361"/>
      <c r="I559" s="361"/>
      <c r="J559" s="361"/>
      <c r="K559" s="361"/>
      <c r="L559" s="361"/>
      <c r="M559" s="361"/>
      <c r="N559" s="361"/>
      <c r="O559" s="361"/>
      <c r="P559" s="361">
        <f>G559</f>
        <v>336</v>
      </c>
      <c r="Q559" s="361"/>
    </row>
    <row r="560" spans="1:17" s="292" customFormat="1" ht="18" hidden="1" customHeight="1">
      <c r="B560" s="293"/>
      <c r="C560" s="320" t="s">
        <v>105</v>
      </c>
      <c r="E560" s="306">
        <v>0</v>
      </c>
      <c r="F560" s="287">
        <f>SUM(G558:G559)</f>
        <v>721</v>
      </c>
      <c r="G560" s="297">
        <f>ROUND(F560*E560,2)</f>
        <v>0</v>
      </c>
      <c r="H560" s="361"/>
      <c r="I560" s="361"/>
      <c r="J560" s="361"/>
      <c r="K560" s="361"/>
      <c r="L560" s="361"/>
      <c r="M560" s="361"/>
      <c r="N560" s="361"/>
      <c r="O560" s="361"/>
      <c r="P560" s="361"/>
      <c r="Q560" s="361"/>
    </row>
    <row r="561" spans="1:17" s="308" customFormat="1" ht="18" hidden="1" customHeight="1">
      <c r="A561" s="1080"/>
      <c r="B561" s="1080"/>
      <c r="C561" s="1084" t="s">
        <v>187</v>
      </c>
      <c r="D561" s="256"/>
      <c r="E561" s="256"/>
      <c r="F561" s="256"/>
      <c r="G561" s="297">
        <f>ROUND(SUM(G552:G560),2)</f>
        <v>4850.01</v>
      </c>
      <c r="H561" s="297">
        <f>ROUND(SUM(H552:H560),2)</f>
        <v>0</v>
      </c>
      <c r="I561" s="297">
        <f>ROUND(SUM(I552:I560),2)</f>
        <v>389.58</v>
      </c>
      <c r="J561" s="297">
        <f t="shared" ref="J561:P561" si="77">ROUND(SUM(J552:J560),2)</f>
        <v>0</v>
      </c>
      <c r="K561" s="297">
        <f t="shared" si="77"/>
        <v>185.93</v>
      </c>
      <c r="L561" s="297">
        <f t="shared" si="77"/>
        <v>0</v>
      </c>
      <c r="M561" s="297">
        <f t="shared" si="77"/>
        <v>0</v>
      </c>
      <c r="N561" s="297">
        <f t="shared" si="77"/>
        <v>0</v>
      </c>
      <c r="O561" s="297">
        <f t="shared" si="77"/>
        <v>0</v>
      </c>
      <c r="P561" s="297">
        <f t="shared" si="77"/>
        <v>4274.5</v>
      </c>
      <c r="Q561" s="361"/>
    </row>
    <row r="562" spans="1:17" s="263" customFormat="1" ht="18" hidden="1" customHeight="1">
      <c r="B562" s="315"/>
      <c r="C562" s="1084" t="s">
        <v>460</v>
      </c>
      <c r="E562" s="321" t="s">
        <v>409</v>
      </c>
      <c r="F562" s="322" t="s">
        <v>410</v>
      </c>
      <c r="G562" s="321" t="s">
        <v>411</v>
      </c>
      <c r="H562" s="361"/>
      <c r="I562" s="361"/>
      <c r="J562" s="361"/>
      <c r="K562" s="361"/>
      <c r="L562" s="361"/>
      <c r="M562" s="361"/>
      <c r="N562" s="361"/>
      <c r="O562" s="361"/>
      <c r="P562" s="361"/>
      <c r="Q562" s="361"/>
    </row>
    <row r="563" spans="1:17" s="263" customFormat="1" ht="18" hidden="1" customHeight="1">
      <c r="B563" s="315"/>
      <c r="C563" s="323" t="s">
        <v>491</v>
      </c>
      <c r="E563" s="287">
        <f>G561</f>
        <v>4850.01</v>
      </c>
      <c r="F563" s="287">
        <f>E563</f>
        <v>4850.01</v>
      </c>
      <c r="G563" s="287">
        <f>F563</f>
        <v>4850.01</v>
      </c>
      <c r="H563" s="361">
        <f>H561</f>
        <v>0</v>
      </c>
      <c r="I563" s="361">
        <f t="shared" ref="I563:P563" si="78">I561</f>
        <v>389.58</v>
      </c>
      <c r="J563" s="361">
        <f t="shared" si="78"/>
        <v>0</v>
      </c>
      <c r="K563" s="361">
        <f t="shared" si="78"/>
        <v>185.93</v>
      </c>
      <c r="L563" s="361">
        <f t="shared" si="78"/>
        <v>0</v>
      </c>
      <c r="M563" s="361">
        <f t="shared" si="78"/>
        <v>0</v>
      </c>
      <c r="N563" s="361">
        <f t="shared" si="78"/>
        <v>0</v>
      </c>
      <c r="O563" s="361">
        <f t="shared" si="78"/>
        <v>0</v>
      </c>
      <c r="P563" s="361">
        <f t="shared" si="78"/>
        <v>4274.5</v>
      </c>
      <c r="Q563" s="361"/>
    </row>
    <row r="564" spans="1:17" s="263" customFormat="1" ht="18" hidden="1" customHeight="1">
      <c r="B564" s="315"/>
      <c r="C564" s="1082" t="s">
        <v>492</v>
      </c>
      <c r="E564" s="287">
        <v>0</v>
      </c>
      <c r="F564" s="287">
        <f>ROUND(F560*0.1,2)</f>
        <v>72.099999999999994</v>
      </c>
      <c r="G564" s="287">
        <f>F564*2</f>
        <v>144.19999999999999</v>
      </c>
      <c r="H564" s="361"/>
      <c r="I564" s="361"/>
      <c r="J564" s="361"/>
      <c r="K564" s="361"/>
      <c r="L564" s="361"/>
      <c r="M564" s="361"/>
      <c r="N564" s="361"/>
      <c r="O564" s="361"/>
      <c r="P564" s="361"/>
      <c r="Q564" s="361"/>
    </row>
    <row r="565" spans="1:17" s="263" customFormat="1" ht="18" hidden="1" customHeight="1">
      <c r="B565" s="315"/>
      <c r="C565" s="324" t="s">
        <v>493</v>
      </c>
      <c r="E565" s="256">
        <f>SUM(E563:E564)</f>
        <v>4850.01</v>
      </c>
      <c r="F565" s="256">
        <f>SUM(F563:F564)</f>
        <v>4922.1100000000006</v>
      </c>
      <c r="G565" s="256">
        <f>SUM(G563:G564)</f>
        <v>4994.21</v>
      </c>
      <c r="H565" s="361"/>
      <c r="I565" s="361"/>
      <c r="J565" s="361"/>
      <c r="K565" s="361"/>
      <c r="L565" s="361"/>
      <c r="M565" s="361"/>
      <c r="N565" s="361"/>
      <c r="O565" s="361"/>
      <c r="P565" s="361"/>
      <c r="Q565" s="361"/>
    </row>
    <row r="566" spans="1:17" s="304" customFormat="1" ht="18" hidden="1" customHeight="1">
      <c r="A566" s="300"/>
      <c r="B566" s="1080"/>
      <c r="C566" s="1082" t="s">
        <v>691</v>
      </c>
      <c r="D566" s="309">
        <f>ROUND(D565*D2,2)</f>
        <v>0</v>
      </c>
      <c r="E566" s="309">
        <f>ROUND(E565*D2,2)</f>
        <v>0</v>
      </c>
      <c r="F566" s="309">
        <f>ROUND(F565*D2,2)</f>
        <v>0</v>
      </c>
      <c r="G566" s="309">
        <f>ROUND(G565*D2,2)</f>
        <v>0</v>
      </c>
      <c r="H566" s="361"/>
      <c r="I566" s="361"/>
      <c r="J566" s="361"/>
      <c r="K566" s="361"/>
      <c r="L566" s="361"/>
      <c r="M566" s="361"/>
      <c r="N566" s="361"/>
      <c r="O566" s="361"/>
      <c r="P566" s="361"/>
      <c r="Q566" s="361"/>
    </row>
    <row r="567" spans="1:17" s="263" customFormat="1" ht="18" hidden="1" customHeight="1">
      <c r="B567" s="315"/>
      <c r="C567" s="1083" t="s">
        <v>936</v>
      </c>
      <c r="E567" s="256">
        <f>SUM(E565:E566)</f>
        <v>4850.01</v>
      </c>
      <c r="F567" s="256">
        <f>SUM(F565:F566)</f>
        <v>4922.1100000000006</v>
      </c>
      <c r="G567" s="256">
        <f>SUM(G565:G566)</f>
        <v>4994.21</v>
      </c>
      <c r="H567" s="362">
        <f>SUM(H563:H566)</f>
        <v>0</v>
      </c>
      <c r="I567" s="362">
        <f t="shared" ref="I567:P567" si="79">SUM(I563:I566)</f>
        <v>389.58</v>
      </c>
      <c r="J567" s="362">
        <f t="shared" si="79"/>
        <v>0</v>
      </c>
      <c r="K567" s="362">
        <f t="shared" si="79"/>
        <v>185.93</v>
      </c>
      <c r="L567" s="362">
        <f t="shared" si="79"/>
        <v>0</v>
      </c>
      <c r="M567" s="362">
        <f t="shared" si="79"/>
        <v>0</v>
      </c>
      <c r="N567" s="362">
        <f t="shared" si="79"/>
        <v>0</v>
      </c>
      <c r="O567" s="362">
        <f t="shared" si="79"/>
        <v>0</v>
      </c>
      <c r="P567" s="362">
        <f t="shared" si="79"/>
        <v>4274.5</v>
      </c>
      <c r="Q567" s="362"/>
    </row>
    <row r="568" spans="1:17" s="263" customFormat="1" ht="18" hidden="1" customHeight="1">
      <c r="B568" s="315"/>
      <c r="C568" s="1083" t="s">
        <v>933</v>
      </c>
      <c r="E568" s="256">
        <f>ROUND(E567/10,2)</f>
        <v>485</v>
      </c>
      <c r="F568" s="256">
        <f>ROUND(F567/10,2)</f>
        <v>492.21</v>
      </c>
      <c r="G568" s="256">
        <f>ROUND(G567/10,2)</f>
        <v>499.42</v>
      </c>
      <c r="H568" s="362">
        <f>ROUND(H567/10,2)</f>
        <v>0</v>
      </c>
      <c r="I568" s="362">
        <f t="shared" ref="I568:P568" si="80">ROUND(I567/10,2)</f>
        <v>38.96</v>
      </c>
      <c r="J568" s="362">
        <f t="shared" si="80"/>
        <v>0</v>
      </c>
      <c r="K568" s="362">
        <f t="shared" si="80"/>
        <v>18.59</v>
      </c>
      <c r="L568" s="362">
        <f t="shared" si="80"/>
        <v>0</v>
      </c>
      <c r="M568" s="362">
        <f t="shared" si="80"/>
        <v>0</v>
      </c>
      <c r="N568" s="362">
        <f t="shared" si="80"/>
        <v>0</v>
      </c>
      <c r="O568" s="362">
        <f t="shared" si="80"/>
        <v>0</v>
      </c>
      <c r="P568" s="362">
        <f t="shared" si="80"/>
        <v>427.45</v>
      </c>
      <c r="Q568" s="362">
        <f>SUM(H568:P568)</f>
        <v>485</v>
      </c>
    </row>
    <row r="569" spans="1:17" s="263" customFormat="1" ht="18" hidden="1" customHeight="1">
      <c r="B569" s="315"/>
      <c r="C569" s="1083" t="s">
        <v>937</v>
      </c>
      <c r="E569" s="256"/>
      <c r="F569" s="256"/>
      <c r="G569" s="256"/>
      <c r="H569" s="362">
        <f>H563</f>
        <v>0</v>
      </c>
      <c r="I569" s="362">
        <f t="shared" ref="I569:O569" si="81">I563</f>
        <v>389.58</v>
      </c>
      <c r="J569" s="362">
        <f t="shared" si="81"/>
        <v>0</v>
      </c>
      <c r="K569" s="362">
        <f t="shared" si="81"/>
        <v>185.93</v>
      </c>
      <c r="L569" s="362">
        <f t="shared" si="81"/>
        <v>0</v>
      </c>
      <c r="M569" s="362">
        <f t="shared" si="81"/>
        <v>0</v>
      </c>
      <c r="N569" s="362">
        <f t="shared" si="81"/>
        <v>0</v>
      </c>
      <c r="O569" s="362">
        <f t="shared" si="81"/>
        <v>0</v>
      </c>
      <c r="P569" s="362">
        <f>P563+F564</f>
        <v>4346.6000000000004</v>
      </c>
      <c r="Q569" s="362"/>
    </row>
    <row r="570" spans="1:17" s="293" customFormat="1" ht="18" hidden="1" customHeight="1">
      <c r="C570" s="1083" t="s">
        <v>938</v>
      </c>
      <c r="D570" s="256"/>
      <c r="E570" s="256"/>
      <c r="F570" s="298"/>
      <c r="G570" s="298"/>
      <c r="H570" s="362">
        <f>ROUND(H569/10,2)</f>
        <v>0</v>
      </c>
      <c r="I570" s="362">
        <f t="shared" ref="I570:P570" si="82">ROUND(I569/10,2)</f>
        <v>38.96</v>
      </c>
      <c r="J570" s="362">
        <f t="shared" si="82"/>
        <v>0</v>
      </c>
      <c r="K570" s="362">
        <f t="shared" si="82"/>
        <v>18.59</v>
      </c>
      <c r="L570" s="362">
        <f t="shared" si="82"/>
        <v>0</v>
      </c>
      <c r="M570" s="362">
        <f t="shared" si="82"/>
        <v>0</v>
      </c>
      <c r="N570" s="362">
        <f t="shared" si="82"/>
        <v>0</v>
      </c>
      <c r="O570" s="362">
        <f t="shared" si="82"/>
        <v>0</v>
      </c>
      <c r="P570" s="362">
        <f t="shared" si="82"/>
        <v>434.66</v>
      </c>
      <c r="Q570" s="364">
        <f>SUM(H570:P570)</f>
        <v>492.21000000000004</v>
      </c>
    </row>
    <row r="571" spans="1:17" s="293" customFormat="1" ht="59.25" hidden="1" customHeight="1">
      <c r="A571" s="66" t="s">
        <v>1164</v>
      </c>
      <c r="B571" s="1055">
        <v>29</v>
      </c>
      <c r="C571" s="1312" t="s">
        <v>1162</v>
      </c>
      <c r="D571" s="1312"/>
      <c r="E571" s="1312"/>
      <c r="F571" s="1312"/>
      <c r="G571" s="1312"/>
      <c r="H571" s="362"/>
      <c r="I571" s="362"/>
      <c r="J571" s="362"/>
      <c r="K571" s="362"/>
      <c r="L571" s="362"/>
      <c r="M571" s="362"/>
      <c r="N571" s="362"/>
      <c r="O571" s="362"/>
      <c r="P571" s="362"/>
      <c r="Q571" s="364"/>
    </row>
    <row r="572" spans="1:17" s="293" customFormat="1" ht="18" hidden="1" customHeight="1">
      <c r="C572" s="1056" t="s">
        <v>326</v>
      </c>
      <c r="D572" s="190"/>
      <c r="E572" s="190"/>
      <c r="F572" s="298"/>
      <c r="G572" s="298"/>
      <c r="H572" s="362"/>
      <c r="I572" s="362"/>
      <c r="J572" s="362"/>
      <c r="K572" s="362"/>
      <c r="L572" s="362"/>
      <c r="M572" s="362"/>
      <c r="N572" s="362"/>
      <c r="O572" s="362"/>
      <c r="P572" s="362"/>
      <c r="Q572" s="364"/>
    </row>
    <row r="573" spans="1:17" s="293" customFormat="1" ht="18" hidden="1" customHeight="1">
      <c r="C573" s="1056" t="s">
        <v>177</v>
      </c>
      <c r="D573" s="190"/>
      <c r="E573" s="190"/>
      <c r="F573" s="298"/>
      <c r="G573" s="298"/>
      <c r="H573" s="362"/>
      <c r="I573" s="362"/>
      <c r="J573" s="362"/>
      <c r="K573" s="362"/>
      <c r="L573" s="362"/>
      <c r="M573" s="362"/>
      <c r="N573" s="362"/>
      <c r="O573" s="362"/>
      <c r="P573" s="362"/>
      <c r="Q573" s="364"/>
    </row>
    <row r="574" spans="1:17" s="293" customFormat="1" ht="18" hidden="1" customHeight="1">
      <c r="C574" s="305" t="s">
        <v>1163</v>
      </c>
      <c r="D574" s="451" t="s">
        <v>112</v>
      </c>
      <c r="E574" s="451">
        <v>0.17</v>
      </c>
      <c r="F574" s="298">
        <f>ROUND(SUM('lead 1'!M18+'lead 1'!M19+'lead 1'!M20)/3,2)</f>
        <v>1557.53</v>
      </c>
      <c r="G574" s="297">
        <f>ROUND(E574*F574,2)</f>
        <v>264.77999999999997</v>
      </c>
      <c r="H574" s="362"/>
      <c r="I574" s="362"/>
      <c r="J574" s="362"/>
      <c r="K574" s="362"/>
      <c r="L574" s="362"/>
      <c r="M574" s="362">
        <f>G574</f>
        <v>264.77999999999997</v>
      </c>
      <c r="N574" s="362"/>
      <c r="O574" s="362"/>
      <c r="P574" s="362"/>
      <c r="Q574" s="364"/>
    </row>
    <row r="575" spans="1:17" s="293" customFormat="1" ht="18" hidden="1" customHeight="1">
      <c r="C575" s="305" t="s">
        <v>104</v>
      </c>
      <c r="D575" s="451" t="s">
        <v>116</v>
      </c>
      <c r="E575" s="451">
        <v>120</v>
      </c>
      <c r="F575" s="298">
        <f>F554</f>
        <v>4300</v>
      </c>
      <c r="G575" s="297">
        <f>ROUND(E575*F575/1000,2)</f>
        <v>516</v>
      </c>
      <c r="H575" s="362"/>
      <c r="I575" s="362">
        <f>G575</f>
        <v>516</v>
      </c>
      <c r="J575" s="362"/>
      <c r="K575" s="362"/>
      <c r="L575" s="362"/>
      <c r="M575" s="362"/>
      <c r="N575" s="362"/>
      <c r="O575" s="362"/>
      <c r="P575" s="362"/>
      <c r="Q575" s="364"/>
    </row>
    <row r="576" spans="1:17" s="293" customFormat="1" ht="18" hidden="1" customHeight="1">
      <c r="C576" s="305" t="s">
        <v>119</v>
      </c>
      <c r="D576" s="451" t="s">
        <v>112</v>
      </c>
      <c r="E576" s="1057">
        <v>8.5000000000000006E-2</v>
      </c>
      <c r="F576" s="298">
        <f>'lead 1'!M13</f>
        <v>1469.4</v>
      </c>
      <c r="G576" s="297">
        <f>ROUND(E576*F576,2)</f>
        <v>124.9</v>
      </c>
      <c r="H576" s="362"/>
      <c r="I576" s="362"/>
      <c r="J576" s="362"/>
      <c r="K576" s="362">
        <f>G576</f>
        <v>124.9</v>
      </c>
      <c r="L576" s="362"/>
      <c r="M576" s="362"/>
      <c r="N576" s="362"/>
      <c r="O576" s="362"/>
      <c r="P576" s="362"/>
      <c r="Q576" s="364"/>
    </row>
    <row r="577" spans="1:17" s="293" customFormat="1" ht="18" hidden="1" customHeight="1">
      <c r="C577" s="348" t="s">
        <v>3</v>
      </c>
      <c r="D577" s="451"/>
      <c r="E577" s="451"/>
      <c r="F577" s="298"/>
      <c r="G577" s="298"/>
      <c r="H577" s="362"/>
      <c r="I577" s="362"/>
      <c r="J577" s="362"/>
      <c r="K577" s="362"/>
      <c r="L577" s="362"/>
      <c r="M577" s="362"/>
      <c r="N577" s="362"/>
      <c r="O577" s="362"/>
      <c r="P577" s="362"/>
      <c r="Q577" s="364"/>
    </row>
    <row r="578" spans="1:17" s="293" customFormat="1" ht="18" hidden="1" customHeight="1">
      <c r="C578" s="305" t="s">
        <v>630</v>
      </c>
      <c r="D578" s="451" t="s">
        <v>186</v>
      </c>
      <c r="E578" s="451">
        <v>1.25</v>
      </c>
      <c r="F578" s="298">
        <f>F534</f>
        <v>500</v>
      </c>
      <c r="G578" s="297">
        <f>ROUND(E578*F578,2)</f>
        <v>625</v>
      </c>
      <c r="H578" s="362"/>
      <c r="I578" s="362"/>
      <c r="J578" s="362"/>
      <c r="K578" s="362"/>
      <c r="L578" s="362"/>
      <c r="M578" s="362"/>
      <c r="N578" s="362"/>
      <c r="O578" s="362"/>
      <c r="P578" s="362">
        <f>G578</f>
        <v>625</v>
      </c>
      <c r="Q578" s="364"/>
    </row>
    <row r="579" spans="1:17" s="293" customFormat="1" ht="18" hidden="1" customHeight="1">
      <c r="C579" s="305" t="s">
        <v>631</v>
      </c>
      <c r="D579" s="451" t="s">
        <v>186</v>
      </c>
      <c r="E579" s="451">
        <v>0.06</v>
      </c>
      <c r="F579" s="298">
        <f>F535</f>
        <v>460</v>
      </c>
      <c r="G579" s="297">
        <f>ROUND(E579*F579,2)</f>
        <v>27.6</v>
      </c>
      <c r="H579" s="362"/>
      <c r="I579" s="362"/>
      <c r="J579" s="362"/>
      <c r="K579" s="362"/>
      <c r="L579" s="362"/>
      <c r="M579" s="362"/>
      <c r="N579" s="362"/>
      <c r="O579" s="362"/>
      <c r="P579" s="362">
        <f>G579</f>
        <v>27.6</v>
      </c>
      <c r="Q579" s="364"/>
    </row>
    <row r="580" spans="1:17" s="293" customFormat="1" ht="18" hidden="1" customHeight="1">
      <c r="C580" s="305" t="s">
        <v>4</v>
      </c>
      <c r="D580" s="451" t="s">
        <v>186</v>
      </c>
      <c r="E580" s="451">
        <v>3</v>
      </c>
      <c r="F580" s="298">
        <f>F536</f>
        <v>420</v>
      </c>
      <c r="G580" s="297">
        <f>ROUND(E580*F580,2)</f>
        <v>1260</v>
      </c>
      <c r="H580" s="362"/>
      <c r="I580" s="362"/>
      <c r="J580" s="362"/>
      <c r="K580" s="362"/>
      <c r="L580" s="362"/>
      <c r="M580" s="362"/>
      <c r="N580" s="362"/>
      <c r="O580" s="362"/>
      <c r="P580" s="362">
        <f>G580</f>
        <v>1260</v>
      </c>
      <c r="Q580" s="364"/>
    </row>
    <row r="581" spans="1:17" s="293" customFormat="1" ht="18" hidden="1" customHeight="1">
      <c r="C581" s="305" t="s">
        <v>2</v>
      </c>
      <c r="D581" s="451"/>
      <c r="E581" s="546">
        <v>0.01</v>
      </c>
      <c r="F581" s="298">
        <f>G578+G579+G580</f>
        <v>1912.6</v>
      </c>
      <c r="G581" s="297">
        <f>ROUND(E581*F581,2)</f>
        <v>19.13</v>
      </c>
      <c r="H581" s="362"/>
      <c r="I581" s="362"/>
      <c r="J581" s="362"/>
      <c r="K581" s="362"/>
      <c r="L581" s="362"/>
      <c r="M581" s="362"/>
      <c r="N581" s="362"/>
      <c r="O581" s="362"/>
      <c r="P581" s="362">
        <f>G581</f>
        <v>19.13</v>
      </c>
      <c r="Q581" s="364"/>
    </row>
    <row r="582" spans="1:17" s="293" customFormat="1" ht="18" hidden="1" customHeight="1">
      <c r="C582" s="547" t="s">
        <v>1165</v>
      </c>
      <c r="D582" s="451"/>
      <c r="E582" s="1058"/>
      <c r="F582" s="298"/>
      <c r="G582" s="298">
        <f>SUM(G574:G581)</f>
        <v>2837.41</v>
      </c>
      <c r="H582" s="362"/>
      <c r="I582" s="362"/>
      <c r="J582" s="362"/>
      <c r="K582" s="362"/>
      <c r="L582" s="362"/>
      <c r="M582" s="362"/>
      <c r="N582" s="362"/>
      <c r="O582" s="362"/>
      <c r="P582" s="362"/>
      <c r="Q582" s="364"/>
    </row>
    <row r="583" spans="1:17" s="293" customFormat="1" ht="18" hidden="1" customHeight="1">
      <c r="C583" s="1083" t="s">
        <v>1166</v>
      </c>
      <c r="D583" s="256"/>
      <c r="E583" s="256"/>
      <c r="F583" s="298"/>
      <c r="G583" s="298">
        <f>ROUND(G582/10,2)</f>
        <v>283.74</v>
      </c>
      <c r="H583" s="362"/>
      <c r="I583" s="362">
        <f>SUM(I574:I582)/10</f>
        <v>51.6</v>
      </c>
      <c r="J583" s="362">
        <f t="shared" ref="J583:P583" si="83">SUM(J574:J582)/10</f>
        <v>0</v>
      </c>
      <c r="K583" s="362">
        <f t="shared" si="83"/>
        <v>12.49</v>
      </c>
      <c r="L583" s="362">
        <f t="shared" si="83"/>
        <v>0</v>
      </c>
      <c r="M583" s="362">
        <f t="shared" si="83"/>
        <v>26.477999999999998</v>
      </c>
      <c r="N583" s="362">
        <f t="shared" si="83"/>
        <v>0</v>
      </c>
      <c r="O583" s="362">
        <f t="shared" si="83"/>
        <v>0</v>
      </c>
      <c r="P583" s="362">
        <f t="shared" si="83"/>
        <v>193.173</v>
      </c>
      <c r="Q583" s="364">
        <f>SUM(I583:P583)</f>
        <v>283.74099999999999</v>
      </c>
    </row>
    <row r="584" spans="1:17" s="293" customFormat="1" ht="18" hidden="1" customHeight="1">
      <c r="C584" s="1083"/>
      <c r="D584" s="256"/>
      <c r="E584" s="256"/>
      <c r="F584" s="298"/>
      <c r="G584" s="298"/>
      <c r="H584" s="362"/>
      <c r="I584" s="362"/>
      <c r="J584" s="362"/>
      <c r="K584" s="362"/>
      <c r="L584" s="362"/>
      <c r="M584" s="362"/>
      <c r="N584" s="362"/>
      <c r="O584" s="362"/>
      <c r="P584" s="362"/>
      <c r="Q584" s="364"/>
    </row>
    <row r="585" spans="1:17" s="292" customFormat="1" ht="60" customHeight="1">
      <c r="A585" s="1080" t="s">
        <v>7</v>
      </c>
      <c r="B585" s="293">
        <v>21</v>
      </c>
      <c r="C585" s="1309" t="s">
        <v>503</v>
      </c>
      <c r="D585" s="1309"/>
      <c r="E585" s="1309"/>
      <c r="F585" s="1309"/>
      <c r="G585" s="1309"/>
      <c r="H585" s="365"/>
      <c r="I585" s="365"/>
      <c r="J585" s="365"/>
      <c r="K585" s="365"/>
      <c r="L585" s="365"/>
      <c r="M585" s="365"/>
      <c r="N585" s="365"/>
      <c r="O585" s="365"/>
      <c r="P585" s="365"/>
      <c r="Q585" s="365"/>
    </row>
    <row r="586" spans="1:17" s="304" customFormat="1" ht="18" customHeight="1">
      <c r="A586" s="300"/>
      <c r="B586" s="1080"/>
      <c r="C586" s="1082" t="s">
        <v>326</v>
      </c>
      <c r="D586" s="287"/>
      <c r="E586" s="287"/>
      <c r="F586" s="287"/>
      <c r="G586" s="297"/>
      <c r="H586" s="361"/>
      <c r="I586" s="361"/>
      <c r="J586" s="361"/>
      <c r="K586" s="361"/>
      <c r="L586" s="361"/>
      <c r="M586" s="361"/>
      <c r="N586" s="361"/>
      <c r="O586" s="361"/>
      <c r="P586" s="361"/>
      <c r="Q586" s="361"/>
    </row>
    <row r="587" spans="1:17" s="304" customFormat="1" ht="18" customHeight="1">
      <c r="A587" s="300"/>
      <c r="B587" s="1080"/>
      <c r="C587" s="1082" t="s">
        <v>177</v>
      </c>
      <c r="D587" s="287"/>
      <c r="E587" s="287"/>
      <c r="F587" s="287"/>
      <c r="G587" s="297"/>
      <c r="H587" s="361"/>
      <c r="I587" s="361"/>
      <c r="J587" s="361"/>
      <c r="K587" s="361"/>
      <c r="L587" s="361"/>
      <c r="M587" s="361"/>
      <c r="N587" s="361"/>
      <c r="O587" s="361"/>
      <c r="P587" s="361"/>
      <c r="Q587" s="361"/>
    </row>
    <row r="588" spans="1:17" s="304" customFormat="1" ht="18" customHeight="1">
      <c r="A588" s="300"/>
      <c r="B588" s="1080"/>
      <c r="C588" s="1082" t="s">
        <v>9</v>
      </c>
      <c r="D588" s="287" t="s">
        <v>112</v>
      </c>
      <c r="E588" s="287">
        <v>0.21</v>
      </c>
      <c r="F588" s="287">
        <f>G104</f>
        <v>3774.87</v>
      </c>
      <c r="G588" s="297">
        <f>ROUND(E588*F588,2)</f>
        <v>792.72</v>
      </c>
      <c r="H588" s="361">
        <f>H104</f>
        <v>0</v>
      </c>
      <c r="I588" s="361">
        <f>ROUND(E588*480*'lead 1'!M8/1000,2)</f>
        <v>433.44</v>
      </c>
      <c r="J588" s="361">
        <f t="shared" ref="J588:P588" si="84">ROUND(J104*0.21,2)</f>
        <v>0</v>
      </c>
      <c r="K588" s="361">
        <f>ROUND(E588*1.05*'lead 1'!M12,2)</f>
        <v>341.64</v>
      </c>
      <c r="L588" s="361">
        <f t="shared" si="84"/>
        <v>0</v>
      </c>
      <c r="M588" s="361">
        <f t="shared" si="84"/>
        <v>0</v>
      </c>
      <c r="N588" s="361">
        <f t="shared" si="84"/>
        <v>0</v>
      </c>
      <c r="O588" s="361">
        <f t="shared" si="84"/>
        <v>0</v>
      </c>
      <c r="P588" s="361">
        <f t="shared" si="84"/>
        <v>17.64</v>
      </c>
      <c r="Q588" s="361"/>
    </row>
    <row r="589" spans="1:17" s="304" customFormat="1" ht="18" customHeight="1">
      <c r="A589" s="300"/>
      <c r="C589" s="1082" t="s">
        <v>991</v>
      </c>
      <c r="D589" s="287" t="s">
        <v>116</v>
      </c>
      <c r="E589" s="287">
        <v>2</v>
      </c>
      <c r="F589" s="287">
        <f>'lead 1'!H78</f>
        <v>67</v>
      </c>
      <c r="G589" s="297">
        <f>ROUND(E589*F589,2)</f>
        <v>134</v>
      </c>
      <c r="H589" s="361"/>
      <c r="I589" s="361"/>
      <c r="J589" s="361"/>
      <c r="K589" s="361"/>
      <c r="L589" s="361"/>
      <c r="M589" s="361"/>
      <c r="N589" s="361"/>
      <c r="O589" s="361"/>
      <c r="P589" s="361">
        <f>G589</f>
        <v>134</v>
      </c>
      <c r="Q589" s="361"/>
    </row>
    <row r="590" spans="1:17" s="304" customFormat="1" ht="18" customHeight="1">
      <c r="A590" s="300"/>
      <c r="B590" s="1080"/>
      <c r="C590" s="1082" t="s">
        <v>3</v>
      </c>
      <c r="D590" s="287"/>
      <c r="E590" s="287"/>
      <c r="F590" s="287"/>
      <c r="G590" s="297"/>
      <c r="H590" s="362"/>
      <c r="I590" s="362"/>
      <c r="J590" s="362"/>
      <c r="K590" s="362"/>
      <c r="L590" s="362"/>
      <c r="M590" s="362"/>
      <c r="N590" s="362"/>
      <c r="O590" s="362"/>
      <c r="P590" s="362"/>
      <c r="Q590" s="362"/>
    </row>
    <row r="591" spans="1:17" s="304" customFormat="1" ht="18" customHeight="1">
      <c r="A591" s="300"/>
      <c r="B591" s="1080"/>
      <c r="C591" s="1082" t="s">
        <v>630</v>
      </c>
      <c r="D591" s="287" t="s">
        <v>186</v>
      </c>
      <c r="E591" s="287">
        <v>0.66</v>
      </c>
      <c r="F591" s="287">
        <f>'lead 1'!M31</f>
        <v>500</v>
      </c>
      <c r="G591" s="297">
        <f>ROUND(E591*F591,2)</f>
        <v>330</v>
      </c>
      <c r="H591" s="362"/>
      <c r="I591" s="362"/>
      <c r="J591" s="362"/>
      <c r="K591" s="362"/>
      <c r="L591" s="362"/>
      <c r="M591" s="362"/>
      <c r="N591" s="362"/>
      <c r="O591" s="362"/>
      <c r="P591" s="362">
        <f>G591</f>
        <v>330</v>
      </c>
      <c r="Q591" s="362"/>
    </row>
    <row r="592" spans="1:17" s="304" customFormat="1" ht="18" customHeight="1">
      <c r="A592" s="300"/>
      <c r="B592" s="1080"/>
      <c r="C592" s="1082" t="s">
        <v>631</v>
      </c>
      <c r="D592" s="287" t="s">
        <v>186</v>
      </c>
      <c r="E592" s="287">
        <v>1.54</v>
      </c>
      <c r="F592" s="287">
        <f>'lead 1'!M30</f>
        <v>460</v>
      </c>
      <c r="G592" s="297">
        <f>ROUND(E592*F592,2)</f>
        <v>708.4</v>
      </c>
      <c r="H592" s="444"/>
      <c r="I592" s="444"/>
      <c r="J592" s="444"/>
      <c r="K592" s="444"/>
      <c r="L592" s="444"/>
      <c r="M592" s="444"/>
      <c r="N592" s="444"/>
      <c r="O592" s="444"/>
      <c r="P592" s="362">
        <f>G592</f>
        <v>708.4</v>
      </c>
      <c r="Q592" s="444"/>
    </row>
    <row r="593" spans="1:17" s="304" customFormat="1" ht="18" customHeight="1">
      <c r="A593" s="300"/>
      <c r="B593" s="1080"/>
      <c r="C593" s="1082" t="s">
        <v>4</v>
      </c>
      <c r="D593" s="287" t="s">
        <v>186</v>
      </c>
      <c r="E593" s="287">
        <v>3.7</v>
      </c>
      <c r="F593" s="287">
        <f>'lead 1'!M28</f>
        <v>420</v>
      </c>
      <c r="G593" s="297">
        <f>ROUND(E593*F593,2)</f>
        <v>1554</v>
      </c>
      <c r="H593" s="364"/>
      <c r="I593" s="364"/>
      <c r="J593" s="364"/>
      <c r="K593" s="364"/>
      <c r="L593" s="364"/>
      <c r="M593" s="364"/>
      <c r="N593" s="364"/>
      <c r="O593" s="364"/>
      <c r="P593" s="362">
        <f>G593</f>
        <v>1554</v>
      </c>
      <c r="Q593" s="364"/>
    </row>
    <row r="594" spans="1:17" s="292" customFormat="1" ht="18" customHeight="1">
      <c r="B594" s="293"/>
      <c r="C594" s="320" t="s">
        <v>624</v>
      </c>
      <c r="E594" s="306">
        <v>0</v>
      </c>
      <c r="F594" s="287">
        <f>SUM(G591:G593)</f>
        <v>2592.4</v>
      </c>
      <c r="G594" s="297">
        <f>ROUND(F594*E594,2)</f>
        <v>0</v>
      </c>
      <c r="H594" s="366"/>
      <c r="I594" s="366"/>
      <c r="J594" s="366"/>
      <c r="K594" s="366"/>
      <c r="L594" s="366"/>
      <c r="M594" s="366"/>
      <c r="N594" s="366"/>
      <c r="O594" s="366"/>
      <c r="P594" s="366"/>
      <c r="Q594" s="366"/>
    </row>
    <row r="595" spans="1:17" s="304" customFormat="1" ht="18" customHeight="1">
      <c r="A595" s="300"/>
      <c r="B595" s="1080"/>
      <c r="C595" s="1082" t="s">
        <v>187</v>
      </c>
      <c r="D595" s="287"/>
      <c r="E595" s="287"/>
      <c r="F595" s="287"/>
      <c r="G595" s="297">
        <f>SUM(G588:G594)</f>
        <v>3519.12</v>
      </c>
      <c r="H595" s="297">
        <f t="shared" ref="H595:P595" si="85">SUM(H588:H594)</f>
        <v>0</v>
      </c>
      <c r="I595" s="297">
        <f t="shared" si="85"/>
        <v>433.44</v>
      </c>
      <c r="J595" s="297">
        <f t="shared" si="85"/>
        <v>0</v>
      </c>
      <c r="K595" s="297">
        <f t="shared" si="85"/>
        <v>341.64</v>
      </c>
      <c r="L595" s="297">
        <f t="shared" si="85"/>
        <v>0</v>
      </c>
      <c r="M595" s="297">
        <f t="shared" si="85"/>
        <v>0</v>
      </c>
      <c r="N595" s="297">
        <f t="shared" si="85"/>
        <v>0</v>
      </c>
      <c r="O595" s="297">
        <f t="shared" si="85"/>
        <v>0</v>
      </c>
      <c r="P595" s="297">
        <f t="shared" si="85"/>
        <v>2744.04</v>
      </c>
      <c r="Q595" s="366">
        <f>SUM(H595:P595)</f>
        <v>3519.12</v>
      </c>
    </row>
    <row r="596" spans="1:17" s="263" customFormat="1" ht="18" customHeight="1">
      <c r="B596" s="315"/>
      <c r="C596" s="1084" t="s">
        <v>460</v>
      </c>
      <c r="E596" s="321" t="s">
        <v>409</v>
      </c>
      <c r="F596" s="322" t="s">
        <v>410</v>
      </c>
      <c r="G596" s="321" t="s">
        <v>411</v>
      </c>
      <c r="H596" s="367"/>
      <c r="I596" s="367"/>
      <c r="J596" s="367"/>
      <c r="K596" s="367"/>
      <c r="L596" s="367"/>
      <c r="M596" s="367"/>
      <c r="N596" s="367"/>
      <c r="O596" s="367"/>
      <c r="P596" s="367"/>
      <c r="Q596" s="367"/>
    </row>
    <row r="597" spans="1:17" s="263" customFormat="1" ht="18" customHeight="1">
      <c r="B597" s="315"/>
      <c r="C597" s="323" t="s">
        <v>491</v>
      </c>
      <c r="E597" s="287">
        <f>G595</f>
        <v>3519.12</v>
      </c>
      <c r="F597" s="287">
        <f>E597</f>
        <v>3519.12</v>
      </c>
      <c r="G597" s="287">
        <f>F597</f>
        <v>3519.12</v>
      </c>
      <c r="H597" s="367">
        <f>H595</f>
        <v>0</v>
      </c>
      <c r="I597" s="367">
        <f t="shared" ref="I597:P597" si="86">I595</f>
        <v>433.44</v>
      </c>
      <c r="J597" s="367">
        <f t="shared" si="86"/>
        <v>0</v>
      </c>
      <c r="K597" s="367">
        <f t="shared" si="86"/>
        <v>341.64</v>
      </c>
      <c r="L597" s="367">
        <f t="shared" si="86"/>
        <v>0</v>
      </c>
      <c r="M597" s="367">
        <f t="shared" si="86"/>
        <v>0</v>
      </c>
      <c r="N597" s="367">
        <f t="shared" si="86"/>
        <v>0</v>
      </c>
      <c r="O597" s="367">
        <f t="shared" si="86"/>
        <v>0</v>
      </c>
      <c r="P597" s="367">
        <f t="shared" si="86"/>
        <v>2744.04</v>
      </c>
      <c r="Q597" s="367"/>
    </row>
    <row r="598" spans="1:17" s="263" customFormat="1" ht="18" customHeight="1">
      <c r="B598" s="315"/>
      <c r="C598" s="1082" t="s">
        <v>492</v>
      </c>
      <c r="E598" s="287">
        <v>0</v>
      </c>
      <c r="F598" s="287">
        <f>ROUND(F594*0.1,2)</f>
        <v>259.24</v>
      </c>
      <c r="G598" s="287">
        <f>F598*2</f>
        <v>518.48</v>
      </c>
      <c r="H598" s="367"/>
      <c r="I598" s="367"/>
      <c r="J598" s="367"/>
      <c r="K598" s="367"/>
      <c r="L598" s="367"/>
      <c r="M598" s="367"/>
      <c r="N598" s="367"/>
      <c r="O598" s="367"/>
      <c r="P598" s="367"/>
      <c r="Q598" s="367"/>
    </row>
    <row r="599" spans="1:17" s="263" customFormat="1" ht="18" customHeight="1">
      <c r="B599" s="315"/>
      <c r="C599" s="324" t="s">
        <v>493</v>
      </c>
      <c r="E599" s="256">
        <f>SUM(E597:E598)</f>
        <v>3519.12</v>
      </c>
      <c r="F599" s="256">
        <f>SUM(F597:F598)</f>
        <v>3778.3599999999997</v>
      </c>
      <c r="G599" s="256">
        <f>SUM(G597:G598)</f>
        <v>4037.6</v>
      </c>
      <c r="H599" s="366"/>
      <c r="I599" s="366"/>
      <c r="J599" s="366"/>
      <c r="K599" s="366"/>
      <c r="L599" s="366"/>
      <c r="M599" s="366"/>
      <c r="N599" s="366"/>
      <c r="O599" s="366"/>
      <c r="P599" s="366"/>
      <c r="Q599" s="366"/>
    </row>
    <row r="600" spans="1:17" s="304" customFormat="1" ht="18" customHeight="1">
      <c r="A600" s="300"/>
      <c r="B600" s="1080"/>
      <c r="C600" s="1082" t="s">
        <v>691</v>
      </c>
      <c r="D600" s="309">
        <f>ROUND(D599*D2,2)</f>
        <v>0</v>
      </c>
      <c r="E600" s="309">
        <f>ROUND(E599*D2,2)</f>
        <v>0</v>
      </c>
      <c r="F600" s="309">
        <f>ROUND(F599*D2,2)</f>
        <v>0</v>
      </c>
      <c r="G600" s="309">
        <f>ROUND(G599*D2,2)</f>
        <v>0</v>
      </c>
      <c r="H600" s="367"/>
      <c r="I600" s="367"/>
      <c r="J600" s="367"/>
      <c r="K600" s="367"/>
      <c r="L600" s="367"/>
      <c r="M600" s="367"/>
      <c r="N600" s="367"/>
      <c r="O600" s="367"/>
      <c r="P600" s="367"/>
      <c r="Q600" s="367"/>
    </row>
    <row r="601" spans="1:17" s="263" customFormat="1" ht="18" customHeight="1">
      <c r="B601" s="315"/>
      <c r="C601" s="1083" t="s">
        <v>494</v>
      </c>
      <c r="E601" s="256">
        <f>SUM(E599:E600)</f>
        <v>3519.12</v>
      </c>
      <c r="F601" s="256">
        <f>SUM(F599:F600)</f>
        <v>3778.3599999999997</v>
      </c>
      <c r="G601" s="256">
        <f>SUM(G599:G600)</f>
        <v>4037.6</v>
      </c>
      <c r="H601" s="367">
        <f t="shared" ref="H601:P601" si="87">SUM(H597:H600)</f>
        <v>0</v>
      </c>
      <c r="I601" s="367">
        <f t="shared" si="87"/>
        <v>433.44</v>
      </c>
      <c r="J601" s="367">
        <f t="shared" si="87"/>
        <v>0</v>
      </c>
      <c r="K601" s="367">
        <f t="shared" si="87"/>
        <v>341.64</v>
      </c>
      <c r="L601" s="367">
        <f t="shared" si="87"/>
        <v>0</v>
      </c>
      <c r="M601" s="367">
        <f t="shared" si="87"/>
        <v>0</v>
      </c>
      <c r="N601" s="367">
        <f t="shared" si="87"/>
        <v>0</v>
      </c>
      <c r="O601" s="367">
        <f t="shared" si="87"/>
        <v>0</v>
      </c>
      <c r="P601" s="367">
        <f t="shared" si="87"/>
        <v>2744.04</v>
      </c>
      <c r="Q601" s="367"/>
    </row>
    <row r="602" spans="1:17" s="263" customFormat="1" ht="18" customHeight="1">
      <c r="B602" s="315"/>
      <c r="C602" s="1083" t="s">
        <v>1222</v>
      </c>
      <c r="E602" s="256">
        <f>ROUND(E601/10,2)</f>
        <v>351.91</v>
      </c>
      <c r="F602" s="256">
        <f>ROUND(F601/10,2)</f>
        <v>377.84</v>
      </c>
      <c r="G602" s="256">
        <f>ROUND(G601/10,2)</f>
        <v>403.76</v>
      </c>
      <c r="H602" s="367">
        <f>ROUND(H601/10,2)</f>
        <v>0</v>
      </c>
      <c r="I602" s="367">
        <f t="shared" ref="I602:P604" si="88">ROUND(I601/10,2)</f>
        <v>43.34</v>
      </c>
      <c r="J602" s="367">
        <f t="shared" si="88"/>
        <v>0</v>
      </c>
      <c r="K602" s="367">
        <f t="shared" si="88"/>
        <v>34.159999999999997</v>
      </c>
      <c r="L602" s="367">
        <f t="shared" si="88"/>
        <v>0</v>
      </c>
      <c r="M602" s="367">
        <f t="shared" si="88"/>
        <v>0</v>
      </c>
      <c r="N602" s="367">
        <f t="shared" si="88"/>
        <v>0</v>
      </c>
      <c r="O602" s="367">
        <f t="shared" si="88"/>
        <v>0</v>
      </c>
      <c r="P602" s="367">
        <f t="shared" si="88"/>
        <v>274.39999999999998</v>
      </c>
      <c r="Q602" s="367">
        <f>SUM(H602:P602)</f>
        <v>351.9</v>
      </c>
    </row>
    <row r="603" spans="1:17" s="263" customFormat="1" ht="18" hidden="1" customHeight="1">
      <c r="B603" s="315"/>
      <c r="C603" s="1083"/>
      <c r="H603" s="367">
        <f>SUM(H599:H602)</f>
        <v>0</v>
      </c>
      <c r="I603" s="367">
        <f>I595</f>
        <v>433.44</v>
      </c>
      <c r="J603" s="367">
        <f t="shared" ref="J603:O603" si="89">J595</f>
        <v>0</v>
      </c>
      <c r="K603" s="367">
        <f t="shared" si="89"/>
        <v>341.64</v>
      </c>
      <c r="L603" s="367">
        <f t="shared" si="89"/>
        <v>0</v>
      </c>
      <c r="M603" s="367">
        <f t="shared" si="89"/>
        <v>0</v>
      </c>
      <c r="N603" s="367">
        <f t="shared" si="89"/>
        <v>0</v>
      </c>
      <c r="O603" s="367">
        <f t="shared" si="89"/>
        <v>0</v>
      </c>
      <c r="P603" s="367">
        <f>P595+F598</f>
        <v>3003.2799999999997</v>
      </c>
      <c r="Q603" s="367"/>
    </row>
    <row r="604" spans="1:17" s="263" customFormat="1" ht="18" hidden="1" customHeight="1">
      <c r="B604" s="315"/>
      <c r="C604" s="1083" t="s">
        <v>920</v>
      </c>
      <c r="H604" s="367">
        <f>ROUND(H603/10,2)</f>
        <v>0</v>
      </c>
      <c r="I604" s="367">
        <f t="shared" si="88"/>
        <v>43.34</v>
      </c>
      <c r="J604" s="367">
        <f t="shared" si="88"/>
        <v>0</v>
      </c>
      <c r="K604" s="367">
        <v>21.93</v>
      </c>
      <c r="L604" s="367">
        <f t="shared" si="88"/>
        <v>0</v>
      </c>
      <c r="M604" s="367">
        <f t="shared" si="88"/>
        <v>0</v>
      </c>
      <c r="N604" s="367">
        <f t="shared" si="88"/>
        <v>0</v>
      </c>
      <c r="O604" s="367">
        <f t="shared" si="88"/>
        <v>0</v>
      </c>
      <c r="P604" s="367">
        <f t="shared" si="88"/>
        <v>300.33</v>
      </c>
      <c r="Q604" s="367">
        <f>SUM(I604:P604)</f>
        <v>365.6</v>
      </c>
    </row>
    <row r="605" spans="1:17" s="263" customFormat="1" ht="18" hidden="1" customHeight="1">
      <c r="B605" s="315"/>
      <c r="C605" s="1083"/>
      <c r="H605" s="367">
        <f>H597</f>
        <v>0</v>
      </c>
      <c r="I605" s="367">
        <f t="shared" ref="I605:O605" si="90">I597</f>
        <v>433.44</v>
      </c>
      <c r="J605" s="367">
        <f t="shared" si="90"/>
        <v>0</v>
      </c>
      <c r="K605" s="367">
        <f t="shared" si="90"/>
        <v>341.64</v>
      </c>
      <c r="L605" s="367">
        <f t="shared" si="90"/>
        <v>0</v>
      </c>
      <c r="M605" s="367">
        <f t="shared" si="90"/>
        <v>0</v>
      </c>
      <c r="N605" s="367">
        <f t="shared" si="90"/>
        <v>0</v>
      </c>
      <c r="O605" s="367">
        <f t="shared" si="90"/>
        <v>0</v>
      </c>
      <c r="P605" s="367">
        <f>P597+SUM(G598)</f>
        <v>3262.52</v>
      </c>
      <c r="Q605" s="367">
        <f>SUM(H605:P605)</f>
        <v>4037.6</v>
      </c>
    </row>
    <row r="606" spans="1:17" s="263" customFormat="1" ht="18" hidden="1" customHeight="1">
      <c r="B606" s="315"/>
      <c r="C606" s="1083" t="s">
        <v>921</v>
      </c>
      <c r="E606" s="256"/>
      <c r="F606" s="256"/>
      <c r="G606" s="256"/>
      <c r="H606" s="367">
        <f>ROUND(H605/10,2)</f>
        <v>0</v>
      </c>
      <c r="I606" s="367">
        <f t="shared" ref="I606:P606" si="91">ROUND(I605/10,2)</f>
        <v>43.34</v>
      </c>
      <c r="J606" s="367">
        <f t="shared" si="91"/>
        <v>0</v>
      </c>
      <c r="K606" s="367">
        <f t="shared" si="91"/>
        <v>34.159999999999997</v>
      </c>
      <c r="L606" s="367">
        <f t="shared" si="91"/>
        <v>0</v>
      </c>
      <c r="M606" s="367">
        <f t="shared" si="91"/>
        <v>0</v>
      </c>
      <c r="N606" s="367">
        <f t="shared" si="91"/>
        <v>0</v>
      </c>
      <c r="O606" s="367">
        <f t="shared" si="91"/>
        <v>0</v>
      </c>
      <c r="P606" s="367">
        <f t="shared" si="91"/>
        <v>326.25</v>
      </c>
      <c r="Q606" s="367">
        <f>SUM(H606:P606)</f>
        <v>403.75</v>
      </c>
    </row>
    <row r="607" spans="1:17" s="292" customFormat="1" ht="48" hidden="1" customHeight="1">
      <c r="A607" s="1080" t="s">
        <v>10</v>
      </c>
      <c r="B607" s="293">
        <f>B585+1</f>
        <v>22</v>
      </c>
      <c r="C607" s="1309" t="s">
        <v>504</v>
      </c>
      <c r="D607" s="1309"/>
      <c r="E607" s="1309"/>
      <c r="F607" s="1309"/>
      <c r="G607" s="1309"/>
      <c r="H607" s="367"/>
      <c r="I607" s="367"/>
      <c r="J607" s="367"/>
      <c r="K607" s="367"/>
      <c r="L607" s="367"/>
      <c r="M607" s="367"/>
      <c r="N607" s="367"/>
      <c r="O607" s="367"/>
      <c r="P607" s="367"/>
      <c r="Q607" s="367"/>
    </row>
    <row r="608" spans="1:17" s="304" customFormat="1" ht="18" hidden="1" customHeight="1">
      <c r="A608" s="300"/>
      <c r="B608" s="1080"/>
      <c r="C608" s="1082" t="s">
        <v>12</v>
      </c>
      <c r="D608" s="287"/>
      <c r="E608" s="287"/>
      <c r="F608" s="287"/>
      <c r="G608" s="297"/>
      <c r="H608" s="366"/>
      <c r="I608" s="366"/>
      <c r="J608" s="366"/>
      <c r="K608" s="366"/>
      <c r="L608" s="366"/>
      <c r="M608" s="366"/>
      <c r="N608" s="366"/>
      <c r="O608" s="366"/>
      <c r="P608" s="366"/>
      <c r="Q608" s="366"/>
    </row>
    <row r="609" spans="1:17" s="304" customFormat="1" ht="18" hidden="1" customHeight="1">
      <c r="A609" s="300"/>
      <c r="B609" s="1080"/>
      <c r="C609" s="1082" t="s">
        <v>13</v>
      </c>
      <c r="D609" s="287"/>
      <c r="E609" s="287"/>
      <c r="F609" s="287"/>
      <c r="G609" s="297"/>
      <c r="H609" s="367"/>
      <c r="I609" s="367"/>
      <c r="J609" s="367"/>
      <c r="K609" s="367"/>
      <c r="L609" s="367"/>
      <c r="M609" s="367"/>
      <c r="N609" s="367"/>
      <c r="O609" s="367"/>
      <c r="P609" s="367"/>
      <c r="Q609" s="367"/>
    </row>
    <row r="610" spans="1:17" s="304" customFormat="1" ht="18" hidden="1" customHeight="1">
      <c r="A610" s="300" t="s">
        <v>505</v>
      </c>
      <c r="B610" s="1080"/>
      <c r="C610" s="1082" t="s">
        <v>14</v>
      </c>
      <c r="D610" s="1082" t="s">
        <v>15</v>
      </c>
      <c r="E610" s="287">
        <v>2</v>
      </c>
      <c r="F610" s="287">
        <f>'lead 1'!H79</f>
        <v>27</v>
      </c>
      <c r="G610" s="297">
        <f>ROUND(E610*F610,2)</f>
        <v>54</v>
      </c>
      <c r="H610" s="367"/>
      <c r="I610" s="367"/>
      <c r="J610" s="367"/>
      <c r="K610" s="367"/>
      <c r="L610" s="367"/>
      <c r="M610" s="367"/>
      <c r="N610" s="367"/>
      <c r="O610" s="367"/>
      <c r="P610" s="367"/>
      <c r="Q610" s="367"/>
    </row>
    <row r="611" spans="1:17" s="304" customFormat="1" ht="18" hidden="1" customHeight="1">
      <c r="A611" s="300"/>
      <c r="B611" s="1080"/>
      <c r="C611" s="1082" t="s">
        <v>16</v>
      </c>
      <c r="D611" s="287" t="s">
        <v>17</v>
      </c>
      <c r="E611" s="287">
        <v>1</v>
      </c>
      <c r="F611" s="287"/>
      <c r="G611" s="297">
        <v>10</v>
      </c>
      <c r="H611" s="362"/>
      <c r="I611" s="362"/>
      <c r="J611" s="362"/>
      <c r="K611" s="362"/>
      <c r="L611" s="362"/>
      <c r="M611" s="362"/>
      <c r="N611" s="362"/>
      <c r="O611" s="362"/>
      <c r="P611" s="362"/>
      <c r="Q611" s="362"/>
    </row>
    <row r="612" spans="1:17" s="304" customFormat="1" ht="18" hidden="1" customHeight="1">
      <c r="A612" s="300"/>
      <c r="B612" s="1080"/>
      <c r="C612" s="1082" t="s">
        <v>3</v>
      </c>
      <c r="D612" s="287"/>
      <c r="E612" s="287"/>
      <c r="F612" s="287"/>
      <c r="G612" s="297">
        <f>ROUND(E612*F612,2)</f>
        <v>0</v>
      </c>
      <c r="H612" s="364"/>
      <c r="I612" s="364"/>
      <c r="J612" s="364"/>
      <c r="K612" s="364"/>
      <c r="L612" s="364"/>
      <c r="M612" s="364"/>
      <c r="N612" s="364"/>
      <c r="O612" s="364"/>
      <c r="P612" s="364"/>
      <c r="Q612" s="364"/>
    </row>
    <row r="613" spans="1:17" s="304" customFormat="1" ht="18" hidden="1" customHeight="1">
      <c r="A613" s="300"/>
      <c r="B613" s="1080"/>
      <c r="C613" s="1082" t="s">
        <v>18</v>
      </c>
      <c r="D613" s="287" t="s">
        <v>186</v>
      </c>
      <c r="E613" s="287">
        <v>0.21</v>
      </c>
      <c r="F613" s="287">
        <f>'lead 1'!M32</f>
        <v>580</v>
      </c>
      <c r="G613" s="297">
        <f>ROUND(E613*F613,2)</f>
        <v>121.8</v>
      </c>
      <c r="H613" s="361"/>
      <c r="I613" s="361"/>
      <c r="J613" s="361"/>
      <c r="K613" s="361"/>
      <c r="L613" s="361"/>
      <c r="M613" s="361"/>
      <c r="N613" s="361"/>
      <c r="O613" s="361"/>
      <c r="P613" s="361"/>
      <c r="Q613" s="361"/>
    </row>
    <row r="614" spans="1:17" s="304" customFormat="1" ht="18" hidden="1" customHeight="1">
      <c r="A614" s="300"/>
      <c r="B614" s="1080"/>
      <c r="C614" s="1082" t="s">
        <v>213</v>
      </c>
      <c r="D614" s="287" t="s">
        <v>186</v>
      </c>
      <c r="E614" s="287">
        <v>0.32</v>
      </c>
      <c r="F614" s="287">
        <f>'lead 1'!M28</f>
        <v>420</v>
      </c>
      <c r="G614" s="297">
        <f>ROUND(E614*F614,2)</f>
        <v>134.4</v>
      </c>
      <c r="H614" s="362"/>
      <c r="I614" s="362"/>
      <c r="J614" s="362"/>
      <c r="K614" s="362"/>
      <c r="L614" s="362"/>
      <c r="M614" s="362"/>
      <c r="N614" s="362"/>
      <c r="O614" s="362"/>
      <c r="P614" s="362"/>
      <c r="Q614" s="362"/>
    </row>
    <row r="615" spans="1:17" s="292" customFormat="1" ht="18" hidden="1" customHeight="1">
      <c r="B615" s="293"/>
      <c r="C615" s="320" t="s">
        <v>169</v>
      </c>
      <c r="E615" s="306">
        <v>0</v>
      </c>
      <c r="F615" s="287">
        <f>SUM(G613:G614)</f>
        <v>256.2</v>
      </c>
      <c r="G615" s="297">
        <f>ROUND(F615*E615,2)</f>
        <v>0</v>
      </c>
      <c r="H615" s="362"/>
      <c r="I615" s="362"/>
      <c r="J615" s="362"/>
      <c r="K615" s="362"/>
      <c r="L615" s="362"/>
      <c r="M615" s="362"/>
      <c r="N615" s="362"/>
      <c r="O615" s="362"/>
      <c r="P615" s="362"/>
      <c r="Q615" s="362"/>
    </row>
    <row r="616" spans="1:17" s="304" customFormat="1" ht="18" hidden="1" customHeight="1">
      <c r="A616" s="300"/>
      <c r="B616" s="1080"/>
      <c r="C616" s="1082" t="s">
        <v>506</v>
      </c>
      <c r="D616" s="287"/>
      <c r="E616" s="287">
        <v>0.01</v>
      </c>
      <c r="F616" s="287">
        <f>SUM(G610:G614)</f>
        <v>320.20000000000005</v>
      </c>
      <c r="G616" s="297">
        <f>ROUND(E616*F616,2)</f>
        <v>3.2</v>
      </c>
      <c r="H616" s="362"/>
      <c r="I616" s="362"/>
      <c r="J616" s="362"/>
      <c r="K616" s="362"/>
      <c r="L616" s="362"/>
      <c r="M616" s="362"/>
      <c r="N616" s="362"/>
      <c r="O616" s="362"/>
      <c r="P616" s="362"/>
      <c r="Q616" s="362"/>
    </row>
    <row r="617" spans="1:17" s="304" customFormat="1" ht="18" hidden="1" customHeight="1">
      <c r="A617" s="300"/>
      <c r="B617" s="1080"/>
      <c r="C617" s="1082" t="s">
        <v>20</v>
      </c>
      <c r="D617" s="287"/>
      <c r="E617" s="287"/>
      <c r="F617" s="287"/>
      <c r="G617" s="297">
        <f>SUM(G610:G616)</f>
        <v>323.40000000000003</v>
      </c>
      <c r="H617" s="364"/>
      <c r="I617" s="364"/>
      <c r="J617" s="364"/>
      <c r="K617" s="364"/>
      <c r="L617" s="364"/>
      <c r="M617" s="364"/>
      <c r="N617" s="364"/>
      <c r="O617" s="364"/>
      <c r="P617" s="364"/>
      <c r="Q617" s="364"/>
    </row>
    <row r="618" spans="1:17" s="263" customFormat="1" ht="18" hidden="1" customHeight="1">
      <c r="B618" s="315"/>
      <c r="C618" s="1084" t="s">
        <v>460</v>
      </c>
      <c r="E618" s="321" t="s">
        <v>409</v>
      </c>
      <c r="F618" s="322" t="s">
        <v>410</v>
      </c>
      <c r="G618" s="321" t="s">
        <v>411</v>
      </c>
      <c r="H618" s="361"/>
      <c r="I618" s="361"/>
      <c r="J618" s="361"/>
      <c r="K618" s="361"/>
      <c r="L618" s="361"/>
      <c r="M618" s="361"/>
      <c r="N618" s="361"/>
      <c r="O618" s="361"/>
      <c r="P618" s="361"/>
      <c r="Q618" s="361"/>
    </row>
    <row r="619" spans="1:17" s="263" customFormat="1" ht="18" hidden="1" customHeight="1">
      <c r="B619" s="315"/>
      <c r="C619" s="323" t="s">
        <v>491</v>
      </c>
      <c r="E619" s="287">
        <f>G617</f>
        <v>323.40000000000003</v>
      </c>
      <c r="F619" s="287">
        <f>E619</f>
        <v>323.40000000000003</v>
      </c>
      <c r="G619" s="287">
        <f>F619</f>
        <v>323.40000000000003</v>
      </c>
      <c r="H619" s="361"/>
      <c r="I619" s="361"/>
      <c r="J619" s="361"/>
      <c r="K619" s="361"/>
      <c r="L619" s="361"/>
      <c r="M619" s="361"/>
      <c r="N619" s="361"/>
      <c r="O619" s="361"/>
      <c r="P619" s="361"/>
      <c r="Q619" s="361"/>
    </row>
    <row r="620" spans="1:17" s="263" customFormat="1" ht="18" hidden="1" customHeight="1">
      <c r="B620" s="315"/>
      <c r="C620" s="1082" t="s">
        <v>492</v>
      </c>
      <c r="E620" s="287">
        <v>0</v>
      </c>
      <c r="F620" s="287">
        <f>ROUND(F615*0.1,2)</f>
        <v>25.62</v>
      </c>
      <c r="G620" s="287">
        <f>ROUND(F620*2,2)</f>
        <v>51.24</v>
      </c>
      <c r="H620" s="362"/>
      <c r="I620" s="362"/>
      <c r="J620" s="362"/>
      <c r="K620" s="362"/>
      <c r="L620" s="362"/>
      <c r="M620" s="362"/>
      <c r="N620" s="362"/>
      <c r="O620" s="362"/>
      <c r="P620" s="362"/>
      <c r="Q620" s="362"/>
    </row>
    <row r="621" spans="1:17" s="263" customFormat="1" ht="18" hidden="1" customHeight="1">
      <c r="B621" s="315"/>
      <c r="C621" s="324" t="s">
        <v>493</v>
      </c>
      <c r="E621" s="256">
        <f>SUM(E619:E620)</f>
        <v>323.40000000000003</v>
      </c>
      <c r="F621" s="256">
        <f>SUM(F619:F620)</f>
        <v>349.02000000000004</v>
      </c>
      <c r="G621" s="256">
        <f>SUM(G619:G620)</f>
        <v>374.64000000000004</v>
      </c>
      <c r="H621" s="362"/>
      <c r="I621" s="362"/>
      <c r="J621" s="362"/>
      <c r="K621" s="362"/>
      <c r="L621" s="362"/>
      <c r="M621" s="362"/>
      <c r="N621" s="362"/>
      <c r="O621" s="362"/>
      <c r="P621" s="362"/>
      <c r="Q621" s="362"/>
    </row>
    <row r="622" spans="1:17" s="304" customFormat="1" ht="18" hidden="1" customHeight="1">
      <c r="A622" s="300"/>
      <c r="B622" s="1080"/>
      <c r="C622" s="1082" t="s">
        <v>691</v>
      </c>
      <c r="D622" s="309">
        <f>ROUND(D621*14%,2)</f>
        <v>0</v>
      </c>
      <c r="E622" s="309">
        <f>ROUND(E621*D2,2)</f>
        <v>0</v>
      </c>
      <c r="F622" s="309">
        <f>ROUND(F621*D2,2)</f>
        <v>0</v>
      </c>
      <c r="G622" s="309">
        <f>ROUND(G621*D2,2)</f>
        <v>0</v>
      </c>
      <c r="H622" s="362"/>
      <c r="I622" s="362"/>
      <c r="J622" s="362"/>
      <c r="K622" s="362"/>
      <c r="L622" s="362"/>
      <c r="M622" s="362"/>
      <c r="N622" s="362"/>
      <c r="O622" s="362"/>
      <c r="P622" s="362"/>
      <c r="Q622" s="362"/>
    </row>
    <row r="623" spans="1:17" s="263" customFormat="1" ht="18" hidden="1" customHeight="1">
      <c r="B623" s="315"/>
      <c r="C623" s="1083" t="s">
        <v>494</v>
      </c>
      <c r="E623" s="256">
        <f>SUM(E621:E622)</f>
        <v>323.40000000000003</v>
      </c>
      <c r="F623" s="256">
        <f>SUM(F621:F622)</f>
        <v>349.02000000000004</v>
      </c>
      <c r="G623" s="256">
        <f>SUM(G621:G622)</f>
        <v>374.64000000000004</v>
      </c>
      <c r="H623" s="361"/>
      <c r="I623" s="361"/>
      <c r="J623" s="361"/>
      <c r="K623" s="361"/>
      <c r="L623" s="361"/>
      <c r="M623" s="361"/>
      <c r="N623" s="361"/>
      <c r="O623" s="361"/>
      <c r="P623" s="361"/>
      <c r="Q623" s="361"/>
    </row>
    <row r="624" spans="1:17" s="263" customFormat="1" ht="18" hidden="1" customHeight="1">
      <c r="B624" s="315"/>
      <c r="C624" s="1083" t="s">
        <v>484</v>
      </c>
      <c r="E624" s="256">
        <f>ROUND(E623/10,2)</f>
        <v>32.340000000000003</v>
      </c>
      <c r="F624" s="256">
        <f>ROUND(F623/10,2)</f>
        <v>34.9</v>
      </c>
      <c r="G624" s="256">
        <f>ROUND(G623/10,2)</f>
        <v>37.46</v>
      </c>
      <c r="H624" s="362"/>
      <c r="I624" s="362"/>
      <c r="J624" s="362"/>
      <c r="K624" s="362"/>
      <c r="L624" s="362"/>
      <c r="M624" s="362"/>
      <c r="N624" s="362"/>
      <c r="O624" s="362"/>
      <c r="P624" s="362"/>
      <c r="Q624" s="362"/>
    </row>
    <row r="625" spans="1:17" s="293" customFormat="1" ht="24" hidden="1" customHeight="1">
      <c r="C625" s="1400" t="s">
        <v>507</v>
      </c>
      <c r="D625" s="1400"/>
      <c r="E625" s="1400"/>
      <c r="F625" s="1400"/>
      <c r="G625" s="1400"/>
      <c r="H625" s="362"/>
      <c r="I625" s="362"/>
      <c r="J625" s="362"/>
      <c r="K625" s="362"/>
      <c r="L625" s="362"/>
      <c r="M625" s="362"/>
      <c r="N625" s="362"/>
      <c r="O625" s="362"/>
      <c r="P625" s="362"/>
      <c r="Q625" s="362"/>
    </row>
    <row r="626" spans="1:17" s="292" customFormat="1" ht="55.5" customHeight="1">
      <c r="B626" s="293">
        <v>22</v>
      </c>
      <c r="C626" s="1312" t="s">
        <v>1282</v>
      </c>
      <c r="D626" s="1312"/>
      <c r="E626" s="1312"/>
      <c r="F626" s="1312"/>
      <c r="G626" s="1312"/>
      <c r="H626" s="362"/>
      <c r="I626" s="362"/>
      <c r="J626" s="362"/>
      <c r="K626" s="362"/>
      <c r="L626" s="362"/>
      <c r="M626" s="362"/>
      <c r="N626" s="362"/>
      <c r="O626" s="362"/>
      <c r="P626" s="362"/>
      <c r="Q626" s="362"/>
    </row>
    <row r="627" spans="1:17" s="304" customFormat="1" ht="18" customHeight="1">
      <c r="A627" s="300"/>
      <c r="B627" s="1080"/>
      <c r="C627" s="1084" t="s">
        <v>508</v>
      </c>
      <c r="D627" s="287"/>
      <c r="E627" s="287"/>
      <c r="F627" s="287"/>
      <c r="G627" s="297"/>
      <c r="H627" s="362"/>
      <c r="I627" s="362"/>
      <c r="J627" s="362"/>
      <c r="K627" s="362"/>
      <c r="L627" s="362"/>
      <c r="M627" s="362"/>
      <c r="N627" s="362"/>
      <c r="O627" s="362"/>
      <c r="P627" s="362"/>
      <c r="Q627" s="362"/>
    </row>
    <row r="628" spans="1:17" s="304" customFormat="1" ht="36" customHeight="1">
      <c r="A628" s="300"/>
      <c r="B628" s="1080"/>
      <c r="C628" s="1082" t="s">
        <v>509</v>
      </c>
      <c r="D628" s="287" t="s">
        <v>510</v>
      </c>
      <c r="E628" s="287">
        <v>1</v>
      </c>
      <c r="F628" s="287">
        <f>G660</f>
        <v>489.51</v>
      </c>
      <c r="G628" s="297">
        <f t="shared" ref="G628:G638" si="92">ROUND(E628*F628,2)</f>
        <v>489.51</v>
      </c>
      <c r="H628" s="361"/>
      <c r="I628" s="361"/>
      <c r="J628" s="361"/>
      <c r="K628" s="361"/>
      <c r="L628" s="361"/>
      <c r="M628" s="361"/>
      <c r="N628" s="361"/>
      <c r="O628" s="361"/>
      <c r="P628" s="361">
        <f>G628</f>
        <v>489.51</v>
      </c>
      <c r="Q628" s="361"/>
    </row>
    <row r="629" spans="1:17" s="304" customFormat="1" ht="18" customHeight="1">
      <c r="A629" s="300"/>
      <c r="B629" s="1080"/>
      <c r="C629" s="1082"/>
      <c r="D629" s="287"/>
      <c r="E629" s="287"/>
      <c r="F629" s="287"/>
      <c r="G629" s="297"/>
      <c r="H629" s="362"/>
      <c r="I629" s="362"/>
      <c r="J629" s="362"/>
      <c r="K629" s="362"/>
      <c r="L629" s="362"/>
      <c r="M629" s="362"/>
      <c r="N629" s="362"/>
      <c r="O629" s="362"/>
      <c r="P629" s="362"/>
      <c r="Q629" s="362"/>
    </row>
    <row r="630" spans="1:17" s="304" customFormat="1" ht="18" customHeight="1">
      <c r="A630" s="300"/>
      <c r="B630" s="1080"/>
      <c r="C630" s="304" t="s">
        <v>511</v>
      </c>
      <c r="D630" s="287"/>
      <c r="E630" s="287"/>
      <c r="F630" s="287"/>
      <c r="G630" s="297"/>
      <c r="H630" s="362"/>
      <c r="I630" s="362"/>
      <c r="J630" s="362"/>
      <c r="K630" s="362"/>
      <c r="L630" s="362"/>
      <c r="M630" s="362"/>
      <c r="N630" s="362"/>
      <c r="O630" s="362"/>
      <c r="P630" s="362"/>
      <c r="Q630" s="362"/>
    </row>
    <row r="631" spans="1:17" s="304" customFormat="1" ht="18" customHeight="1">
      <c r="A631" s="300" t="s">
        <v>512</v>
      </c>
      <c r="B631" s="1080"/>
      <c r="C631" s="1082" t="s">
        <v>513</v>
      </c>
      <c r="D631" s="304" t="s">
        <v>514</v>
      </c>
      <c r="E631" s="346">
        <v>0.8</v>
      </c>
      <c r="F631" s="287">
        <v>168</v>
      </c>
      <c r="G631" s="297">
        <f t="shared" si="92"/>
        <v>134.4</v>
      </c>
      <c r="H631" s="362"/>
      <c r="I631" s="362"/>
      <c r="J631" s="362"/>
      <c r="K631" s="362"/>
      <c r="L631" s="362"/>
      <c r="M631" s="362"/>
      <c r="N631" s="362"/>
      <c r="O631" s="362"/>
      <c r="P631" s="362">
        <f>G631</f>
        <v>134.4</v>
      </c>
      <c r="Q631" s="362"/>
    </row>
    <row r="632" spans="1:17" s="304" customFormat="1" ht="18" customHeight="1">
      <c r="A632" s="300"/>
      <c r="B632" s="1080"/>
      <c r="C632" s="304" t="s">
        <v>515</v>
      </c>
      <c r="E632" s="347"/>
      <c r="F632" s="287"/>
      <c r="G632" s="297">
        <f t="shared" si="92"/>
        <v>0</v>
      </c>
      <c r="H632" s="366"/>
      <c r="I632" s="366"/>
      <c r="J632" s="366"/>
      <c r="K632" s="366"/>
      <c r="L632" s="366"/>
      <c r="M632" s="366"/>
      <c r="N632" s="366"/>
      <c r="O632" s="366"/>
      <c r="P632" s="366"/>
      <c r="Q632" s="366"/>
    </row>
    <row r="633" spans="1:17" s="304" customFormat="1" ht="18" customHeight="1">
      <c r="A633" s="300"/>
      <c r="B633" s="1080"/>
      <c r="C633" s="299" t="s">
        <v>516</v>
      </c>
      <c r="D633" s="304" t="s">
        <v>186</v>
      </c>
      <c r="E633" s="302">
        <v>0.36</v>
      </c>
      <c r="F633" s="287">
        <f>'lead 1'!M32</f>
        <v>580</v>
      </c>
      <c r="G633" s="297">
        <f t="shared" si="92"/>
        <v>208.8</v>
      </c>
      <c r="H633" s="362"/>
      <c r="I633" s="362"/>
      <c r="J633" s="362"/>
      <c r="K633" s="362"/>
      <c r="L633" s="362"/>
      <c r="M633" s="362"/>
      <c r="N633" s="362"/>
      <c r="O633" s="362"/>
      <c r="P633" s="362">
        <f>G633</f>
        <v>208.8</v>
      </c>
      <c r="Q633" s="362"/>
    </row>
    <row r="634" spans="1:17" s="304" customFormat="1" ht="18" customHeight="1">
      <c r="A634" s="300"/>
      <c r="B634" s="1080"/>
      <c r="C634" s="299" t="s">
        <v>517</v>
      </c>
      <c r="D634" s="304" t="s">
        <v>186</v>
      </c>
      <c r="E634" s="302">
        <v>0.84</v>
      </c>
      <c r="F634" s="287">
        <f>'lead 1'!M30</f>
        <v>460</v>
      </c>
      <c r="G634" s="297">
        <f t="shared" si="92"/>
        <v>386.4</v>
      </c>
      <c r="H634" s="362"/>
      <c r="I634" s="362"/>
      <c r="J634" s="362"/>
      <c r="K634" s="362"/>
      <c r="L634" s="362"/>
      <c r="M634" s="362"/>
      <c r="N634" s="362"/>
      <c r="O634" s="362"/>
      <c r="P634" s="362">
        <f>G634</f>
        <v>386.4</v>
      </c>
      <c r="Q634" s="362"/>
    </row>
    <row r="635" spans="1:17" s="304" customFormat="1" ht="18" customHeight="1">
      <c r="A635" s="300"/>
      <c r="B635" s="1080"/>
      <c r="C635" s="299" t="s">
        <v>518</v>
      </c>
      <c r="D635" s="304" t="s">
        <v>186</v>
      </c>
      <c r="E635" s="302">
        <v>0</v>
      </c>
      <c r="F635" s="287"/>
      <c r="G635" s="297">
        <f t="shared" si="92"/>
        <v>0</v>
      </c>
      <c r="H635" s="362"/>
      <c r="I635" s="362"/>
      <c r="J635" s="362"/>
      <c r="K635" s="362"/>
      <c r="L635" s="362"/>
      <c r="M635" s="362"/>
      <c r="N635" s="362"/>
      <c r="O635" s="362"/>
      <c r="P635" s="362"/>
      <c r="Q635" s="362"/>
    </row>
    <row r="636" spans="1:17" s="292" customFormat="1" ht="18" customHeight="1">
      <c r="B636" s="293"/>
      <c r="C636" s="320" t="s">
        <v>105</v>
      </c>
      <c r="E636" s="306">
        <v>0</v>
      </c>
      <c r="F636" s="287">
        <f>SUM(G633:G635)</f>
        <v>595.20000000000005</v>
      </c>
      <c r="G636" s="297">
        <f>ROUND(F636*E636,2)</f>
        <v>0</v>
      </c>
      <c r="H636" s="366"/>
      <c r="I636" s="366"/>
      <c r="J636" s="366"/>
      <c r="K636" s="366"/>
      <c r="L636" s="366"/>
      <c r="M636" s="366"/>
      <c r="N636" s="366"/>
      <c r="O636" s="366"/>
      <c r="P636" s="366">
        <f>SUM(P628:P635)</f>
        <v>1219.1100000000001</v>
      </c>
      <c r="Q636" s="366"/>
    </row>
    <row r="637" spans="1:17" s="304" customFormat="1" ht="18" customHeight="1">
      <c r="A637" s="300"/>
      <c r="B637" s="1080"/>
      <c r="C637" s="304" t="s">
        <v>519</v>
      </c>
      <c r="E637" s="347"/>
      <c r="F637" s="287"/>
      <c r="G637" s="297"/>
      <c r="H637" s="361"/>
      <c r="I637" s="361"/>
      <c r="J637" s="361"/>
      <c r="K637" s="361"/>
      <c r="L637" s="361"/>
      <c r="M637" s="361"/>
      <c r="N637" s="361"/>
      <c r="O637" s="361"/>
      <c r="P637" s="361"/>
      <c r="Q637" s="361"/>
    </row>
    <row r="638" spans="1:17" s="304" customFormat="1" ht="18" customHeight="1">
      <c r="A638" s="300"/>
      <c r="B638" s="1080"/>
      <c r="C638" s="304" t="s">
        <v>520</v>
      </c>
      <c r="E638" s="347"/>
      <c r="F638" s="287"/>
      <c r="G638" s="297">
        <f t="shared" si="92"/>
        <v>0</v>
      </c>
      <c r="H638" s="361"/>
      <c r="I638" s="361"/>
      <c r="J638" s="361"/>
      <c r="K638" s="361"/>
      <c r="L638" s="361"/>
      <c r="M638" s="361"/>
      <c r="N638" s="361"/>
      <c r="O638" s="361"/>
      <c r="P638" s="361"/>
      <c r="Q638" s="361"/>
    </row>
    <row r="639" spans="1:17" s="304" customFormat="1" ht="18" customHeight="1">
      <c r="A639" s="300"/>
      <c r="B639" s="1080"/>
      <c r="C639" s="1082" t="s">
        <v>154</v>
      </c>
      <c r="D639" s="287"/>
      <c r="E639" s="287"/>
      <c r="F639" s="287"/>
      <c r="G639" s="297">
        <f>SUM(G628:G638)</f>
        <v>1219.1100000000001</v>
      </c>
      <c r="H639" s="362"/>
      <c r="I639" s="362"/>
      <c r="J639" s="362"/>
      <c r="K639" s="362"/>
      <c r="L639" s="362"/>
      <c r="M639" s="362"/>
      <c r="N639" s="362"/>
      <c r="O639" s="362"/>
      <c r="P639" s="362"/>
      <c r="Q639" s="362"/>
    </row>
    <row r="640" spans="1:17" s="304" customFormat="1" ht="18" customHeight="1">
      <c r="A640" s="300"/>
      <c r="B640" s="1080"/>
      <c r="C640" s="1082"/>
      <c r="D640" s="287"/>
      <c r="E640" s="256" t="s">
        <v>409</v>
      </c>
      <c r="F640" s="256" t="s">
        <v>410</v>
      </c>
      <c r="G640" s="256" t="s">
        <v>411</v>
      </c>
      <c r="H640" s="362"/>
      <c r="I640" s="362"/>
      <c r="J640" s="362"/>
      <c r="K640" s="362"/>
      <c r="L640" s="362"/>
      <c r="M640" s="362"/>
      <c r="N640" s="362"/>
      <c r="O640" s="362"/>
      <c r="P640" s="362"/>
      <c r="Q640" s="362"/>
    </row>
    <row r="641" spans="1:17" s="304" customFormat="1" ht="18" customHeight="1">
      <c r="A641" s="300"/>
      <c r="B641" s="1080"/>
      <c r="C641" s="1082" t="s">
        <v>412</v>
      </c>
      <c r="D641" s="287"/>
      <c r="E641" s="309">
        <f>G639</f>
        <v>1219.1100000000001</v>
      </c>
      <c r="F641" s="309">
        <f>E641</f>
        <v>1219.1100000000001</v>
      </c>
      <c r="G641" s="309">
        <f>F641</f>
        <v>1219.1100000000001</v>
      </c>
      <c r="H641" s="362"/>
      <c r="I641" s="362"/>
      <c r="J641" s="362"/>
      <c r="K641" s="362"/>
      <c r="L641" s="362"/>
      <c r="M641" s="362"/>
      <c r="N641" s="362"/>
      <c r="O641" s="362"/>
      <c r="P641" s="362"/>
      <c r="Q641" s="362"/>
    </row>
    <row r="642" spans="1:17" s="304" customFormat="1" ht="18" customHeight="1">
      <c r="A642" s="300"/>
      <c r="B642" s="1080"/>
      <c r="C642" s="1082" t="s">
        <v>895</v>
      </c>
      <c r="D642" s="287" t="s">
        <v>474</v>
      </c>
      <c r="E642" s="297">
        <f>ROUND(D642*2.46,2)</f>
        <v>24.6</v>
      </c>
      <c r="F642" s="297">
        <f>E642</f>
        <v>24.6</v>
      </c>
      <c r="G642" s="297">
        <f>E642</f>
        <v>24.6</v>
      </c>
      <c r="H642" s="361"/>
      <c r="I642" s="361"/>
      <c r="J642" s="361"/>
      <c r="K642" s="361"/>
      <c r="L642" s="361"/>
      <c r="M642" s="361"/>
      <c r="N642" s="361"/>
      <c r="O642" s="361"/>
      <c r="P642" s="361">
        <f>E642</f>
        <v>24.6</v>
      </c>
      <c r="Q642" s="361"/>
    </row>
    <row r="643" spans="1:17" s="304" customFormat="1" ht="24" customHeight="1">
      <c r="A643" s="300"/>
      <c r="B643" s="1080"/>
      <c r="C643" s="1082" t="s">
        <v>896</v>
      </c>
      <c r="D643" s="287" t="s">
        <v>474</v>
      </c>
      <c r="E643" s="297">
        <f>ROUND(D643*15.91,2)</f>
        <v>159.1</v>
      </c>
      <c r="F643" s="297">
        <f>ROUND(D643*22.57,2)</f>
        <v>225.7</v>
      </c>
      <c r="G643" s="297">
        <f>ROUND(D643*29.23,2)</f>
        <v>292.3</v>
      </c>
      <c r="H643" s="362"/>
      <c r="I643" s="362"/>
      <c r="J643" s="362"/>
      <c r="K643" s="362"/>
      <c r="L643" s="362"/>
      <c r="M643" s="362"/>
      <c r="N643" s="362"/>
      <c r="O643" s="362"/>
      <c r="P643" s="361">
        <f>E643</f>
        <v>159.1</v>
      </c>
      <c r="Q643" s="362"/>
    </row>
    <row r="644" spans="1:17" s="304" customFormat="1" ht="18" hidden="1" customHeight="1">
      <c r="A644" s="300"/>
      <c r="B644" s="1080"/>
      <c r="C644" s="1082" t="s">
        <v>479</v>
      </c>
      <c r="D644" s="287">
        <v>10</v>
      </c>
      <c r="E644" s="287">
        <v>0</v>
      </c>
      <c r="F644" s="287">
        <v>0</v>
      </c>
      <c r="G644" s="287">
        <v>0</v>
      </c>
      <c r="H644" s="362"/>
      <c r="I644" s="362"/>
      <c r="J644" s="362"/>
      <c r="K644" s="362"/>
      <c r="L644" s="362"/>
      <c r="M644" s="362"/>
      <c r="N644" s="362"/>
      <c r="O644" s="362"/>
      <c r="P644" s="361">
        <f>E644</f>
        <v>0</v>
      </c>
      <c r="Q644" s="362"/>
    </row>
    <row r="645" spans="1:17" s="304" customFormat="1" ht="24" hidden="1" customHeight="1">
      <c r="A645" s="300"/>
      <c r="B645" s="1080"/>
      <c r="C645" s="1082" t="s">
        <v>521</v>
      </c>
      <c r="D645" s="310" t="s">
        <v>522</v>
      </c>
      <c r="E645" s="309"/>
      <c r="F645" s="309"/>
      <c r="G645" s="297">
        <v>0</v>
      </c>
      <c r="H645" s="362"/>
      <c r="I645" s="362"/>
      <c r="J645" s="362"/>
      <c r="K645" s="362"/>
      <c r="L645" s="362"/>
      <c r="M645" s="362"/>
      <c r="N645" s="362"/>
      <c r="O645" s="362"/>
      <c r="P645" s="361">
        <f>E645</f>
        <v>0</v>
      </c>
      <c r="Q645" s="362"/>
    </row>
    <row r="646" spans="1:17" s="304" customFormat="1" ht="18" customHeight="1">
      <c r="A646" s="300"/>
      <c r="B646" s="1080"/>
      <c r="C646" s="1082"/>
      <c r="D646" s="310"/>
      <c r="E646" s="311">
        <f>SUM(E641:E645)</f>
        <v>1402.81</v>
      </c>
      <c r="F646" s="311">
        <f>SUM(F641:F645)</f>
        <v>1469.41</v>
      </c>
      <c r="G646" s="311">
        <f>SUM(G641:G645)</f>
        <v>1536.01</v>
      </c>
      <c r="H646" s="361"/>
      <c r="I646" s="361"/>
      <c r="J646" s="361"/>
      <c r="K646" s="361"/>
      <c r="L646" s="361"/>
      <c r="M646" s="361"/>
      <c r="N646" s="361"/>
      <c r="O646" s="361"/>
      <c r="P646" s="361">
        <f>E646</f>
        <v>1402.81</v>
      </c>
      <c r="Q646" s="361"/>
    </row>
    <row r="647" spans="1:17" s="304" customFormat="1" ht="18" customHeight="1">
      <c r="A647" s="300"/>
      <c r="B647" s="1080"/>
      <c r="C647" s="1082" t="s">
        <v>691</v>
      </c>
      <c r="D647" s="309">
        <f>ROUND(D646*D2,2)</f>
        <v>0</v>
      </c>
      <c r="E647" s="309">
        <f>ROUND(E646*D2,2)</f>
        <v>0</v>
      </c>
      <c r="F647" s="309">
        <f>ROUND(F646*D2,2)</f>
        <v>0</v>
      </c>
      <c r="G647" s="309">
        <f>ROUND(G646*D2,2)</f>
        <v>0</v>
      </c>
      <c r="H647" s="361"/>
      <c r="I647" s="361"/>
      <c r="J647" s="361"/>
      <c r="K647" s="361"/>
      <c r="L647" s="361"/>
      <c r="M647" s="361"/>
      <c r="N647" s="361"/>
      <c r="O647" s="361"/>
      <c r="P647" s="361"/>
      <c r="Q647" s="361"/>
    </row>
    <row r="648" spans="1:17" s="293" customFormat="1" ht="18" customHeight="1">
      <c r="C648" s="1084" t="s">
        <v>473</v>
      </c>
      <c r="D648" s="256"/>
      <c r="E648" s="256">
        <f>SUM(E646:E647)</f>
        <v>1402.81</v>
      </c>
      <c r="F648" s="256">
        <f>SUM(F646:F647)</f>
        <v>1469.41</v>
      </c>
      <c r="G648" s="256">
        <f>SUM(G646:G647)</f>
        <v>1536.01</v>
      </c>
      <c r="H648" s="362"/>
      <c r="I648" s="362"/>
      <c r="J648" s="362"/>
      <c r="K648" s="362"/>
      <c r="L648" s="362"/>
      <c r="M648" s="362"/>
      <c r="N648" s="362"/>
      <c r="O648" s="362"/>
      <c r="P648" s="362"/>
      <c r="Q648" s="362"/>
    </row>
    <row r="649" spans="1:17" s="293" customFormat="1" ht="18" customHeight="1">
      <c r="C649" s="1084" t="s">
        <v>476</v>
      </c>
      <c r="D649" s="256"/>
      <c r="E649" s="298">
        <f>ROUND(E648/10,2)</f>
        <v>140.28</v>
      </c>
      <c r="F649" s="298">
        <f>ROUND(F648/10,2)</f>
        <v>146.94</v>
      </c>
      <c r="G649" s="298">
        <f>ROUND(G648/10,2)</f>
        <v>153.6</v>
      </c>
      <c r="H649" s="364"/>
      <c r="I649" s="364"/>
      <c r="J649" s="364"/>
      <c r="K649" s="364"/>
      <c r="L649" s="364"/>
      <c r="M649" s="364"/>
      <c r="N649" s="364"/>
      <c r="O649" s="364"/>
      <c r="P649" s="364"/>
      <c r="Q649" s="364"/>
    </row>
    <row r="650" spans="1:17" s="292" customFormat="1" ht="21" hidden="1" customHeight="1">
      <c r="A650" s="1080" t="s">
        <v>523</v>
      </c>
      <c r="B650" s="293">
        <f>B626+1</f>
        <v>23</v>
      </c>
      <c r="C650" s="1309" t="s">
        <v>524</v>
      </c>
      <c r="D650" s="1309"/>
      <c r="E650" s="1309"/>
      <c r="F650" s="1309"/>
      <c r="G650" s="1309"/>
      <c r="H650" s="373"/>
      <c r="I650" s="373"/>
      <c r="J650" s="373"/>
      <c r="K650" s="373"/>
      <c r="L650" s="373"/>
      <c r="M650" s="373"/>
      <c r="N650" s="373"/>
      <c r="O650" s="373"/>
      <c r="P650" s="373"/>
      <c r="Q650" s="373"/>
    </row>
    <row r="651" spans="1:17" s="304" customFormat="1" ht="18" hidden="1" customHeight="1">
      <c r="A651" s="300"/>
      <c r="B651" s="1080"/>
      <c r="C651" s="1082" t="s">
        <v>12</v>
      </c>
      <c r="D651" s="287"/>
      <c r="E651" s="287"/>
      <c r="F651" s="287"/>
      <c r="G651" s="297"/>
      <c r="H651" s="361"/>
      <c r="I651" s="361"/>
      <c r="J651" s="361"/>
      <c r="K651" s="361"/>
      <c r="L651" s="361"/>
      <c r="M651" s="361"/>
      <c r="N651" s="361"/>
      <c r="O651" s="361"/>
      <c r="P651" s="361"/>
      <c r="Q651" s="361"/>
    </row>
    <row r="652" spans="1:17" s="304" customFormat="1" ht="18" hidden="1" customHeight="1">
      <c r="A652" s="300"/>
      <c r="B652" s="1080"/>
      <c r="C652" s="1082" t="s">
        <v>13</v>
      </c>
      <c r="D652" s="287"/>
      <c r="E652" s="287"/>
      <c r="F652" s="287"/>
      <c r="G652" s="297"/>
      <c r="H652" s="362"/>
      <c r="I652" s="362"/>
      <c r="J652" s="362"/>
      <c r="K652" s="362"/>
      <c r="L652" s="362"/>
      <c r="M652" s="362"/>
      <c r="N652" s="362"/>
      <c r="O652" s="362"/>
      <c r="P652" s="362"/>
      <c r="Q652" s="362"/>
    </row>
    <row r="653" spans="1:17" s="304" customFormat="1" ht="18" hidden="1" customHeight="1">
      <c r="A653" s="300" t="s">
        <v>525</v>
      </c>
      <c r="B653" s="1080"/>
      <c r="C653" s="1082" t="s">
        <v>526</v>
      </c>
      <c r="D653" s="287" t="s">
        <v>116</v>
      </c>
      <c r="E653" s="287">
        <v>1</v>
      </c>
      <c r="F653" s="287">
        <v>141</v>
      </c>
      <c r="G653" s="297">
        <f>ROUND(E653*F653,2)</f>
        <v>141</v>
      </c>
      <c r="H653" s="362"/>
      <c r="I653" s="362"/>
      <c r="J653" s="362"/>
      <c r="K653" s="362"/>
      <c r="L653" s="362"/>
      <c r="M653" s="362"/>
      <c r="N653" s="362"/>
      <c r="O653" s="362"/>
      <c r="P653" s="362"/>
      <c r="Q653" s="362"/>
    </row>
    <row r="654" spans="1:17" s="304" customFormat="1" ht="18" hidden="1" customHeight="1">
      <c r="A654" s="300"/>
      <c r="B654" s="1080"/>
      <c r="C654" s="1082" t="s">
        <v>3</v>
      </c>
      <c r="D654" s="287"/>
      <c r="E654" s="287"/>
      <c r="F654" s="287"/>
      <c r="G654" s="297"/>
      <c r="H654" s="362"/>
      <c r="I654" s="362"/>
      <c r="J654" s="362"/>
      <c r="K654" s="362"/>
      <c r="L654" s="362"/>
      <c r="M654" s="362"/>
      <c r="N654" s="362"/>
      <c r="O654" s="362"/>
      <c r="P654" s="362"/>
      <c r="Q654" s="362"/>
    </row>
    <row r="655" spans="1:17" s="304" customFormat="1" ht="18" hidden="1" customHeight="1">
      <c r="A655" s="300"/>
      <c r="B655" s="1080"/>
      <c r="C655" s="1082" t="s">
        <v>571</v>
      </c>
      <c r="D655" s="287" t="s">
        <v>186</v>
      </c>
      <c r="E655" s="287">
        <v>0.21</v>
      </c>
      <c r="F655" s="287">
        <f>'lead 1'!M32</f>
        <v>580</v>
      </c>
      <c r="G655" s="297">
        <f>ROUND(E655*F655,2)</f>
        <v>121.8</v>
      </c>
      <c r="H655" s="362"/>
      <c r="I655" s="362"/>
      <c r="J655" s="362"/>
      <c r="K655" s="362"/>
      <c r="L655" s="362"/>
      <c r="M655" s="362"/>
      <c r="N655" s="362"/>
      <c r="O655" s="362"/>
      <c r="P655" s="362"/>
      <c r="Q655" s="362"/>
    </row>
    <row r="656" spans="1:17" s="304" customFormat="1" ht="18" hidden="1" customHeight="1">
      <c r="A656" s="300"/>
      <c r="B656" s="1080"/>
      <c r="C656" s="1082" t="s">
        <v>1161</v>
      </c>
      <c r="D656" s="287" t="s">
        <v>186</v>
      </c>
      <c r="E656" s="287">
        <v>0.49</v>
      </c>
      <c r="F656" s="287">
        <v>460</v>
      </c>
      <c r="G656" s="297">
        <f>ROUND(E656*F656,2)</f>
        <v>225.4</v>
      </c>
      <c r="H656" s="362"/>
      <c r="I656" s="362"/>
      <c r="J656" s="362"/>
      <c r="K656" s="362"/>
      <c r="L656" s="362"/>
      <c r="M656" s="362"/>
      <c r="N656" s="362"/>
      <c r="O656" s="362"/>
      <c r="P656" s="362"/>
      <c r="Q656" s="362"/>
    </row>
    <row r="657" spans="1:17" s="292" customFormat="1" ht="18" hidden="1" customHeight="1">
      <c r="B657" s="293"/>
      <c r="C657" s="320" t="s">
        <v>105</v>
      </c>
      <c r="E657" s="306">
        <v>0</v>
      </c>
      <c r="F657" s="287">
        <f>SUM(G655)</f>
        <v>121.8</v>
      </c>
      <c r="G657" s="297">
        <f>ROUND(F657*E657,2)</f>
        <v>0</v>
      </c>
      <c r="H657" s="362"/>
      <c r="I657" s="362"/>
      <c r="J657" s="362"/>
      <c r="K657" s="362"/>
      <c r="L657" s="362"/>
      <c r="M657" s="362"/>
      <c r="N657" s="362"/>
      <c r="O657" s="362"/>
      <c r="P657" s="362"/>
      <c r="Q657" s="362"/>
    </row>
    <row r="658" spans="1:17" s="304" customFormat="1" ht="18" hidden="1" customHeight="1">
      <c r="A658" s="300"/>
      <c r="B658" s="1080"/>
      <c r="C658" s="1082" t="s">
        <v>527</v>
      </c>
      <c r="D658" s="287"/>
      <c r="E658" s="307">
        <v>5.0000000000000001E-3</v>
      </c>
      <c r="F658" s="287">
        <f>SUM(G653:G655)</f>
        <v>262.8</v>
      </c>
      <c r="G658" s="297">
        <f>ROUND(E658*F658,2)</f>
        <v>1.31</v>
      </c>
      <c r="H658" s="361"/>
      <c r="I658" s="361"/>
      <c r="J658" s="361"/>
      <c r="K658" s="361"/>
      <c r="L658" s="361"/>
      <c r="M658" s="361"/>
      <c r="N658" s="361"/>
      <c r="O658" s="361"/>
      <c r="P658" s="361"/>
      <c r="Q658" s="361"/>
    </row>
    <row r="659" spans="1:17" s="304" customFormat="1" ht="18" hidden="1" customHeight="1">
      <c r="A659" s="300"/>
      <c r="B659" s="1080"/>
      <c r="C659" s="1082" t="s">
        <v>528</v>
      </c>
      <c r="D659" s="287"/>
      <c r="E659" s="287"/>
      <c r="F659" s="287"/>
      <c r="G659" s="297">
        <f>SUM(G653:G658)</f>
        <v>489.51000000000005</v>
      </c>
      <c r="H659" s="362"/>
      <c r="I659" s="362"/>
      <c r="J659" s="362"/>
      <c r="K659" s="362"/>
      <c r="L659" s="362"/>
      <c r="M659" s="362"/>
      <c r="N659" s="362"/>
      <c r="O659" s="362"/>
      <c r="P659" s="362"/>
      <c r="Q659" s="362"/>
    </row>
    <row r="660" spans="1:17" s="293" customFormat="1" ht="18" hidden="1" customHeight="1">
      <c r="C660" s="1084" t="s">
        <v>473</v>
      </c>
      <c r="D660" s="256"/>
      <c r="E660" s="256"/>
      <c r="F660" s="256"/>
      <c r="G660" s="298">
        <f>ROUND(SUM(G659:G659),2)</f>
        <v>489.51</v>
      </c>
      <c r="H660" s="362"/>
      <c r="I660" s="362"/>
      <c r="J660" s="362"/>
      <c r="K660" s="362"/>
      <c r="L660" s="362"/>
      <c r="M660" s="362"/>
      <c r="N660" s="362"/>
      <c r="O660" s="362"/>
      <c r="P660" s="362"/>
      <c r="Q660" s="362"/>
    </row>
    <row r="661" spans="1:17" s="293" customFormat="1" ht="18" hidden="1" customHeight="1">
      <c r="C661" s="1084"/>
      <c r="D661" s="256"/>
      <c r="E661" s="256"/>
      <c r="F661" s="256"/>
      <c r="G661" s="298"/>
      <c r="H661" s="362"/>
      <c r="I661" s="362"/>
      <c r="J661" s="362"/>
      <c r="K661" s="362"/>
      <c r="L661" s="362"/>
      <c r="M661" s="362"/>
      <c r="N661" s="362"/>
      <c r="O661" s="362"/>
      <c r="P661" s="362"/>
      <c r="Q661" s="362"/>
    </row>
    <row r="662" spans="1:17" s="293" customFormat="1" ht="24" hidden="1" customHeight="1">
      <c r="C662" s="1400" t="s">
        <v>529</v>
      </c>
      <c r="D662" s="1400"/>
      <c r="E662" s="1400"/>
      <c r="F662" s="1400"/>
      <c r="G662" s="1400"/>
      <c r="H662" s="361"/>
      <c r="I662" s="361"/>
      <c r="J662" s="361"/>
      <c r="K662" s="361"/>
      <c r="L662" s="361"/>
      <c r="M662" s="361"/>
      <c r="N662" s="361"/>
      <c r="O662" s="361"/>
      <c r="P662" s="361"/>
      <c r="Q662" s="361"/>
    </row>
    <row r="663" spans="1:17" s="292" customFormat="1" ht="60" customHeight="1">
      <c r="B663" s="293">
        <v>23</v>
      </c>
      <c r="C663" s="1309" t="s">
        <v>530</v>
      </c>
      <c r="D663" s="1309"/>
      <c r="E663" s="1309"/>
      <c r="F663" s="1309"/>
      <c r="G663" s="1309"/>
      <c r="H663" s="361"/>
      <c r="I663" s="361"/>
      <c r="J663" s="361"/>
      <c r="K663" s="361"/>
      <c r="L663" s="361"/>
      <c r="M663" s="361"/>
      <c r="N663" s="361"/>
      <c r="O663" s="361"/>
      <c r="P663" s="361"/>
      <c r="Q663" s="361"/>
    </row>
    <row r="664" spans="1:17" s="304" customFormat="1" ht="36" customHeight="1">
      <c r="A664" s="300"/>
      <c r="B664" s="1080"/>
      <c r="C664" s="1082" t="s">
        <v>509</v>
      </c>
      <c r="D664" s="287" t="s">
        <v>510</v>
      </c>
      <c r="E664" s="287">
        <v>1</v>
      </c>
      <c r="F664" s="287">
        <f>G660</f>
        <v>489.51</v>
      </c>
      <c r="G664" s="297">
        <f>ROUND(E664*F664,2)</f>
        <v>489.51</v>
      </c>
      <c r="H664" s="362"/>
      <c r="I664" s="362"/>
      <c r="J664" s="362"/>
      <c r="K664" s="362"/>
      <c r="L664" s="362"/>
      <c r="M664" s="362"/>
      <c r="N664" s="362"/>
      <c r="O664" s="362"/>
      <c r="P664" s="362"/>
      <c r="Q664" s="362"/>
    </row>
    <row r="665" spans="1:17" s="304" customFormat="1" ht="18" customHeight="1">
      <c r="A665" s="300"/>
      <c r="B665" s="1080"/>
      <c r="C665" s="304" t="s">
        <v>511</v>
      </c>
      <c r="D665" s="287"/>
      <c r="E665" s="287"/>
      <c r="F665" s="287"/>
      <c r="G665" s="297"/>
      <c r="H665" s="362"/>
      <c r="I665" s="362"/>
      <c r="J665" s="362"/>
      <c r="K665" s="362"/>
      <c r="L665" s="362"/>
      <c r="M665" s="362"/>
      <c r="N665" s="362"/>
      <c r="O665" s="362"/>
      <c r="P665" s="362"/>
      <c r="Q665" s="362"/>
    </row>
    <row r="666" spans="1:17" s="304" customFormat="1" ht="18" customHeight="1">
      <c r="A666" s="300" t="s">
        <v>512</v>
      </c>
      <c r="B666" s="1080"/>
      <c r="C666" s="299" t="s">
        <v>513</v>
      </c>
      <c r="D666" s="304" t="s">
        <v>514</v>
      </c>
      <c r="E666" s="346">
        <v>0.8</v>
      </c>
      <c r="F666" s="287">
        <v>194</v>
      </c>
      <c r="G666" s="297">
        <f>ROUND(E666*F666,2)</f>
        <v>155.19999999999999</v>
      </c>
      <c r="H666" s="364"/>
      <c r="I666" s="364"/>
      <c r="J666" s="364"/>
      <c r="K666" s="364"/>
      <c r="L666" s="364"/>
      <c r="M666" s="364"/>
      <c r="N666" s="364"/>
      <c r="O666" s="364"/>
      <c r="P666" s="364"/>
      <c r="Q666" s="364"/>
    </row>
    <row r="667" spans="1:17" s="304" customFormat="1" ht="18" customHeight="1">
      <c r="A667" s="300"/>
      <c r="B667" s="1080"/>
      <c r="C667" s="304" t="s">
        <v>515</v>
      </c>
      <c r="E667" s="347"/>
      <c r="F667" s="287"/>
      <c r="G667" s="297">
        <f>ROUND(E667*F667,2)</f>
        <v>0</v>
      </c>
      <c r="H667" s="373"/>
      <c r="I667" s="373"/>
      <c r="J667" s="373"/>
      <c r="K667" s="373"/>
      <c r="L667" s="373"/>
      <c r="M667" s="373"/>
      <c r="N667" s="373"/>
      <c r="O667" s="373"/>
      <c r="P667" s="373"/>
      <c r="Q667" s="373"/>
    </row>
    <row r="668" spans="1:17" s="304" customFormat="1" ht="18" customHeight="1">
      <c r="A668" s="300"/>
      <c r="B668" s="1080"/>
      <c r="C668" s="299" t="s">
        <v>516</v>
      </c>
      <c r="D668" s="304" t="s">
        <v>186</v>
      </c>
      <c r="E668" s="302">
        <v>0.21</v>
      </c>
      <c r="F668" s="287">
        <f>'lead 1'!M32</f>
        <v>580</v>
      </c>
      <c r="G668" s="297">
        <f>ROUND(E668*F668,2)</f>
        <v>121.8</v>
      </c>
      <c r="H668" s="361"/>
      <c r="I668" s="361"/>
      <c r="J668" s="361"/>
      <c r="K668" s="361"/>
      <c r="L668" s="361"/>
      <c r="M668" s="361"/>
      <c r="N668" s="361"/>
      <c r="O668" s="361"/>
      <c r="P668" s="361"/>
      <c r="Q668" s="361"/>
    </row>
    <row r="669" spans="1:17" s="304" customFormat="1" ht="18" customHeight="1">
      <c r="A669" s="300"/>
      <c r="B669" s="1080"/>
      <c r="C669" s="299" t="s">
        <v>517</v>
      </c>
      <c r="D669" s="304" t="s">
        <v>186</v>
      </c>
      <c r="E669" s="302">
        <v>0.49</v>
      </c>
      <c r="F669" s="287">
        <f>'lead 1'!M30</f>
        <v>460</v>
      </c>
      <c r="G669" s="297">
        <f>ROUND(E669*F669,2)</f>
        <v>225.4</v>
      </c>
      <c r="H669" s="362"/>
      <c r="I669" s="362"/>
      <c r="J669" s="362"/>
      <c r="K669" s="362"/>
      <c r="L669" s="362"/>
      <c r="M669" s="362"/>
      <c r="N669" s="362"/>
      <c r="O669" s="362"/>
      <c r="P669" s="362"/>
      <c r="Q669" s="362"/>
    </row>
    <row r="670" spans="1:17" s="304" customFormat="1" ht="18" customHeight="1">
      <c r="A670" s="300"/>
      <c r="B670" s="1080"/>
      <c r="C670" s="299" t="s">
        <v>518</v>
      </c>
      <c r="D670" s="304" t="s">
        <v>186</v>
      </c>
      <c r="E670" s="302">
        <v>1.5</v>
      </c>
      <c r="F670" s="287">
        <f>'lead 1'!M28</f>
        <v>420</v>
      </c>
      <c r="G670" s="297">
        <f>ROUND(E670*F670,2)</f>
        <v>630</v>
      </c>
      <c r="H670" s="362"/>
      <c r="I670" s="362"/>
      <c r="J670" s="362"/>
      <c r="K670" s="362"/>
      <c r="L670" s="362"/>
      <c r="M670" s="362"/>
      <c r="N670" s="362"/>
      <c r="O670" s="362"/>
      <c r="P670" s="362"/>
      <c r="Q670" s="362"/>
    </row>
    <row r="671" spans="1:17" s="292" customFormat="1" ht="18" customHeight="1">
      <c r="B671" s="293"/>
      <c r="C671" s="305" t="s">
        <v>105</v>
      </c>
      <c r="E671" s="306">
        <v>0</v>
      </c>
      <c r="F671" s="287">
        <f>SUM(G668:G670)</f>
        <v>977.2</v>
      </c>
      <c r="G671" s="297">
        <f>ROUND(F671*E671,2)</f>
        <v>0</v>
      </c>
      <c r="H671" s="362"/>
      <c r="I671" s="362"/>
      <c r="J671" s="362"/>
      <c r="K671" s="362"/>
      <c r="L671" s="362"/>
      <c r="M671" s="362"/>
      <c r="N671" s="362"/>
      <c r="O671" s="362"/>
      <c r="P671" s="362"/>
      <c r="Q671" s="362"/>
    </row>
    <row r="672" spans="1:17" s="304" customFormat="1" ht="18" customHeight="1">
      <c r="A672" s="300"/>
      <c r="B672" s="1080"/>
      <c r="C672" s="304" t="s">
        <v>519</v>
      </c>
      <c r="E672" s="347"/>
      <c r="F672" s="287"/>
      <c r="G672" s="297"/>
      <c r="H672" s="362"/>
      <c r="I672" s="362"/>
      <c r="J672" s="362"/>
      <c r="K672" s="362"/>
      <c r="L672" s="362"/>
      <c r="M672" s="362"/>
      <c r="N672" s="362"/>
      <c r="O672" s="362"/>
      <c r="P672" s="362"/>
      <c r="Q672" s="362"/>
    </row>
    <row r="673" spans="1:17" s="304" customFormat="1" ht="18" customHeight="1">
      <c r="A673" s="300"/>
      <c r="B673" s="1080"/>
      <c r="C673" s="304" t="s">
        <v>520</v>
      </c>
      <c r="E673" s="347"/>
      <c r="F673" s="287"/>
      <c r="G673" s="297">
        <f>ROUND(E673*F673,2)</f>
        <v>0</v>
      </c>
      <c r="H673" s="362"/>
      <c r="I673" s="362"/>
      <c r="J673" s="362"/>
      <c r="K673" s="362"/>
      <c r="L673" s="362"/>
      <c r="M673" s="362"/>
      <c r="N673" s="362"/>
      <c r="O673" s="362"/>
      <c r="P673" s="362"/>
      <c r="Q673" s="362"/>
    </row>
    <row r="674" spans="1:17" s="304" customFormat="1" ht="18" customHeight="1">
      <c r="A674" s="300"/>
      <c r="B674" s="1080"/>
      <c r="C674" s="1082" t="s">
        <v>154</v>
      </c>
      <c r="D674" s="287"/>
      <c r="E674" s="287"/>
      <c r="F674" s="287"/>
      <c r="G674" s="297">
        <f>SUM(G664:G673)</f>
        <v>1621.9099999999999</v>
      </c>
      <c r="H674" s="361"/>
      <c r="I674" s="361"/>
      <c r="J674" s="361"/>
      <c r="K674" s="361"/>
      <c r="L674" s="361"/>
      <c r="M674" s="361"/>
      <c r="N674" s="361"/>
      <c r="O674" s="361"/>
      <c r="P674" s="361"/>
      <c r="Q674" s="361"/>
    </row>
    <row r="675" spans="1:17" s="304" customFormat="1" ht="18" customHeight="1">
      <c r="A675" s="300"/>
      <c r="B675" s="1080"/>
      <c r="C675" s="1082"/>
      <c r="D675" s="287"/>
      <c r="E675" s="256" t="s">
        <v>409</v>
      </c>
      <c r="F675" s="256" t="s">
        <v>410</v>
      </c>
      <c r="G675" s="256" t="s">
        <v>411</v>
      </c>
      <c r="H675" s="362"/>
      <c r="I675" s="362"/>
      <c r="J675" s="362"/>
      <c r="K675" s="362"/>
      <c r="L675" s="362"/>
      <c r="M675" s="362"/>
      <c r="N675" s="362"/>
      <c r="O675" s="362"/>
      <c r="P675" s="362"/>
      <c r="Q675" s="362"/>
    </row>
    <row r="676" spans="1:17" s="304" customFormat="1" ht="18" customHeight="1">
      <c r="A676" s="300"/>
      <c r="B676" s="1080"/>
      <c r="C676" s="1082" t="s">
        <v>412</v>
      </c>
      <c r="D676" s="287"/>
      <c r="E676" s="309">
        <f>G674</f>
        <v>1621.9099999999999</v>
      </c>
      <c r="F676" s="309">
        <f>E676</f>
        <v>1621.9099999999999</v>
      </c>
      <c r="G676" s="309">
        <f>F676</f>
        <v>1621.9099999999999</v>
      </c>
      <c r="H676" s="362"/>
      <c r="I676" s="362"/>
      <c r="J676" s="362"/>
      <c r="K676" s="362"/>
      <c r="L676" s="362"/>
      <c r="M676" s="362"/>
      <c r="N676" s="362"/>
      <c r="O676" s="362"/>
      <c r="P676" s="362"/>
      <c r="Q676" s="362"/>
    </row>
    <row r="677" spans="1:17" s="304" customFormat="1" ht="18" customHeight="1">
      <c r="A677" s="300"/>
      <c r="B677" s="1080"/>
      <c r="C677" s="1082" t="s">
        <v>895</v>
      </c>
      <c r="D677" s="287" t="s">
        <v>474</v>
      </c>
      <c r="E677" s="287">
        <f>ROUND(D677*2.46,2)</f>
        <v>24.6</v>
      </c>
      <c r="F677" s="287">
        <f>E677</f>
        <v>24.6</v>
      </c>
      <c r="G677" s="287">
        <f>E677</f>
        <v>24.6</v>
      </c>
      <c r="H677" s="362"/>
      <c r="I677" s="362"/>
      <c r="J677" s="362"/>
      <c r="K677" s="362"/>
      <c r="L677" s="362"/>
      <c r="M677" s="362"/>
      <c r="N677" s="362"/>
      <c r="O677" s="362"/>
      <c r="P677" s="362"/>
      <c r="Q677" s="362"/>
    </row>
    <row r="678" spans="1:17" s="304" customFormat="1" ht="24" customHeight="1">
      <c r="A678" s="300"/>
      <c r="B678" s="1080"/>
      <c r="C678" s="1082" t="s">
        <v>896</v>
      </c>
      <c r="D678" s="287" t="s">
        <v>474</v>
      </c>
      <c r="E678" s="287">
        <f>ROUND(D678*15.59,2)</f>
        <v>155.9</v>
      </c>
      <c r="F678" s="287">
        <f>ROUND(D678*22.57,2)</f>
        <v>225.7</v>
      </c>
      <c r="G678" s="287">
        <f>ROUND(D678*29.23,2)</f>
        <v>292.3</v>
      </c>
      <c r="H678" s="361"/>
      <c r="I678" s="361"/>
      <c r="J678" s="361"/>
      <c r="K678" s="361"/>
      <c r="L678" s="361"/>
      <c r="M678" s="361"/>
      <c r="N678" s="361"/>
      <c r="O678" s="361"/>
      <c r="P678" s="361"/>
      <c r="Q678" s="361"/>
    </row>
    <row r="679" spans="1:17" s="304" customFormat="1" ht="18" customHeight="1">
      <c r="A679" s="300"/>
      <c r="B679" s="1080"/>
      <c r="C679" s="1082" t="s">
        <v>479</v>
      </c>
      <c r="D679" s="287">
        <v>10</v>
      </c>
      <c r="E679" s="287">
        <v>0</v>
      </c>
      <c r="F679" s="309">
        <f>((SUM(F671)+E678)*D679/100)</f>
        <v>113.31000000000002</v>
      </c>
      <c r="G679" s="309">
        <f>F679*2</f>
        <v>226.62000000000003</v>
      </c>
      <c r="H679" s="361"/>
      <c r="I679" s="361"/>
      <c r="J679" s="361"/>
      <c r="K679" s="361"/>
      <c r="L679" s="361"/>
      <c r="M679" s="361"/>
      <c r="N679" s="361"/>
      <c r="O679" s="361"/>
      <c r="P679" s="361"/>
      <c r="Q679" s="361"/>
    </row>
    <row r="680" spans="1:17" s="304" customFormat="1" ht="18" customHeight="1">
      <c r="A680" s="300"/>
      <c r="B680" s="1080"/>
      <c r="C680" s="1082"/>
      <c r="D680" s="310"/>
      <c r="E680" s="311">
        <f>SUM(E676:E679)</f>
        <v>1802.4099999999999</v>
      </c>
      <c r="F680" s="311">
        <f>SUM(F676:F678)</f>
        <v>1872.2099999999998</v>
      </c>
      <c r="G680" s="311">
        <f>SUM(G676:G678)</f>
        <v>1938.8099999999997</v>
      </c>
      <c r="H680" s="362"/>
      <c r="I680" s="362"/>
      <c r="J680" s="362"/>
      <c r="K680" s="362"/>
      <c r="L680" s="362"/>
      <c r="M680" s="362"/>
      <c r="N680" s="362"/>
      <c r="O680" s="362"/>
      <c r="P680" s="362"/>
      <c r="Q680" s="362"/>
    </row>
    <row r="681" spans="1:17" s="304" customFormat="1" ht="18" customHeight="1">
      <c r="A681" s="300"/>
      <c r="B681" s="1080"/>
      <c r="C681" s="1082" t="s">
        <v>691</v>
      </c>
      <c r="D681" s="309">
        <f>ROUND(D680*14%,2)</f>
        <v>0</v>
      </c>
      <c r="E681" s="309">
        <f>ROUND(E680*D2,2)</f>
        <v>0</v>
      </c>
      <c r="F681" s="309">
        <f>ROUND(F680*D2,2)</f>
        <v>0</v>
      </c>
      <c r="G681" s="309">
        <f>ROUND(G680*D2,2)</f>
        <v>0</v>
      </c>
      <c r="H681" s="362"/>
      <c r="I681" s="362"/>
      <c r="J681" s="362"/>
      <c r="K681" s="362"/>
      <c r="L681" s="362"/>
      <c r="M681" s="362"/>
      <c r="N681" s="362"/>
      <c r="O681" s="362"/>
      <c r="P681" s="362"/>
      <c r="Q681" s="362"/>
    </row>
    <row r="682" spans="1:17" s="293" customFormat="1" ht="18" customHeight="1">
      <c r="C682" s="1084" t="s">
        <v>473</v>
      </c>
      <c r="D682" s="256"/>
      <c r="E682" s="256">
        <f>SUM(E680:E681)</f>
        <v>1802.4099999999999</v>
      </c>
      <c r="F682" s="256">
        <f>SUM(F680:F681)</f>
        <v>1872.2099999999998</v>
      </c>
      <c r="G682" s="256">
        <f>SUM(G680:G681)</f>
        <v>1938.8099999999997</v>
      </c>
      <c r="H682" s="364"/>
      <c r="I682" s="364"/>
      <c r="J682" s="364"/>
      <c r="K682" s="364"/>
      <c r="L682" s="364"/>
      <c r="M682" s="364"/>
      <c r="N682" s="364"/>
      <c r="O682" s="364"/>
      <c r="P682" s="364"/>
      <c r="Q682" s="364"/>
    </row>
    <row r="683" spans="1:17" s="293" customFormat="1" ht="18" customHeight="1">
      <c r="C683" s="1084" t="s">
        <v>476</v>
      </c>
      <c r="D683" s="256" t="s">
        <v>438</v>
      </c>
      <c r="E683" s="298">
        <f>ROUND(E682/10,2)</f>
        <v>180.24</v>
      </c>
      <c r="F683" s="298">
        <f>ROUND(F682/10,2)</f>
        <v>187.22</v>
      </c>
      <c r="G683" s="298">
        <f>ROUND(G682/10,2)</f>
        <v>193.88</v>
      </c>
      <c r="H683" s="376"/>
      <c r="I683" s="376"/>
      <c r="J683" s="376"/>
      <c r="K683" s="376"/>
      <c r="L683" s="376"/>
      <c r="M683" s="376"/>
      <c r="N683" s="376"/>
      <c r="O683" s="376"/>
      <c r="P683" s="376"/>
      <c r="Q683" s="376"/>
    </row>
    <row r="684" spans="1:17" s="292" customFormat="1" ht="60" customHeight="1">
      <c r="A684" s="1080" t="s">
        <v>531</v>
      </c>
      <c r="B684" s="293">
        <v>24</v>
      </c>
      <c r="C684" s="1312" t="s">
        <v>532</v>
      </c>
      <c r="D684" s="1312"/>
      <c r="E684" s="1312"/>
      <c r="F684" s="1312"/>
      <c r="G684" s="1312"/>
      <c r="H684" s="366"/>
      <c r="I684" s="366"/>
      <c r="J684" s="366"/>
      <c r="K684" s="366"/>
      <c r="L684" s="366"/>
      <c r="M684" s="366"/>
      <c r="N684" s="366"/>
      <c r="O684" s="366"/>
      <c r="P684" s="366"/>
      <c r="Q684" s="366"/>
    </row>
    <row r="685" spans="1:17" s="304" customFormat="1" ht="18" customHeight="1">
      <c r="A685" s="300"/>
      <c r="B685" s="1080"/>
      <c r="C685" s="1082" t="s">
        <v>533</v>
      </c>
      <c r="D685" s="287"/>
      <c r="E685" s="287"/>
      <c r="F685" s="287"/>
      <c r="G685" s="297"/>
      <c r="H685" s="367"/>
      <c r="I685" s="367"/>
      <c r="J685" s="367"/>
      <c r="K685" s="367"/>
      <c r="L685" s="367"/>
      <c r="M685" s="367"/>
      <c r="N685" s="367"/>
      <c r="O685" s="367"/>
      <c r="P685" s="367"/>
      <c r="Q685" s="367"/>
    </row>
    <row r="686" spans="1:17" s="304" customFormat="1" ht="18" customHeight="1">
      <c r="A686" s="300"/>
      <c r="B686" s="1080"/>
      <c r="C686" s="1084" t="s">
        <v>534</v>
      </c>
      <c r="D686" s="287"/>
      <c r="E686" s="287"/>
      <c r="F686" s="287"/>
      <c r="G686" s="297"/>
      <c r="H686" s="367"/>
      <c r="I686" s="367"/>
      <c r="J686" s="367"/>
      <c r="K686" s="367"/>
      <c r="L686" s="367"/>
      <c r="M686" s="367"/>
      <c r="N686" s="367"/>
      <c r="O686" s="367"/>
      <c r="P686" s="367"/>
      <c r="Q686" s="367"/>
    </row>
    <row r="687" spans="1:17" s="304" customFormat="1" ht="18" customHeight="1">
      <c r="A687" s="300"/>
      <c r="B687" s="1080"/>
      <c r="C687" s="305" t="s">
        <v>535</v>
      </c>
      <c r="D687" s="287" t="s">
        <v>536</v>
      </c>
      <c r="E687" s="287">
        <v>10</v>
      </c>
      <c r="F687" s="287">
        <f>G707</f>
        <v>435.72800000000001</v>
      </c>
      <c r="G687" s="297">
        <f>F687</f>
        <v>435.72800000000001</v>
      </c>
      <c r="H687" s="367"/>
      <c r="I687" s="367"/>
      <c r="J687" s="367"/>
      <c r="K687" s="367"/>
      <c r="L687" s="367"/>
      <c r="M687" s="367"/>
      <c r="N687" s="367"/>
      <c r="O687" s="367"/>
      <c r="P687" s="367">
        <f>G687</f>
        <v>435.72800000000001</v>
      </c>
      <c r="Q687" s="367"/>
    </row>
    <row r="688" spans="1:17" s="304" customFormat="1" ht="24" customHeight="1">
      <c r="A688" s="300"/>
      <c r="B688" s="300"/>
      <c r="C688" s="1082" t="s">
        <v>537</v>
      </c>
      <c r="D688" s="287" t="s">
        <v>97</v>
      </c>
      <c r="E688" s="287">
        <v>2.8</v>
      </c>
      <c r="F688" s="287">
        <f>'lead 1'!H80</f>
        <v>248</v>
      </c>
      <c r="G688" s="297">
        <f>ROUND(E688*F688,2)</f>
        <v>694.4</v>
      </c>
      <c r="H688" s="367"/>
      <c r="I688" s="367"/>
      <c r="J688" s="367"/>
      <c r="K688" s="367"/>
      <c r="L688" s="367"/>
      <c r="M688" s="367"/>
      <c r="N688" s="367"/>
      <c r="O688" s="367"/>
      <c r="P688" s="367">
        <f>G688</f>
        <v>694.4</v>
      </c>
      <c r="Q688" s="367"/>
    </row>
    <row r="689" spans="1:17" s="304" customFormat="1" ht="18" customHeight="1">
      <c r="A689" s="300"/>
      <c r="B689" s="1080"/>
      <c r="C689" s="1082" t="s">
        <v>3</v>
      </c>
      <c r="D689" s="287"/>
      <c r="E689" s="287"/>
      <c r="F689" s="287"/>
      <c r="G689" s="297">
        <f>E689*F689</f>
        <v>0</v>
      </c>
      <c r="H689" s="367"/>
      <c r="I689" s="367"/>
      <c r="J689" s="367"/>
      <c r="K689" s="367"/>
      <c r="L689" s="367"/>
      <c r="M689" s="367"/>
      <c r="N689" s="367"/>
      <c r="O689" s="367"/>
      <c r="P689" s="367"/>
      <c r="Q689" s="367"/>
    </row>
    <row r="690" spans="1:17" s="304" customFormat="1" ht="18" customHeight="1">
      <c r="A690" s="300"/>
      <c r="B690" s="1080"/>
      <c r="C690" s="1082" t="s">
        <v>571</v>
      </c>
      <c r="D690" s="287" t="s">
        <v>186</v>
      </c>
      <c r="E690" s="287">
        <v>0.36</v>
      </c>
      <c r="F690" s="287">
        <f>'lead 1'!M32</f>
        <v>580</v>
      </c>
      <c r="G690" s="297">
        <f>E690*F690</f>
        <v>208.79999999999998</v>
      </c>
      <c r="H690" s="366"/>
      <c r="I690" s="366"/>
      <c r="J690" s="366"/>
      <c r="K690" s="366"/>
      <c r="L690" s="366"/>
      <c r="M690" s="366"/>
      <c r="N690" s="366"/>
      <c r="O690" s="366"/>
      <c r="P690" s="367">
        <f>G690</f>
        <v>208.79999999999998</v>
      </c>
      <c r="Q690" s="366"/>
    </row>
    <row r="691" spans="1:17" s="304" customFormat="1" ht="18" customHeight="1">
      <c r="A691" s="300"/>
      <c r="B691" s="1080"/>
      <c r="C691" s="1082" t="s">
        <v>591</v>
      </c>
      <c r="D691" s="287" t="s">
        <v>186</v>
      </c>
      <c r="E691" s="287">
        <v>0.84</v>
      </c>
      <c r="F691" s="287">
        <f>'lead 1'!M33</f>
        <v>575</v>
      </c>
      <c r="G691" s="297">
        <f>E691*F691</f>
        <v>483</v>
      </c>
      <c r="H691" s="366"/>
      <c r="I691" s="366"/>
      <c r="J691" s="366"/>
      <c r="K691" s="366"/>
      <c r="L691" s="366"/>
      <c r="M691" s="366"/>
      <c r="N691" s="366"/>
      <c r="O691" s="366"/>
      <c r="P691" s="367">
        <f>G691</f>
        <v>483</v>
      </c>
      <c r="Q691" s="366"/>
    </row>
    <row r="692" spans="1:17" s="292" customFormat="1" ht="18" customHeight="1">
      <c r="B692" s="293"/>
      <c r="C692" s="320" t="s">
        <v>105</v>
      </c>
      <c r="E692" s="306">
        <v>0</v>
      </c>
      <c r="F692" s="287">
        <f>SUM(G690)</f>
        <v>208.79999999999998</v>
      </c>
      <c r="G692" s="297">
        <f>ROUND(F692*E692,2)</f>
        <v>0</v>
      </c>
      <c r="H692" s="367"/>
      <c r="I692" s="367"/>
      <c r="J692" s="367"/>
      <c r="K692" s="367"/>
      <c r="L692" s="367"/>
      <c r="M692" s="367"/>
      <c r="N692" s="367"/>
      <c r="O692" s="367"/>
      <c r="P692" s="367"/>
      <c r="Q692" s="367"/>
    </row>
    <row r="693" spans="1:17" s="304" customFormat="1" ht="18" customHeight="1">
      <c r="A693" s="300"/>
      <c r="B693" s="1080"/>
      <c r="C693" s="1082" t="s">
        <v>30</v>
      </c>
      <c r="D693" s="287"/>
      <c r="E693" s="287">
        <v>1</v>
      </c>
      <c r="F693" s="287">
        <v>10</v>
      </c>
      <c r="G693" s="297">
        <f>E693*F693</f>
        <v>10</v>
      </c>
      <c r="H693" s="367"/>
      <c r="I693" s="367"/>
      <c r="J693" s="367"/>
      <c r="K693" s="367"/>
      <c r="L693" s="367"/>
      <c r="M693" s="367"/>
      <c r="N693" s="367"/>
      <c r="O693" s="367"/>
      <c r="P693" s="367">
        <f>G693</f>
        <v>10</v>
      </c>
      <c r="Q693" s="367"/>
    </row>
    <row r="694" spans="1:17" s="304" customFormat="1" ht="18" customHeight="1">
      <c r="A694" s="300"/>
      <c r="B694" s="1080"/>
      <c r="C694" s="1082" t="s">
        <v>20</v>
      </c>
      <c r="D694" s="287"/>
      <c r="E694" s="287"/>
      <c r="F694" s="287"/>
      <c r="G694" s="298">
        <f>SUM(G687:G693)</f>
        <v>1831.9279999999999</v>
      </c>
      <c r="H694" s="367"/>
      <c r="I694" s="367"/>
      <c r="J694" s="367"/>
      <c r="K694" s="367"/>
      <c r="L694" s="367"/>
      <c r="M694" s="367"/>
      <c r="N694" s="367"/>
      <c r="O694" s="367"/>
      <c r="P694" s="367">
        <f>G694</f>
        <v>1831.9279999999999</v>
      </c>
      <c r="Q694" s="367"/>
    </row>
    <row r="695" spans="1:17" s="293" customFormat="1" ht="18" customHeight="1">
      <c r="C695" s="1082" t="s">
        <v>691</v>
      </c>
      <c r="D695" s="256"/>
      <c r="E695" s="256"/>
      <c r="F695" s="256"/>
      <c r="G695" s="298">
        <f>ROUND(G694*D2,2)</f>
        <v>0</v>
      </c>
      <c r="H695" s="366"/>
      <c r="I695" s="366"/>
      <c r="J695" s="366"/>
      <c r="K695" s="366"/>
      <c r="L695" s="366"/>
      <c r="M695" s="366"/>
      <c r="N695" s="366"/>
      <c r="O695" s="366"/>
      <c r="P695" s="366"/>
      <c r="Q695" s="366"/>
    </row>
    <row r="696" spans="1:17" s="293" customFormat="1" ht="18" customHeight="1">
      <c r="C696" s="1084" t="s">
        <v>473</v>
      </c>
      <c r="D696" s="256"/>
      <c r="E696" s="256"/>
      <c r="F696" s="256"/>
      <c r="G696" s="298">
        <f>SUM(G694:G695)</f>
        <v>1831.9279999999999</v>
      </c>
      <c r="H696" s="366"/>
      <c r="I696" s="366"/>
      <c r="J696" s="366"/>
      <c r="K696" s="366"/>
      <c r="L696" s="366"/>
      <c r="M696" s="366"/>
      <c r="N696" s="366"/>
      <c r="O696" s="366"/>
      <c r="P696" s="366"/>
      <c r="Q696" s="366"/>
    </row>
    <row r="697" spans="1:17" s="293" customFormat="1" ht="18" customHeight="1">
      <c r="C697" s="1084" t="s">
        <v>476</v>
      </c>
      <c r="D697" s="256"/>
      <c r="E697" s="256"/>
      <c r="F697" s="298" t="s">
        <v>438</v>
      </c>
      <c r="G697" s="298">
        <f>ROUND(G696/10,2)</f>
        <v>183.19</v>
      </c>
      <c r="H697" s="362"/>
      <c r="I697" s="362"/>
      <c r="J697" s="362"/>
      <c r="K697" s="362"/>
      <c r="L697" s="362"/>
      <c r="M697" s="362"/>
      <c r="N697" s="362"/>
      <c r="O697" s="362"/>
      <c r="P697" s="367">
        <f>G697</f>
        <v>183.19</v>
      </c>
      <c r="Q697" s="362"/>
    </row>
    <row r="698" spans="1:17" s="304" customFormat="1" ht="18" hidden="1" customHeight="1">
      <c r="A698" s="172" t="s">
        <v>538</v>
      </c>
      <c r="B698" s="1080">
        <f>B684+1</f>
        <v>25</v>
      </c>
      <c r="C698" s="348" t="s">
        <v>535</v>
      </c>
      <c r="D698" s="287"/>
      <c r="E698" s="287"/>
      <c r="F698" s="287"/>
      <c r="G698" s="297"/>
      <c r="H698" s="362"/>
      <c r="I698" s="362"/>
      <c r="J698" s="362"/>
      <c r="K698" s="362"/>
      <c r="L698" s="362"/>
      <c r="M698" s="362"/>
      <c r="N698" s="362"/>
      <c r="O698" s="362"/>
      <c r="P698" s="362"/>
      <c r="Q698" s="362"/>
    </row>
    <row r="699" spans="1:17" s="304" customFormat="1" ht="18" hidden="1" customHeight="1">
      <c r="A699" s="263"/>
      <c r="B699" s="1080"/>
      <c r="C699" s="1082" t="s">
        <v>12</v>
      </c>
      <c r="D699" s="287"/>
      <c r="E699" s="287"/>
      <c r="F699" s="287"/>
      <c r="G699" s="297"/>
      <c r="H699" s="364"/>
      <c r="I699" s="364"/>
      <c r="J699" s="364"/>
      <c r="K699" s="364"/>
      <c r="L699" s="364"/>
      <c r="M699" s="364"/>
      <c r="N699" s="364"/>
      <c r="O699" s="364"/>
      <c r="P699" s="364"/>
      <c r="Q699" s="364"/>
    </row>
    <row r="700" spans="1:17" s="304" customFormat="1" ht="18" hidden="1" customHeight="1">
      <c r="A700" s="263"/>
      <c r="B700" s="1080"/>
      <c r="C700" s="348" t="s">
        <v>13</v>
      </c>
      <c r="D700" s="287"/>
      <c r="E700" s="287"/>
      <c r="F700" s="287"/>
      <c r="G700" s="297"/>
      <c r="H700" s="373"/>
      <c r="I700" s="373"/>
      <c r="J700" s="373"/>
      <c r="K700" s="373"/>
      <c r="L700" s="373"/>
      <c r="M700" s="373"/>
      <c r="N700" s="373"/>
      <c r="O700" s="373"/>
      <c r="P700" s="373"/>
      <c r="Q700" s="373"/>
    </row>
    <row r="701" spans="1:17" s="304" customFormat="1" ht="18" hidden="1" customHeight="1">
      <c r="A701" s="300" t="s">
        <v>539</v>
      </c>
      <c r="B701" s="1080"/>
      <c r="C701" s="305" t="s">
        <v>540</v>
      </c>
      <c r="D701" s="287" t="s">
        <v>97</v>
      </c>
      <c r="E701" s="287">
        <v>0.7</v>
      </c>
      <c r="F701" s="287">
        <v>130</v>
      </c>
      <c r="G701" s="297">
        <f>E701*F701</f>
        <v>91</v>
      </c>
      <c r="H701" s="361"/>
      <c r="I701" s="361"/>
      <c r="J701" s="361"/>
      <c r="K701" s="361"/>
      <c r="L701" s="361"/>
      <c r="M701" s="361"/>
      <c r="N701" s="361"/>
      <c r="O701" s="361"/>
      <c r="P701" s="361"/>
      <c r="Q701" s="361"/>
    </row>
    <row r="702" spans="1:17" s="304" customFormat="1" ht="18" hidden="1" customHeight="1">
      <c r="A702" s="263"/>
      <c r="B702" s="1080"/>
      <c r="C702" s="348" t="s">
        <v>3</v>
      </c>
      <c r="D702" s="287"/>
      <c r="E702" s="287"/>
      <c r="F702" s="287"/>
      <c r="G702" s="297"/>
      <c r="H702" s="362"/>
      <c r="I702" s="362"/>
      <c r="J702" s="362"/>
      <c r="K702" s="362"/>
      <c r="L702" s="362"/>
      <c r="M702" s="362"/>
      <c r="N702" s="362"/>
      <c r="O702" s="362"/>
      <c r="P702" s="362"/>
      <c r="Q702" s="362"/>
    </row>
    <row r="703" spans="1:17" s="304" customFormat="1" ht="18" hidden="1" customHeight="1">
      <c r="A703" s="263"/>
      <c r="B703" s="1080"/>
      <c r="C703" s="305" t="s">
        <v>571</v>
      </c>
      <c r="D703" s="287" t="s">
        <v>186</v>
      </c>
      <c r="E703" s="287">
        <v>0.21</v>
      </c>
      <c r="F703" s="287">
        <f>'lead 1'!C48</f>
        <v>580</v>
      </c>
      <c r="G703" s="297">
        <f>E703*F703</f>
        <v>121.8</v>
      </c>
      <c r="H703" s="362"/>
      <c r="I703" s="362"/>
      <c r="J703" s="362"/>
      <c r="K703" s="362"/>
      <c r="L703" s="362"/>
      <c r="M703" s="362"/>
      <c r="N703" s="362"/>
      <c r="O703" s="362"/>
      <c r="P703" s="362"/>
      <c r="Q703" s="362"/>
    </row>
    <row r="704" spans="1:17" s="304" customFormat="1" ht="18" hidden="1" customHeight="1">
      <c r="A704" s="263"/>
      <c r="B704" s="1080"/>
      <c r="C704" s="305" t="s">
        <v>591</v>
      </c>
      <c r="D704" s="287" t="s">
        <v>186</v>
      </c>
      <c r="E704" s="287">
        <v>0.48</v>
      </c>
      <c r="F704" s="287">
        <f>'lead 1'!C49</f>
        <v>460</v>
      </c>
      <c r="G704" s="297">
        <f>E704*F704</f>
        <v>220.79999999999998</v>
      </c>
      <c r="H704" s="362"/>
      <c r="I704" s="362"/>
      <c r="J704" s="362"/>
      <c r="K704" s="362"/>
      <c r="L704" s="362"/>
      <c r="M704" s="362"/>
      <c r="N704" s="362"/>
      <c r="O704" s="362"/>
      <c r="P704" s="362"/>
      <c r="Q704" s="362"/>
    </row>
    <row r="705" spans="1:17" s="292" customFormat="1" ht="18" hidden="1" customHeight="1">
      <c r="B705" s="293"/>
      <c r="C705" s="320" t="s">
        <v>105</v>
      </c>
      <c r="E705" s="306">
        <v>0</v>
      </c>
      <c r="F705" s="287">
        <f>SUM(G703)</f>
        <v>121.8</v>
      </c>
      <c r="G705" s="297">
        <f>ROUND(F705*E705,2)</f>
        <v>0</v>
      </c>
      <c r="H705" s="362"/>
      <c r="I705" s="362"/>
      <c r="J705" s="362"/>
      <c r="K705" s="362"/>
      <c r="L705" s="362"/>
      <c r="M705" s="362"/>
      <c r="N705" s="362"/>
      <c r="O705" s="362"/>
      <c r="P705" s="362"/>
      <c r="Q705" s="362"/>
    </row>
    <row r="706" spans="1:17" s="304" customFormat="1" ht="18" hidden="1" customHeight="1">
      <c r="A706" s="263"/>
      <c r="B706" s="1080"/>
      <c r="C706" s="305" t="s">
        <v>30</v>
      </c>
      <c r="D706" s="287"/>
      <c r="E706" s="287">
        <v>0.01</v>
      </c>
      <c r="F706" s="287">
        <f>SUM(G701:G703)</f>
        <v>212.8</v>
      </c>
      <c r="G706" s="297">
        <f>E706*F706</f>
        <v>2.1280000000000001</v>
      </c>
      <c r="H706" s="362"/>
      <c r="I706" s="362"/>
      <c r="J706" s="362"/>
      <c r="K706" s="362"/>
      <c r="L706" s="362"/>
      <c r="M706" s="362"/>
      <c r="N706" s="362"/>
      <c r="O706" s="362"/>
      <c r="P706" s="362"/>
      <c r="Q706" s="362"/>
    </row>
    <row r="707" spans="1:17" s="304" customFormat="1" ht="18" hidden="1" customHeight="1">
      <c r="A707" s="263"/>
      <c r="B707" s="1080"/>
      <c r="C707" s="348" t="s">
        <v>20</v>
      </c>
      <c r="D707" s="287"/>
      <c r="E707" s="287"/>
      <c r="F707" s="287"/>
      <c r="G707" s="298">
        <f>SUM(G701:G706)</f>
        <v>435.72800000000001</v>
      </c>
      <c r="H707" s="362"/>
      <c r="I707" s="362"/>
      <c r="J707" s="362"/>
      <c r="K707" s="362"/>
      <c r="L707" s="362"/>
      <c r="M707" s="362"/>
      <c r="N707" s="362"/>
      <c r="O707" s="362"/>
      <c r="P707" s="362"/>
      <c r="Q707" s="362"/>
    </row>
    <row r="708" spans="1:17" s="293" customFormat="1" ht="22.5" hidden="1" customHeight="1">
      <c r="C708" s="1084" t="s">
        <v>473</v>
      </c>
      <c r="D708" s="256"/>
      <c r="E708" s="256"/>
      <c r="F708" s="298" t="s">
        <v>438</v>
      </c>
      <c r="G708" s="298">
        <f>ROUND(SUM(G707:G707),2)</f>
        <v>435.73</v>
      </c>
      <c r="H708" s="362"/>
      <c r="I708" s="362"/>
      <c r="J708" s="362"/>
      <c r="K708" s="362"/>
      <c r="L708" s="362"/>
      <c r="M708" s="362"/>
      <c r="N708" s="362"/>
      <c r="O708" s="362"/>
      <c r="P708" s="362"/>
      <c r="Q708" s="362"/>
    </row>
    <row r="709" spans="1:17" s="292" customFormat="1" ht="48" customHeight="1">
      <c r="A709" s="293" t="s">
        <v>324</v>
      </c>
      <c r="B709" s="293">
        <v>25</v>
      </c>
      <c r="C709" s="1312" t="s">
        <v>1178</v>
      </c>
      <c r="D709" s="1312"/>
      <c r="E709" s="1312"/>
      <c r="F709" s="1312"/>
      <c r="G709" s="1312"/>
      <c r="H709" s="362"/>
      <c r="I709" s="362"/>
      <c r="J709" s="362"/>
      <c r="K709" s="362"/>
      <c r="L709" s="362"/>
      <c r="M709" s="362"/>
      <c r="N709" s="362"/>
      <c r="O709" s="362"/>
      <c r="P709" s="362"/>
      <c r="Q709" s="362"/>
    </row>
    <row r="710" spans="1:17" s="304" customFormat="1" ht="18" customHeight="1">
      <c r="A710" s="299"/>
      <c r="B710" s="314"/>
      <c r="C710" s="264" t="s">
        <v>326</v>
      </c>
      <c r="D710" s="287"/>
      <c r="E710" s="287"/>
      <c r="F710" s="287"/>
      <c r="G710" s="297"/>
      <c r="H710" s="362"/>
      <c r="I710" s="362"/>
      <c r="J710" s="362"/>
      <c r="K710" s="362"/>
      <c r="L710" s="362"/>
      <c r="M710" s="362"/>
      <c r="N710" s="362"/>
      <c r="O710" s="362"/>
      <c r="P710" s="362"/>
      <c r="Q710" s="362"/>
    </row>
    <row r="711" spans="1:17" s="304" customFormat="1" ht="18" customHeight="1">
      <c r="A711" s="299"/>
      <c r="B711" s="314"/>
      <c r="C711" s="264" t="s">
        <v>177</v>
      </c>
      <c r="D711" s="287"/>
      <c r="E711" s="287"/>
      <c r="F711" s="287"/>
      <c r="G711" s="297"/>
      <c r="H711" s="361"/>
      <c r="I711" s="361"/>
      <c r="J711" s="361"/>
      <c r="K711" s="361"/>
      <c r="L711" s="361"/>
      <c r="M711" s="361"/>
      <c r="N711" s="361"/>
      <c r="O711" s="361"/>
      <c r="P711" s="361"/>
      <c r="Q711" s="361"/>
    </row>
    <row r="712" spans="1:17" s="304" customFormat="1" ht="18" customHeight="1">
      <c r="A712" s="299"/>
      <c r="B712" s="314"/>
      <c r="C712" s="264" t="s">
        <v>327</v>
      </c>
      <c r="D712" s="287" t="s">
        <v>112</v>
      </c>
      <c r="E712" s="287">
        <v>0.15</v>
      </c>
      <c r="F712" s="287">
        <f>G104</f>
        <v>3774.87</v>
      </c>
      <c r="G712" s="297">
        <f>ROUND(E712*F712,2)</f>
        <v>566.23</v>
      </c>
      <c r="H712" s="362">
        <v>0</v>
      </c>
      <c r="I712" s="362">
        <f>ROUND(E712*480*'lead 1'!M8/1000,2)</f>
        <v>309.60000000000002</v>
      </c>
      <c r="J712" s="362">
        <f t="shared" ref="J712:P712" si="93">ROUND(J104*$E$712,2)</f>
        <v>0</v>
      </c>
      <c r="K712" s="362">
        <f>ROUND(E712*1.05*'lead 1'!M12,2)</f>
        <v>244.03</v>
      </c>
      <c r="L712" s="362">
        <f t="shared" si="93"/>
        <v>0</v>
      </c>
      <c r="M712" s="362">
        <f t="shared" si="93"/>
        <v>0</v>
      </c>
      <c r="N712" s="362">
        <f t="shared" si="93"/>
        <v>0</v>
      </c>
      <c r="O712" s="362">
        <f t="shared" si="93"/>
        <v>0</v>
      </c>
      <c r="P712" s="362">
        <f t="shared" si="93"/>
        <v>12.6</v>
      </c>
      <c r="Q712" s="362"/>
    </row>
    <row r="713" spans="1:17" s="304" customFormat="1" ht="18" customHeight="1">
      <c r="A713" s="299"/>
      <c r="B713" s="314"/>
      <c r="C713" s="264" t="s">
        <v>211</v>
      </c>
      <c r="D713" s="287"/>
      <c r="E713" s="287"/>
      <c r="F713" s="287"/>
      <c r="G713" s="297">
        <f>E713*F713</f>
        <v>0</v>
      </c>
      <c r="H713" s="362"/>
      <c r="I713" s="362"/>
      <c r="J713" s="362"/>
      <c r="K713" s="362"/>
      <c r="L713" s="362"/>
      <c r="M713" s="362"/>
      <c r="N713" s="362"/>
      <c r="O713" s="362"/>
      <c r="P713" s="362"/>
      <c r="Q713" s="362"/>
    </row>
    <row r="714" spans="1:17" s="304" customFormat="1" ht="18" customHeight="1">
      <c r="A714" s="299"/>
      <c r="B714" s="314"/>
      <c r="C714" s="264" t="s">
        <v>630</v>
      </c>
      <c r="D714" s="287" t="s">
        <v>186</v>
      </c>
      <c r="E714" s="287">
        <v>0.45</v>
      </c>
      <c r="F714" s="287">
        <f>'lead 1'!M31</f>
        <v>500</v>
      </c>
      <c r="G714" s="297">
        <f>ROUND(E714*F714,2)</f>
        <v>225</v>
      </c>
      <c r="H714" s="362"/>
      <c r="I714" s="362"/>
      <c r="J714" s="362"/>
      <c r="K714" s="362"/>
      <c r="L714" s="362"/>
      <c r="M714" s="362"/>
      <c r="N714" s="362"/>
      <c r="O714" s="362"/>
      <c r="P714" s="362">
        <f>G714</f>
        <v>225</v>
      </c>
      <c r="Q714" s="362"/>
    </row>
    <row r="715" spans="1:17" s="304" customFormat="1" ht="18" customHeight="1">
      <c r="A715" s="299"/>
      <c r="B715" s="314"/>
      <c r="C715" s="264" t="s">
        <v>266</v>
      </c>
      <c r="D715" s="287" t="s">
        <v>186</v>
      </c>
      <c r="E715" s="287">
        <v>1.05</v>
      </c>
      <c r="F715" s="287">
        <v>460</v>
      </c>
      <c r="G715" s="297">
        <f>ROUND(E715*F715,2)</f>
        <v>483</v>
      </c>
      <c r="H715" s="362"/>
      <c r="I715" s="362"/>
      <c r="J715" s="362"/>
      <c r="K715" s="362"/>
      <c r="L715" s="362"/>
      <c r="M715" s="362"/>
      <c r="N715" s="362"/>
      <c r="O715" s="362"/>
      <c r="P715" s="362">
        <f>G715</f>
        <v>483</v>
      </c>
      <c r="Q715" s="362"/>
    </row>
    <row r="716" spans="1:17" s="304" customFormat="1" ht="18" customHeight="1">
      <c r="A716" s="299"/>
      <c r="B716" s="314"/>
      <c r="C716" s="264" t="s">
        <v>213</v>
      </c>
      <c r="D716" s="287" t="s">
        <v>186</v>
      </c>
      <c r="E716" s="287">
        <v>2.8</v>
      </c>
      <c r="F716" s="287">
        <f>'lead 1'!M28</f>
        <v>420</v>
      </c>
      <c r="G716" s="297">
        <f>ROUND(E716*F716,2)</f>
        <v>1176</v>
      </c>
      <c r="H716" s="364"/>
      <c r="I716" s="364"/>
      <c r="J716" s="364"/>
      <c r="K716" s="364"/>
      <c r="L716" s="364"/>
      <c r="M716" s="364"/>
      <c r="N716" s="364"/>
      <c r="O716" s="364"/>
      <c r="P716" s="362">
        <f>G716</f>
        <v>1176</v>
      </c>
      <c r="Q716" s="364"/>
    </row>
    <row r="717" spans="1:17" s="292" customFormat="1" ht="18" customHeight="1">
      <c r="B717" s="293"/>
      <c r="C717" s="320" t="s">
        <v>105</v>
      </c>
      <c r="E717" s="306">
        <v>0</v>
      </c>
      <c r="F717" s="287">
        <f>SUM(G714:G716)</f>
        <v>1884</v>
      </c>
      <c r="G717" s="297">
        <f>ROUND(F717*E717,2)</f>
        <v>0</v>
      </c>
      <c r="H717" s="361"/>
      <c r="I717" s="361"/>
      <c r="J717" s="361"/>
      <c r="K717" s="361"/>
      <c r="L717" s="361"/>
      <c r="M717" s="361"/>
      <c r="N717" s="361"/>
      <c r="O717" s="361"/>
      <c r="P717" s="362">
        <f>G717</f>
        <v>0</v>
      </c>
      <c r="Q717" s="361"/>
    </row>
    <row r="718" spans="1:17" s="293" customFormat="1" ht="18" customHeight="1">
      <c r="C718" s="1084" t="s">
        <v>473</v>
      </c>
      <c r="D718" s="291"/>
      <c r="E718" s="256"/>
      <c r="F718" s="298" t="s">
        <v>438</v>
      </c>
      <c r="G718" s="298">
        <f>ROUND(SUM(G712:G717),2)</f>
        <v>2450.23</v>
      </c>
      <c r="H718" s="298">
        <f>ROUND(SUM(H712:H717),2)</f>
        <v>0</v>
      </c>
      <c r="I718" s="298">
        <f t="shared" ref="I718:P718" si="94">ROUND(SUM(I712:I717),2)</f>
        <v>309.60000000000002</v>
      </c>
      <c r="J718" s="298">
        <f t="shared" si="94"/>
        <v>0</v>
      </c>
      <c r="K718" s="298">
        <f t="shared" si="94"/>
        <v>244.03</v>
      </c>
      <c r="L718" s="298">
        <f t="shared" si="94"/>
        <v>0</v>
      </c>
      <c r="M718" s="298">
        <f t="shared" si="94"/>
        <v>0</v>
      </c>
      <c r="N718" s="298">
        <f t="shared" si="94"/>
        <v>0</v>
      </c>
      <c r="O718" s="298">
        <f t="shared" si="94"/>
        <v>0</v>
      </c>
      <c r="P718" s="298">
        <f t="shared" si="94"/>
        <v>1896.6</v>
      </c>
      <c r="Q718" s="361">
        <f>SUM(H718:P718)</f>
        <v>2450.23</v>
      </c>
    </row>
    <row r="719" spans="1:17" s="304" customFormat="1" ht="18" customHeight="1">
      <c r="A719" s="300"/>
      <c r="B719" s="1080"/>
      <c r="C719" s="1082"/>
      <c r="D719" s="287"/>
      <c r="E719" s="256" t="s">
        <v>409</v>
      </c>
      <c r="F719" s="256" t="s">
        <v>410</v>
      </c>
      <c r="G719" s="256" t="s">
        <v>411</v>
      </c>
      <c r="H719" s="362"/>
      <c r="I719" s="362"/>
      <c r="J719" s="362"/>
      <c r="K719" s="362"/>
      <c r="L719" s="362"/>
      <c r="M719" s="362"/>
      <c r="N719" s="362"/>
      <c r="O719" s="362"/>
      <c r="P719" s="362"/>
      <c r="Q719" s="362"/>
    </row>
    <row r="720" spans="1:17" s="304" customFormat="1" ht="18" customHeight="1">
      <c r="A720" s="300"/>
      <c r="B720" s="1080"/>
      <c r="C720" s="1082" t="s">
        <v>412</v>
      </c>
      <c r="D720" s="287"/>
      <c r="E720" s="309">
        <f>G718</f>
        <v>2450.23</v>
      </c>
      <c r="F720" s="309">
        <f>G718</f>
        <v>2450.23</v>
      </c>
      <c r="G720" s="297">
        <f>G718</f>
        <v>2450.23</v>
      </c>
      <c r="H720" s="361">
        <f>H718</f>
        <v>0</v>
      </c>
      <c r="I720" s="361">
        <f t="shared" ref="I720:P720" si="95">I718</f>
        <v>309.60000000000002</v>
      </c>
      <c r="J720" s="361">
        <f t="shared" si="95"/>
        <v>0</v>
      </c>
      <c r="K720" s="361">
        <f t="shared" si="95"/>
        <v>244.03</v>
      </c>
      <c r="L720" s="361">
        <f t="shared" si="95"/>
        <v>0</v>
      </c>
      <c r="M720" s="361">
        <f t="shared" si="95"/>
        <v>0</v>
      </c>
      <c r="N720" s="361">
        <f t="shared" si="95"/>
        <v>0</v>
      </c>
      <c r="O720" s="361">
        <f t="shared" si="95"/>
        <v>0</v>
      </c>
      <c r="P720" s="361">
        <f t="shared" si="95"/>
        <v>1896.6</v>
      </c>
      <c r="Q720" s="361">
        <f>SUM(H720:P720)</f>
        <v>2450.23</v>
      </c>
    </row>
    <row r="721" spans="1:17" s="304" customFormat="1" ht="18" customHeight="1">
      <c r="A721" s="300"/>
      <c r="B721" s="1080"/>
      <c r="C721" s="1082" t="s">
        <v>895</v>
      </c>
      <c r="D721" s="287" t="s">
        <v>474</v>
      </c>
      <c r="E721" s="287">
        <f>ROUND(D721*2.46,2)</f>
        <v>24.6</v>
      </c>
      <c r="F721" s="287">
        <f>E721</f>
        <v>24.6</v>
      </c>
      <c r="G721" s="287">
        <f>E721</f>
        <v>24.6</v>
      </c>
      <c r="H721" s="362"/>
      <c r="I721" s="362"/>
      <c r="J721" s="362"/>
      <c r="K721" s="362"/>
      <c r="L721" s="362"/>
      <c r="M721" s="362"/>
      <c r="N721" s="362"/>
      <c r="O721" s="362"/>
      <c r="P721" s="362">
        <f>E721</f>
        <v>24.6</v>
      </c>
      <c r="Q721" s="362"/>
    </row>
    <row r="722" spans="1:17" s="304" customFormat="1" ht="24" customHeight="1">
      <c r="A722" s="300"/>
      <c r="B722" s="1080"/>
      <c r="C722" s="1082" t="s">
        <v>896</v>
      </c>
      <c r="D722" s="287" t="s">
        <v>474</v>
      </c>
      <c r="E722" s="287">
        <f>ROUND(D722*15.59,2)</f>
        <v>155.9</v>
      </c>
      <c r="F722" s="287">
        <f>ROUND(D722*22.57,2)</f>
        <v>225.7</v>
      </c>
      <c r="G722" s="287">
        <f>ROUND(D722*29.23,2)</f>
        <v>292.3</v>
      </c>
      <c r="H722" s="362"/>
      <c r="I722" s="362"/>
      <c r="J722" s="362"/>
      <c r="K722" s="362"/>
      <c r="L722" s="362"/>
      <c r="M722" s="362"/>
      <c r="N722" s="362"/>
      <c r="O722" s="362"/>
      <c r="P722" s="362">
        <f>E722</f>
        <v>155.9</v>
      </c>
      <c r="Q722" s="362"/>
    </row>
    <row r="723" spans="1:17" s="304" customFormat="1" ht="18" customHeight="1">
      <c r="A723" s="300"/>
      <c r="B723" s="1080"/>
      <c r="C723" s="1082" t="s">
        <v>479</v>
      </c>
      <c r="D723" s="287">
        <v>10</v>
      </c>
      <c r="E723" s="287">
        <v>0</v>
      </c>
      <c r="F723" s="287">
        <f>((SUM(G713:G716)+E722)*D723/100)</f>
        <v>203.99</v>
      </c>
      <c r="G723" s="287">
        <f>F723*2</f>
        <v>407.98</v>
      </c>
      <c r="H723" s="362"/>
      <c r="I723" s="362"/>
      <c r="J723" s="362"/>
      <c r="K723" s="362"/>
      <c r="L723" s="362"/>
      <c r="M723" s="362"/>
      <c r="N723" s="362"/>
      <c r="O723" s="362"/>
      <c r="P723" s="362">
        <v>0</v>
      </c>
      <c r="Q723" s="362"/>
    </row>
    <row r="724" spans="1:17" s="304" customFormat="1" ht="24" customHeight="1">
      <c r="A724" s="300"/>
      <c r="B724" s="1080"/>
      <c r="C724" s="1082" t="s">
        <v>521</v>
      </c>
      <c r="D724" s="310" t="s">
        <v>522</v>
      </c>
      <c r="E724" s="309"/>
      <c r="F724" s="309"/>
      <c r="G724" s="297">
        <v>0</v>
      </c>
      <c r="H724" s="362"/>
      <c r="I724" s="362"/>
      <c r="J724" s="362"/>
      <c r="K724" s="362"/>
      <c r="L724" s="362"/>
      <c r="M724" s="362"/>
      <c r="N724" s="362"/>
      <c r="O724" s="362"/>
      <c r="P724" s="362"/>
      <c r="Q724" s="362"/>
    </row>
    <row r="725" spans="1:17" s="304" customFormat="1" ht="24" customHeight="1">
      <c r="A725" s="300"/>
      <c r="B725" s="1080"/>
      <c r="C725" s="1082"/>
      <c r="D725" s="310"/>
      <c r="E725" s="309">
        <f>SUM(E720:E724)</f>
        <v>2630.73</v>
      </c>
      <c r="F725" s="309">
        <f>SUM(F720:F723)</f>
        <v>2904.5199999999995</v>
      </c>
      <c r="G725" s="309">
        <f>SUM(G720:G722)</f>
        <v>2767.13</v>
      </c>
      <c r="H725" s="362"/>
      <c r="I725" s="362"/>
      <c r="J725" s="362"/>
      <c r="K725" s="362"/>
      <c r="L725" s="362"/>
      <c r="M725" s="362"/>
      <c r="N725" s="362"/>
      <c r="O725" s="362"/>
      <c r="P725" s="362"/>
      <c r="Q725" s="362"/>
    </row>
    <row r="726" spans="1:17" s="304" customFormat="1" ht="18" customHeight="1">
      <c r="A726" s="300"/>
      <c r="B726" s="1080"/>
      <c r="C726" s="1082" t="s">
        <v>691</v>
      </c>
      <c r="D726" s="309">
        <f>ROUND(D725*D2,2)</f>
        <v>0</v>
      </c>
      <c r="E726" s="309">
        <f>ROUND(E725*D2,2)</f>
        <v>0</v>
      </c>
      <c r="F726" s="309">
        <f>ROUND(F725*D2,2)</f>
        <v>0</v>
      </c>
      <c r="G726" s="309">
        <f>ROUND(G725*D2,2)</f>
        <v>0</v>
      </c>
      <c r="H726" s="364"/>
      <c r="I726" s="364"/>
      <c r="J726" s="364"/>
      <c r="K726" s="364"/>
      <c r="L726" s="364"/>
      <c r="M726" s="364"/>
      <c r="N726" s="364"/>
      <c r="O726" s="364"/>
      <c r="P726" s="364"/>
      <c r="Q726" s="364"/>
    </row>
    <row r="727" spans="1:17" s="293" customFormat="1" ht="18" customHeight="1">
      <c r="C727" s="1084" t="s">
        <v>473</v>
      </c>
      <c r="D727" s="271"/>
      <c r="E727" s="311">
        <f>SUM(E725:E726)</f>
        <v>2630.73</v>
      </c>
      <c r="F727" s="311">
        <f>SUM(F725:F726)</f>
        <v>2904.5199999999995</v>
      </c>
      <c r="G727" s="311">
        <f>SUM(G725:G726)</f>
        <v>2767.13</v>
      </c>
      <c r="H727" s="366">
        <f>SUM(H720:H726)</f>
        <v>0</v>
      </c>
      <c r="I727" s="366">
        <f t="shared" ref="I727:P727" si="96">SUM(I720:I726)</f>
        <v>309.60000000000002</v>
      </c>
      <c r="J727" s="366">
        <f t="shared" si="96"/>
        <v>0</v>
      </c>
      <c r="K727" s="366">
        <f t="shared" si="96"/>
        <v>244.03</v>
      </c>
      <c r="L727" s="366">
        <f t="shared" si="96"/>
        <v>0</v>
      </c>
      <c r="M727" s="366">
        <f t="shared" si="96"/>
        <v>0</v>
      </c>
      <c r="N727" s="366">
        <f t="shared" si="96"/>
        <v>0</v>
      </c>
      <c r="O727" s="366">
        <f t="shared" si="96"/>
        <v>0</v>
      </c>
      <c r="P727" s="366">
        <f t="shared" si="96"/>
        <v>2077.1</v>
      </c>
      <c r="Q727" s="366">
        <f>SUM(H727:P727)</f>
        <v>2630.73</v>
      </c>
    </row>
    <row r="728" spans="1:17" s="293" customFormat="1" ht="18" customHeight="1">
      <c r="C728" s="1084" t="s">
        <v>922</v>
      </c>
      <c r="D728" s="271"/>
      <c r="E728" s="298">
        <f>ROUND(E727/10,2)</f>
        <v>263.07</v>
      </c>
      <c r="F728" s="298">
        <f>ROUND(F727/10,2)</f>
        <v>290.45</v>
      </c>
      <c r="G728" s="298">
        <f>ROUND(G727/10,2)</f>
        <v>276.70999999999998</v>
      </c>
      <c r="H728" s="366">
        <f>ROUND(H727/10,2)</f>
        <v>0</v>
      </c>
      <c r="I728" s="366">
        <f t="shared" ref="I728:P728" si="97">ROUND(I727/10,2)</f>
        <v>30.96</v>
      </c>
      <c r="J728" s="366">
        <f t="shared" si="97"/>
        <v>0</v>
      </c>
      <c r="K728" s="366">
        <f t="shared" si="97"/>
        <v>24.4</v>
      </c>
      <c r="L728" s="366">
        <f t="shared" si="97"/>
        <v>0</v>
      </c>
      <c r="M728" s="366">
        <f t="shared" si="97"/>
        <v>0</v>
      </c>
      <c r="N728" s="366">
        <f t="shared" si="97"/>
        <v>0</v>
      </c>
      <c r="O728" s="366">
        <f t="shared" si="97"/>
        <v>0</v>
      </c>
      <c r="P728" s="366">
        <f t="shared" si="97"/>
        <v>207.71</v>
      </c>
      <c r="Q728" s="366">
        <f>SUM(H728:P728)</f>
        <v>263.07</v>
      </c>
    </row>
    <row r="729" spans="1:17" s="293" customFormat="1" ht="18" hidden="1" customHeight="1">
      <c r="D729" s="271"/>
      <c r="E729" s="298"/>
      <c r="F729" s="298"/>
      <c r="G729" s="298"/>
      <c r="H729" s="366">
        <f>H720</f>
        <v>0</v>
      </c>
      <c r="I729" s="366">
        <f t="shared" ref="I729:O729" si="98">I720</f>
        <v>309.60000000000002</v>
      </c>
      <c r="J729" s="366">
        <f t="shared" si="98"/>
        <v>0</v>
      </c>
      <c r="K729" s="366">
        <f t="shared" si="98"/>
        <v>244.03</v>
      </c>
      <c r="L729" s="366">
        <f t="shared" si="98"/>
        <v>0</v>
      </c>
      <c r="M729" s="366">
        <f t="shared" si="98"/>
        <v>0</v>
      </c>
      <c r="N729" s="366">
        <f t="shared" si="98"/>
        <v>0</v>
      </c>
      <c r="O729" s="366">
        <f t="shared" si="98"/>
        <v>0</v>
      </c>
      <c r="P729" s="366">
        <f>P720+SUM(F721:F723)</f>
        <v>2350.89</v>
      </c>
      <c r="Q729" s="366"/>
    </row>
    <row r="730" spans="1:17" s="293" customFormat="1" ht="18" hidden="1" customHeight="1">
      <c r="C730" s="1084" t="s">
        <v>923</v>
      </c>
      <c r="D730" s="271"/>
      <c r="E730" s="298"/>
      <c r="F730" s="298"/>
      <c r="G730" s="298"/>
      <c r="H730" s="366">
        <f>ROUND(H729/10,2)</f>
        <v>0</v>
      </c>
      <c r="I730" s="366">
        <f t="shared" ref="I730:P730" si="99">ROUND(I729/10,2)</f>
        <v>30.96</v>
      </c>
      <c r="J730" s="366">
        <f t="shared" si="99"/>
        <v>0</v>
      </c>
      <c r="K730" s="366">
        <f t="shared" si="99"/>
        <v>24.4</v>
      </c>
      <c r="L730" s="366">
        <f t="shared" si="99"/>
        <v>0</v>
      </c>
      <c r="M730" s="366">
        <f t="shared" si="99"/>
        <v>0</v>
      </c>
      <c r="N730" s="366">
        <f t="shared" si="99"/>
        <v>0</v>
      </c>
      <c r="O730" s="366">
        <f t="shared" si="99"/>
        <v>0</v>
      </c>
      <c r="P730" s="366">
        <f t="shared" si="99"/>
        <v>235.09</v>
      </c>
      <c r="Q730" s="366">
        <f>SUM(H730:P730)</f>
        <v>290.45</v>
      </c>
    </row>
    <row r="731" spans="1:17" s="292" customFormat="1" ht="60" hidden="1" customHeight="1">
      <c r="B731" s="293">
        <f>B709+1</f>
        <v>26</v>
      </c>
      <c r="C731" s="1309" t="s">
        <v>541</v>
      </c>
      <c r="D731" s="1309"/>
      <c r="E731" s="1309"/>
      <c r="F731" s="1309"/>
      <c r="G731" s="1309"/>
      <c r="H731" s="366"/>
      <c r="I731" s="366"/>
      <c r="J731" s="366"/>
      <c r="K731" s="366"/>
      <c r="L731" s="366"/>
      <c r="M731" s="366"/>
      <c r="N731" s="366"/>
      <c r="O731" s="366"/>
      <c r="P731" s="366"/>
      <c r="Q731" s="366"/>
    </row>
    <row r="732" spans="1:17" s="304" customFormat="1" ht="18" hidden="1" customHeight="1">
      <c r="B732" s="1080"/>
      <c r="C732" s="348" t="s">
        <v>542</v>
      </c>
      <c r="D732" s="284"/>
      <c r="E732" s="451"/>
      <c r="F732" s="452"/>
      <c r="G732" s="453"/>
      <c r="H732" s="367"/>
      <c r="I732" s="367"/>
      <c r="J732" s="367"/>
      <c r="K732" s="367"/>
      <c r="L732" s="367"/>
      <c r="M732" s="367"/>
      <c r="N732" s="367"/>
      <c r="O732" s="367"/>
      <c r="P732" s="367"/>
      <c r="Q732" s="367"/>
    </row>
    <row r="733" spans="1:17" s="304" customFormat="1" ht="18" hidden="1" customHeight="1">
      <c r="A733" s="263"/>
      <c r="B733" s="1080"/>
      <c r="C733" s="304" t="s">
        <v>543</v>
      </c>
      <c r="D733" s="451" t="s">
        <v>113</v>
      </c>
      <c r="E733" s="451">
        <v>1</v>
      </c>
      <c r="F733" s="452">
        <f>'lead 1'!M10/1000</f>
        <v>40</v>
      </c>
      <c r="G733" s="453">
        <f>F733*E733</f>
        <v>40</v>
      </c>
      <c r="H733" s="367"/>
      <c r="I733" s="367"/>
      <c r="J733" s="367"/>
      <c r="K733" s="367"/>
      <c r="L733" s="367"/>
      <c r="M733" s="367"/>
      <c r="N733" s="367"/>
      <c r="O733" s="367"/>
      <c r="P733" s="367"/>
      <c r="Q733" s="367"/>
    </row>
    <row r="734" spans="1:17" s="304" customFormat="1" ht="18" hidden="1" customHeight="1">
      <c r="A734" s="263" t="s">
        <v>544</v>
      </c>
      <c r="B734" s="1080"/>
      <c r="C734" s="299" t="s">
        <v>545</v>
      </c>
      <c r="D734" s="451" t="s">
        <v>113</v>
      </c>
      <c r="E734" s="451">
        <v>1</v>
      </c>
      <c r="F734" s="452">
        <v>27</v>
      </c>
      <c r="G734" s="453">
        <f>F734*E734</f>
        <v>27</v>
      </c>
      <c r="H734" s="366"/>
      <c r="I734" s="366"/>
      <c r="J734" s="366"/>
      <c r="K734" s="366"/>
      <c r="L734" s="366"/>
      <c r="M734" s="366"/>
      <c r="N734" s="366"/>
      <c r="O734" s="366"/>
      <c r="P734" s="366"/>
      <c r="Q734" s="366"/>
    </row>
    <row r="735" spans="1:17" s="304" customFormat="1" ht="18" hidden="1" customHeight="1">
      <c r="A735" s="263" t="s">
        <v>546</v>
      </c>
      <c r="B735" s="1080"/>
      <c r="C735" s="299" t="s">
        <v>547</v>
      </c>
      <c r="D735" s="451" t="s">
        <v>113</v>
      </c>
      <c r="E735" s="451">
        <v>1</v>
      </c>
      <c r="F735" s="452">
        <v>5</v>
      </c>
      <c r="G735" s="453">
        <f>F735*E735</f>
        <v>5</v>
      </c>
      <c r="H735" s="367"/>
      <c r="I735" s="367"/>
      <c r="J735" s="367"/>
      <c r="K735" s="367"/>
      <c r="L735" s="367"/>
      <c r="M735" s="367"/>
      <c r="N735" s="367"/>
      <c r="O735" s="367"/>
      <c r="P735" s="367"/>
      <c r="Q735" s="367"/>
    </row>
    <row r="736" spans="1:17" s="292" customFormat="1" ht="18" hidden="1" customHeight="1">
      <c r="B736" s="293"/>
      <c r="C736" s="320" t="s">
        <v>105</v>
      </c>
      <c r="E736" s="306">
        <v>0</v>
      </c>
      <c r="F736" s="287">
        <f>SUM(G734:G735)</f>
        <v>32</v>
      </c>
      <c r="G736" s="297">
        <f>ROUND(F736*E736,2)</f>
        <v>0</v>
      </c>
      <c r="H736" s="367"/>
      <c r="I736" s="367"/>
      <c r="J736" s="367"/>
      <c r="K736" s="367"/>
      <c r="L736" s="367"/>
      <c r="M736" s="367"/>
      <c r="N736" s="367"/>
      <c r="O736" s="367"/>
      <c r="P736" s="367"/>
      <c r="Q736" s="367"/>
    </row>
    <row r="737" spans="1:17" s="304" customFormat="1" ht="18" hidden="1" customHeight="1">
      <c r="A737" s="263"/>
      <c r="B737" s="1080"/>
      <c r="C737" s="305"/>
      <c r="D737" s="451"/>
      <c r="E737" s="451"/>
      <c r="F737" s="452"/>
      <c r="G737" s="453">
        <f>SUM(G733:G736)</f>
        <v>72</v>
      </c>
      <c r="H737" s="366"/>
      <c r="I737" s="366"/>
      <c r="J737" s="366"/>
      <c r="K737" s="366"/>
      <c r="L737" s="366"/>
      <c r="M737" s="366"/>
      <c r="N737" s="366"/>
      <c r="O737" s="366"/>
      <c r="P737" s="366"/>
      <c r="Q737" s="366"/>
    </row>
    <row r="738" spans="1:17" s="293" customFormat="1" ht="18" hidden="1" customHeight="1">
      <c r="C738" s="1084" t="s">
        <v>548</v>
      </c>
      <c r="D738" s="256"/>
      <c r="E738" s="256"/>
      <c r="F738" s="298" t="s">
        <v>438</v>
      </c>
      <c r="G738" s="298">
        <f>ROUND(SUM(G737:G737),2)</f>
        <v>72</v>
      </c>
      <c r="H738" s="367"/>
      <c r="I738" s="367"/>
      <c r="J738" s="367"/>
      <c r="K738" s="367"/>
      <c r="L738" s="367"/>
      <c r="M738" s="367"/>
      <c r="N738" s="367"/>
      <c r="O738" s="367"/>
      <c r="P738" s="367"/>
      <c r="Q738" s="367"/>
    </row>
    <row r="739" spans="1:17" s="292" customFormat="1" ht="48" hidden="1" customHeight="1">
      <c r="B739" s="293">
        <f>B731+1</f>
        <v>27</v>
      </c>
      <c r="C739" s="1309" t="s">
        <v>549</v>
      </c>
      <c r="D739" s="1309"/>
      <c r="E739" s="1309"/>
      <c r="F739" s="1309"/>
      <c r="G739" s="1309"/>
      <c r="H739" s="367"/>
      <c r="I739" s="367"/>
      <c r="J739" s="367"/>
      <c r="K739" s="367"/>
      <c r="L739" s="367"/>
      <c r="M739" s="367"/>
      <c r="N739" s="367"/>
      <c r="O739" s="367"/>
      <c r="P739" s="367"/>
      <c r="Q739" s="367"/>
    </row>
    <row r="740" spans="1:17" s="304" customFormat="1" ht="72.75" hidden="1" customHeight="1">
      <c r="A740" s="263" t="s">
        <v>992</v>
      </c>
      <c r="B740" s="1080"/>
      <c r="C740" s="454" t="s">
        <v>550</v>
      </c>
      <c r="D740" s="294" t="s">
        <v>551</v>
      </c>
      <c r="E740" s="287">
        <v>6</v>
      </c>
      <c r="F740" s="452">
        <v>232</v>
      </c>
      <c r="G740" s="452">
        <f t="shared" ref="G740:G746" si="100">F740*E740</f>
        <v>1392</v>
      </c>
      <c r="H740" s="367"/>
      <c r="I740" s="367"/>
      <c r="J740" s="367"/>
      <c r="K740" s="367"/>
      <c r="L740" s="367"/>
      <c r="M740" s="367"/>
      <c r="N740" s="367"/>
      <c r="O740" s="367"/>
      <c r="P740" s="367"/>
      <c r="Q740" s="367"/>
    </row>
    <row r="741" spans="1:17" s="304" customFormat="1" ht="24" hidden="1" customHeight="1">
      <c r="A741" s="263" t="s">
        <v>552</v>
      </c>
      <c r="B741" s="1080"/>
      <c r="C741" s="454" t="s">
        <v>553</v>
      </c>
      <c r="D741" s="294" t="s">
        <v>554</v>
      </c>
      <c r="E741" s="287">
        <v>1</v>
      </c>
      <c r="F741" s="452">
        <v>70</v>
      </c>
      <c r="G741" s="452">
        <f t="shared" si="100"/>
        <v>70</v>
      </c>
      <c r="H741" s="367"/>
      <c r="I741" s="367"/>
      <c r="J741" s="367"/>
      <c r="K741" s="367"/>
      <c r="L741" s="367"/>
      <c r="M741" s="367"/>
      <c r="N741" s="367"/>
      <c r="O741" s="367"/>
      <c r="P741" s="367"/>
      <c r="Q741" s="367"/>
    </row>
    <row r="742" spans="1:17" s="304" customFormat="1" ht="24" hidden="1" customHeight="1">
      <c r="A742" s="263" t="s">
        <v>555</v>
      </c>
      <c r="B742" s="1080"/>
      <c r="C742" s="454" t="s">
        <v>556</v>
      </c>
      <c r="D742" s="294" t="s">
        <v>554</v>
      </c>
      <c r="E742" s="287">
        <v>1</v>
      </c>
      <c r="F742" s="452">
        <v>48</v>
      </c>
      <c r="G742" s="452">
        <f t="shared" si="100"/>
        <v>48</v>
      </c>
      <c r="H742" s="367"/>
      <c r="I742" s="367"/>
      <c r="J742" s="367"/>
      <c r="K742" s="367"/>
      <c r="L742" s="367"/>
      <c r="M742" s="367"/>
      <c r="N742" s="367"/>
      <c r="O742" s="367"/>
      <c r="P742" s="367"/>
      <c r="Q742" s="367"/>
    </row>
    <row r="743" spans="1:17" s="304" customFormat="1" ht="24" hidden="1" customHeight="1">
      <c r="A743" s="263" t="s">
        <v>557</v>
      </c>
      <c r="B743" s="1080"/>
      <c r="C743" s="454" t="s">
        <v>558</v>
      </c>
      <c r="D743" s="294" t="s">
        <v>559</v>
      </c>
      <c r="E743" s="287">
        <v>6</v>
      </c>
      <c r="F743" s="452">
        <v>15</v>
      </c>
      <c r="G743" s="452">
        <f t="shared" si="100"/>
        <v>90</v>
      </c>
      <c r="H743" s="362"/>
      <c r="I743" s="362"/>
      <c r="J743" s="362"/>
      <c r="K743" s="362"/>
      <c r="L743" s="362"/>
      <c r="M743" s="362"/>
      <c r="N743" s="362"/>
      <c r="O743" s="362"/>
      <c r="P743" s="362"/>
      <c r="Q743" s="362"/>
    </row>
    <row r="744" spans="1:17" s="304" customFormat="1" ht="18" hidden="1" customHeight="1">
      <c r="A744" s="263"/>
      <c r="B744" s="1080"/>
      <c r="C744" s="454" t="s">
        <v>560</v>
      </c>
      <c r="D744" s="294" t="s">
        <v>559</v>
      </c>
      <c r="E744" s="287">
        <v>2</v>
      </c>
      <c r="F744" s="452">
        <v>0</v>
      </c>
      <c r="G744" s="452">
        <f t="shared" si="100"/>
        <v>0</v>
      </c>
      <c r="H744" s="362"/>
      <c r="I744" s="362"/>
      <c r="J744" s="362"/>
      <c r="K744" s="362"/>
      <c r="L744" s="362"/>
      <c r="M744" s="362"/>
      <c r="N744" s="362"/>
      <c r="O744" s="362"/>
      <c r="P744" s="362"/>
      <c r="Q744" s="362"/>
    </row>
    <row r="745" spans="1:17" s="304" customFormat="1" ht="18" hidden="1" customHeight="1">
      <c r="A745" s="263" t="s">
        <v>561</v>
      </c>
      <c r="B745" s="1080"/>
      <c r="C745" s="454" t="s">
        <v>562</v>
      </c>
      <c r="D745" s="294" t="s">
        <v>559</v>
      </c>
      <c r="E745" s="287">
        <v>1</v>
      </c>
      <c r="F745" s="452">
        <v>47</v>
      </c>
      <c r="G745" s="452">
        <f t="shared" si="100"/>
        <v>47</v>
      </c>
      <c r="H745" s="364"/>
      <c r="I745" s="364"/>
      <c r="J745" s="364"/>
      <c r="K745" s="364"/>
      <c r="L745" s="364"/>
      <c r="M745" s="364"/>
      <c r="N745" s="364"/>
      <c r="O745" s="364"/>
      <c r="P745" s="364"/>
      <c r="Q745" s="364"/>
    </row>
    <row r="746" spans="1:17" s="304" customFormat="1" ht="18" hidden="1" customHeight="1">
      <c r="A746" s="263" t="s">
        <v>563</v>
      </c>
      <c r="B746" s="1080"/>
      <c r="C746" s="454" t="s">
        <v>564</v>
      </c>
      <c r="D746" s="294" t="s">
        <v>551</v>
      </c>
      <c r="E746" s="287">
        <v>6</v>
      </c>
      <c r="F746" s="452">
        <v>70</v>
      </c>
      <c r="G746" s="452">
        <f t="shared" si="100"/>
        <v>420</v>
      </c>
      <c r="H746" s="361"/>
      <c r="I746" s="361"/>
      <c r="J746" s="361"/>
      <c r="K746" s="361"/>
      <c r="L746" s="361"/>
      <c r="M746" s="361"/>
      <c r="N746" s="361"/>
      <c r="O746" s="361"/>
      <c r="P746" s="361"/>
      <c r="Q746" s="361"/>
    </row>
    <row r="747" spans="1:17" s="292" customFormat="1" ht="18" hidden="1" customHeight="1">
      <c r="B747" s="293"/>
      <c r="C747" s="320" t="s">
        <v>105</v>
      </c>
      <c r="D747" s="294"/>
      <c r="E747" s="287">
        <v>0</v>
      </c>
      <c r="F747" s="452">
        <f>SUM(G746)</f>
        <v>420</v>
      </c>
      <c r="G747" s="452">
        <f>ROUND(F747*E747,2)</f>
        <v>0</v>
      </c>
      <c r="H747" s="361"/>
      <c r="I747" s="361"/>
      <c r="J747" s="361"/>
      <c r="K747" s="361"/>
      <c r="L747" s="361"/>
      <c r="M747" s="361"/>
      <c r="N747" s="361"/>
      <c r="O747" s="361"/>
      <c r="P747" s="361"/>
      <c r="Q747" s="361"/>
    </row>
    <row r="748" spans="1:17" s="304" customFormat="1" ht="18" hidden="1" customHeight="1">
      <c r="A748" s="263"/>
      <c r="B748" s="1080"/>
      <c r="C748" s="289" t="s">
        <v>565</v>
      </c>
      <c r="D748" s="294"/>
      <c r="E748" s="287" t="str">
        <f>$F$92</f>
        <v>Rs</v>
      </c>
      <c r="F748" s="452"/>
      <c r="G748" s="452">
        <f>SUM(G740:G747)/6</f>
        <v>344.5</v>
      </c>
      <c r="H748" s="361"/>
      <c r="I748" s="361"/>
      <c r="J748" s="361"/>
      <c r="K748" s="361"/>
      <c r="L748" s="361"/>
      <c r="M748" s="361"/>
      <c r="N748" s="361"/>
      <c r="O748" s="361"/>
      <c r="P748" s="361"/>
      <c r="Q748" s="361"/>
    </row>
    <row r="749" spans="1:17" s="304" customFormat="1" ht="18" hidden="1" customHeight="1">
      <c r="A749" s="263"/>
      <c r="B749" s="1080"/>
      <c r="C749" s="289" t="s">
        <v>566</v>
      </c>
      <c r="D749" s="300"/>
      <c r="E749" s="452"/>
      <c r="F749" s="452"/>
      <c r="G749" s="298">
        <f>ROUND(SUM(G748:G748),2)</f>
        <v>344.5</v>
      </c>
      <c r="H749" s="362"/>
      <c r="I749" s="362"/>
      <c r="J749" s="362"/>
      <c r="K749" s="362"/>
      <c r="L749" s="362"/>
      <c r="M749" s="362"/>
      <c r="N749" s="362"/>
      <c r="O749" s="362"/>
      <c r="P749" s="362"/>
      <c r="Q749" s="362"/>
    </row>
    <row r="750" spans="1:17" s="292" customFormat="1" ht="48" hidden="1" customHeight="1">
      <c r="A750" s="293" t="s">
        <v>567</v>
      </c>
      <c r="B750" s="293">
        <v>40</v>
      </c>
      <c r="C750" s="1309" t="s">
        <v>568</v>
      </c>
      <c r="D750" s="1309"/>
      <c r="E750" s="1309"/>
      <c r="F750" s="1309"/>
      <c r="G750" s="1309"/>
      <c r="H750" s="362"/>
      <c r="I750" s="362"/>
      <c r="J750" s="362"/>
      <c r="K750" s="362"/>
      <c r="L750" s="362"/>
      <c r="M750" s="362"/>
      <c r="N750" s="362"/>
      <c r="O750" s="362"/>
      <c r="P750" s="362"/>
      <c r="Q750" s="362"/>
    </row>
    <row r="751" spans="1:17" s="304" customFormat="1" ht="18" hidden="1" customHeight="1">
      <c r="A751" s="172"/>
      <c r="B751" s="1080"/>
      <c r="C751" s="323" t="s">
        <v>569</v>
      </c>
      <c r="D751" s="263"/>
      <c r="E751" s="263"/>
      <c r="F751" s="263"/>
      <c r="G751" s="455"/>
      <c r="H751" s="361"/>
      <c r="I751" s="361"/>
      <c r="J751" s="361"/>
      <c r="K751" s="361"/>
      <c r="L751" s="361"/>
      <c r="M751" s="361"/>
      <c r="N751" s="361"/>
      <c r="O751" s="361"/>
      <c r="P751" s="361"/>
      <c r="Q751" s="361"/>
    </row>
    <row r="752" spans="1:17" s="304" customFormat="1" ht="18" hidden="1" customHeight="1">
      <c r="A752" s="172"/>
      <c r="B752" s="1080"/>
      <c r="C752" s="323" t="s">
        <v>570</v>
      </c>
      <c r="D752" s="263"/>
      <c r="E752" s="263"/>
      <c r="F752" s="263"/>
      <c r="G752" s="455"/>
      <c r="H752" s="362"/>
      <c r="I752" s="362"/>
      <c r="J752" s="362"/>
      <c r="K752" s="362"/>
      <c r="L752" s="362"/>
      <c r="M752" s="362"/>
      <c r="N752" s="362"/>
      <c r="O752" s="362"/>
      <c r="P752" s="362"/>
      <c r="Q752" s="362"/>
    </row>
    <row r="753" spans="1:17" s="304" customFormat="1" ht="18" hidden="1" customHeight="1">
      <c r="A753" s="172"/>
      <c r="B753" s="1080"/>
      <c r="C753" s="456" t="s">
        <v>430</v>
      </c>
      <c r="D753" s="263"/>
      <c r="E753" s="263"/>
      <c r="F753" s="263"/>
      <c r="G753" s="455"/>
      <c r="H753" s="362"/>
      <c r="I753" s="362"/>
      <c r="J753" s="362"/>
      <c r="K753" s="362"/>
      <c r="L753" s="362"/>
      <c r="M753" s="362"/>
      <c r="N753" s="362"/>
      <c r="O753" s="362"/>
      <c r="P753" s="362"/>
      <c r="Q753" s="362"/>
    </row>
    <row r="754" spans="1:17" s="304" customFormat="1" ht="18" hidden="1" customHeight="1">
      <c r="A754" s="172"/>
      <c r="B754" s="1080"/>
      <c r="C754" s="323" t="s">
        <v>571</v>
      </c>
      <c r="D754" s="347">
        <v>0.21</v>
      </c>
      <c r="E754" s="263" t="s">
        <v>572</v>
      </c>
      <c r="F754" s="347">
        <f>'lead 1'!C48</f>
        <v>580</v>
      </c>
      <c r="G754" s="346">
        <f>ROUND(D754*F754,2)</f>
        <v>121.8</v>
      </c>
      <c r="H754" s="361"/>
      <c r="I754" s="361"/>
      <c r="J754" s="361"/>
      <c r="K754" s="361"/>
      <c r="L754" s="361"/>
      <c r="M754" s="361"/>
      <c r="N754" s="361"/>
      <c r="O754" s="361"/>
      <c r="P754" s="361"/>
      <c r="Q754" s="361"/>
    </row>
    <row r="755" spans="1:17" s="304" customFormat="1" ht="18" hidden="1" customHeight="1">
      <c r="A755" s="172"/>
      <c r="B755" s="1080"/>
      <c r="C755" s="323" t="s">
        <v>1161</v>
      </c>
      <c r="D755" s="347">
        <v>0.48</v>
      </c>
      <c r="E755" s="263" t="s">
        <v>572</v>
      </c>
      <c r="F755" s="347">
        <f>'lead 1'!C49</f>
        <v>460</v>
      </c>
      <c r="G755" s="346">
        <f>ROUND(D755*F755,2)</f>
        <v>220.8</v>
      </c>
      <c r="H755" s="361"/>
      <c r="I755" s="361"/>
      <c r="J755" s="361"/>
      <c r="K755" s="361"/>
      <c r="L755" s="361"/>
      <c r="M755" s="361"/>
      <c r="N755" s="361"/>
      <c r="O755" s="361"/>
      <c r="P755" s="361"/>
      <c r="Q755" s="361"/>
    </row>
    <row r="756" spans="1:17" s="292" customFormat="1" ht="18" hidden="1" customHeight="1">
      <c r="B756" s="293"/>
      <c r="C756" s="320" t="s">
        <v>105</v>
      </c>
      <c r="E756" s="306">
        <v>0</v>
      </c>
      <c r="F756" s="287">
        <f>SUM(G754)</f>
        <v>121.8</v>
      </c>
      <c r="G756" s="297">
        <f>ROUND(F756*E756,2)</f>
        <v>0</v>
      </c>
      <c r="H756" s="362"/>
      <c r="I756" s="362"/>
      <c r="J756" s="362"/>
      <c r="K756" s="362"/>
      <c r="L756" s="362"/>
      <c r="M756" s="362"/>
      <c r="N756" s="362"/>
      <c r="O756" s="362"/>
      <c r="P756" s="362"/>
      <c r="Q756" s="362"/>
    </row>
    <row r="757" spans="1:17" s="304" customFormat="1" ht="18" hidden="1" customHeight="1">
      <c r="A757" s="172"/>
      <c r="B757" s="1080"/>
      <c r="C757" s="323"/>
      <c r="D757" s="347"/>
      <c r="E757" s="263"/>
      <c r="F757" s="347"/>
      <c r="G757" s="457">
        <f>SUM(G754:G756)</f>
        <v>342.6</v>
      </c>
      <c r="H757" s="362"/>
      <c r="I757" s="362"/>
      <c r="J757" s="362"/>
      <c r="K757" s="362"/>
      <c r="L757" s="362"/>
      <c r="M757" s="362"/>
      <c r="N757" s="362"/>
      <c r="O757" s="362"/>
      <c r="P757" s="362"/>
      <c r="Q757" s="362"/>
    </row>
    <row r="758" spans="1:17" s="304" customFormat="1" ht="18" hidden="1" customHeight="1">
      <c r="A758" s="172"/>
      <c r="B758" s="1080"/>
      <c r="C758" s="456" t="s">
        <v>573</v>
      </c>
      <c r="D758" s="263"/>
      <c r="E758" s="263"/>
      <c r="F758" s="263"/>
      <c r="G758" s="455"/>
      <c r="H758" s="362"/>
      <c r="I758" s="362"/>
      <c r="J758" s="362"/>
      <c r="K758" s="362"/>
      <c r="L758" s="362"/>
      <c r="M758" s="362"/>
      <c r="N758" s="362"/>
      <c r="O758" s="362"/>
      <c r="P758" s="362"/>
      <c r="Q758" s="362"/>
    </row>
    <row r="759" spans="1:17" s="304" customFormat="1" ht="18" hidden="1" customHeight="1">
      <c r="A759" s="323" t="s">
        <v>574</v>
      </c>
      <c r="B759" s="1080"/>
      <c r="C759" s="323" t="s">
        <v>1051</v>
      </c>
      <c r="D759" s="458">
        <v>0.7</v>
      </c>
      <c r="E759" s="263" t="s">
        <v>575</v>
      </c>
      <c r="F759" s="347">
        <f>'lead 1'!H108</f>
        <v>121</v>
      </c>
      <c r="G759" s="346">
        <f>ROUND(D759*F759,2)</f>
        <v>84.7</v>
      </c>
      <c r="H759" s="362"/>
      <c r="I759" s="362"/>
      <c r="J759" s="362"/>
      <c r="K759" s="362"/>
      <c r="L759" s="362"/>
      <c r="M759" s="362"/>
      <c r="N759" s="362"/>
      <c r="O759" s="362"/>
      <c r="P759" s="362"/>
      <c r="Q759" s="362"/>
    </row>
    <row r="760" spans="1:17" s="304" customFormat="1" ht="18" hidden="1" customHeight="1">
      <c r="A760" s="172"/>
      <c r="B760" s="1080"/>
      <c r="C760" s="323"/>
      <c r="D760" s="263"/>
      <c r="E760" s="263"/>
      <c r="F760" s="263"/>
      <c r="G760" s="457">
        <f>SUM(G759:G759)</f>
        <v>84.7</v>
      </c>
      <c r="H760" s="362"/>
      <c r="I760" s="362"/>
      <c r="J760" s="362"/>
      <c r="K760" s="362"/>
      <c r="L760" s="362"/>
      <c r="M760" s="362"/>
      <c r="N760" s="362"/>
      <c r="O760" s="362"/>
      <c r="P760" s="362"/>
      <c r="Q760" s="362"/>
    </row>
    <row r="761" spans="1:17" s="304" customFormat="1" ht="18" hidden="1" customHeight="1">
      <c r="A761" s="172"/>
      <c r="B761" s="1080"/>
      <c r="C761" s="1083" t="s">
        <v>576</v>
      </c>
      <c r="D761" s="263"/>
      <c r="E761" s="263"/>
      <c r="F761" s="263"/>
      <c r="G761" s="457">
        <v>0</v>
      </c>
      <c r="H761" s="362"/>
      <c r="I761" s="362"/>
      <c r="J761" s="362"/>
      <c r="K761" s="362"/>
      <c r="L761" s="362"/>
      <c r="M761" s="362"/>
      <c r="N761" s="362"/>
      <c r="O761" s="362"/>
      <c r="P761" s="362"/>
      <c r="Q761" s="362"/>
    </row>
    <row r="762" spans="1:17" s="304" customFormat="1" ht="18" hidden="1" customHeight="1">
      <c r="A762" s="172"/>
      <c r="B762" s="1080"/>
      <c r="C762" s="301" t="s">
        <v>897</v>
      </c>
      <c r="D762" s="347"/>
      <c r="E762" s="263"/>
      <c r="F762" s="263"/>
      <c r="G762" s="457">
        <f>ROUND((G757+G761+G760)*D2,2)</f>
        <v>0</v>
      </c>
      <c r="H762" s="362"/>
      <c r="I762" s="362"/>
      <c r="J762" s="362"/>
      <c r="K762" s="362"/>
      <c r="L762" s="362"/>
      <c r="M762" s="362"/>
      <c r="N762" s="362"/>
      <c r="O762" s="362"/>
      <c r="P762" s="362"/>
      <c r="Q762" s="362"/>
    </row>
    <row r="763" spans="1:17" s="304" customFormat="1" ht="18" hidden="1" customHeight="1">
      <c r="A763" s="172"/>
      <c r="B763" s="1080"/>
      <c r="C763" s="323" t="s">
        <v>577</v>
      </c>
      <c r="D763" s="263"/>
      <c r="E763" s="263"/>
      <c r="F763" s="263"/>
      <c r="G763" s="457">
        <f>G757+G760+G761+G762</f>
        <v>427.3</v>
      </c>
      <c r="H763" s="1059"/>
      <c r="I763" s="1059"/>
      <c r="J763" s="1059"/>
      <c r="K763" s="1059"/>
      <c r="L763" s="1059"/>
      <c r="M763" s="1059"/>
      <c r="N763" s="1059"/>
      <c r="O763" s="1059"/>
      <c r="P763" s="1059"/>
      <c r="Q763" s="1059"/>
    </row>
    <row r="764" spans="1:17" s="304" customFormat="1" ht="18" hidden="1" customHeight="1">
      <c r="A764" s="172"/>
      <c r="B764" s="1080"/>
      <c r="C764" s="323"/>
      <c r="D764" s="459" t="s">
        <v>578</v>
      </c>
      <c r="E764" s="263"/>
      <c r="F764" s="263"/>
      <c r="G764" s="1060">
        <f>ROUND(G763/10,2)</f>
        <v>42.73</v>
      </c>
      <c r="H764" s="1059"/>
      <c r="I764" s="1059"/>
      <c r="J764" s="1059"/>
      <c r="K764" s="1059"/>
      <c r="L764" s="1059"/>
      <c r="M764" s="1059"/>
      <c r="N764" s="1059"/>
      <c r="O764" s="1059"/>
      <c r="P764" s="1059"/>
      <c r="Q764" s="1059"/>
    </row>
    <row r="765" spans="1:17" s="292" customFormat="1" ht="48" hidden="1" customHeight="1">
      <c r="A765" s="293" t="s">
        <v>579</v>
      </c>
      <c r="B765" s="293">
        <f>B750+1</f>
        <v>41</v>
      </c>
      <c r="C765" s="1309" t="s">
        <v>580</v>
      </c>
      <c r="D765" s="1309"/>
      <c r="E765" s="1309"/>
      <c r="F765" s="1309"/>
      <c r="G765" s="1309"/>
      <c r="H765" s="1059"/>
      <c r="I765" s="1059"/>
      <c r="J765" s="1059"/>
      <c r="K765" s="1059"/>
      <c r="L765" s="1059"/>
      <c r="M765" s="1059"/>
      <c r="N765" s="1059"/>
      <c r="O765" s="1059"/>
      <c r="P765" s="1059"/>
      <c r="Q765" s="1059"/>
    </row>
    <row r="766" spans="1:17" s="304" customFormat="1" ht="18" hidden="1" customHeight="1">
      <c r="A766" s="172"/>
      <c r="B766" s="1080"/>
      <c r="C766" s="323" t="s">
        <v>569</v>
      </c>
      <c r="D766" s="263"/>
      <c r="E766" s="263"/>
      <c r="F766" s="263"/>
      <c r="G766" s="455"/>
      <c r="H766" s="1059"/>
      <c r="I766" s="1059"/>
      <c r="J766" s="1059"/>
      <c r="K766" s="1059"/>
      <c r="L766" s="1059"/>
      <c r="M766" s="1059"/>
      <c r="N766" s="1059"/>
      <c r="O766" s="1059"/>
      <c r="P766" s="1059"/>
      <c r="Q766" s="1059"/>
    </row>
    <row r="767" spans="1:17" s="304" customFormat="1" ht="18" hidden="1" customHeight="1">
      <c r="A767" s="172"/>
      <c r="B767" s="1080"/>
      <c r="C767" s="323" t="s">
        <v>570</v>
      </c>
      <c r="D767" s="263"/>
      <c r="E767" s="263"/>
      <c r="F767" s="263"/>
      <c r="G767" s="455"/>
      <c r="H767" s="1059"/>
      <c r="I767" s="1059"/>
      <c r="J767" s="1059"/>
      <c r="K767" s="1059"/>
      <c r="L767" s="1059"/>
      <c r="M767" s="1059"/>
      <c r="N767" s="1059"/>
      <c r="O767" s="1059"/>
      <c r="P767" s="1059"/>
      <c r="Q767" s="1059"/>
    </row>
    <row r="768" spans="1:17" s="304" customFormat="1" ht="18" hidden="1" customHeight="1">
      <c r="A768" s="172"/>
      <c r="B768" s="1080"/>
      <c r="C768" s="456" t="s">
        <v>430</v>
      </c>
      <c r="D768" s="263"/>
      <c r="E768" s="263"/>
      <c r="F768" s="263"/>
      <c r="G768" s="455"/>
      <c r="H768" s="1059"/>
      <c r="I768" s="1059"/>
      <c r="J768" s="1059"/>
      <c r="K768" s="1059"/>
      <c r="L768" s="1059"/>
      <c r="M768" s="1059"/>
      <c r="N768" s="1059"/>
      <c r="O768" s="1059"/>
      <c r="P768" s="1059"/>
      <c r="Q768" s="1059"/>
    </row>
    <row r="769" spans="1:17" s="304" customFormat="1" ht="18" hidden="1" customHeight="1">
      <c r="A769" s="172"/>
      <c r="B769" s="1080"/>
      <c r="C769" s="323" t="s">
        <v>571</v>
      </c>
      <c r="D769" s="347">
        <v>0.33</v>
      </c>
      <c r="E769" s="263" t="s">
        <v>572</v>
      </c>
      <c r="F769" s="347">
        <f>'lead 1'!C48</f>
        <v>580</v>
      </c>
      <c r="G769" s="346">
        <f>ROUND(D769*F769,2)</f>
        <v>191.4</v>
      </c>
      <c r="H769" s="377"/>
      <c r="I769" s="377"/>
      <c r="J769" s="377"/>
      <c r="K769" s="377"/>
      <c r="L769" s="377"/>
      <c r="M769" s="377"/>
      <c r="N769" s="377"/>
      <c r="O769" s="377"/>
      <c r="P769" s="377"/>
      <c r="Q769" s="377"/>
    </row>
    <row r="770" spans="1:17" s="304" customFormat="1" ht="18" hidden="1" customHeight="1">
      <c r="A770" s="172"/>
      <c r="B770" s="1080"/>
      <c r="C770" s="323" t="s">
        <v>571</v>
      </c>
      <c r="D770" s="347">
        <v>0.77</v>
      </c>
      <c r="E770" s="263" t="s">
        <v>572</v>
      </c>
      <c r="F770" s="347">
        <f>'lead 1'!C49</f>
        <v>460</v>
      </c>
      <c r="G770" s="346">
        <f>ROUND(D770*F770,2)</f>
        <v>354.2</v>
      </c>
      <c r="H770" s="377"/>
      <c r="I770" s="377"/>
      <c r="J770" s="377"/>
      <c r="K770" s="377"/>
      <c r="L770" s="377"/>
      <c r="M770" s="377"/>
      <c r="N770" s="377"/>
      <c r="O770" s="377"/>
      <c r="P770" s="377"/>
      <c r="Q770" s="377"/>
    </row>
    <row r="771" spans="1:17" s="292" customFormat="1" ht="18" hidden="1" customHeight="1">
      <c r="B771" s="293"/>
      <c r="C771" s="305" t="s">
        <v>105</v>
      </c>
      <c r="E771" s="306">
        <v>0</v>
      </c>
      <c r="F771" s="287">
        <f>SUM(G769)</f>
        <v>191.4</v>
      </c>
      <c r="G771" s="297">
        <f>ROUND(F771*E771,2)</f>
        <v>0</v>
      </c>
      <c r="H771" s="378"/>
      <c r="I771" s="378"/>
      <c r="J771" s="378"/>
      <c r="K771" s="378"/>
      <c r="L771" s="378"/>
      <c r="M771" s="378"/>
      <c r="N771" s="378"/>
      <c r="O771" s="378"/>
      <c r="P771" s="378"/>
      <c r="Q771" s="378"/>
    </row>
    <row r="772" spans="1:17" s="304" customFormat="1" ht="18" hidden="1" customHeight="1">
      <c r="A772" s="172"/>
      <c r="B772" s="1080"/>
      <c r="C772" s="323"/>
      <c r="D772" s="347"/>
      <c r="E772" s="263"/>
      <c r="F772" s="347"/>
      <c r="G772" s="457">
        <f>SUM(G769:G771)</f>
        <v>545.6</v>
      </c>
      <c r="H772" s="378"/>
      <c r="I772" s="378"/>
      <c r="J772" s="378"/>
      <c r="K772" s="378"/>
      <c r="L772" s="378"/>
      <c r="M772" s="378"/>
      <c r="N772" s="378"/>
      <c r="O772" s="378"/>
      <c r="P772" s="378"/>
      <c r="Q772" s="378"/>
    </row>
    <row r="773" spans="1:17" s="304" customFormat="1" ht="18" hidden="1" customHeight="1">
      <c r="A773" s="172"/>
      <c r="B773" s="1080"/>
      <c r="C773" s="456" t="s">
        <v>573</v>
      </c>
      <c r="D773" s="263"/>
      <c r="E773" s="263"/>
      <c r="F773" s="263"/>
      <c r="G773" s="455"/>
      <c r="H773" s="379"/>
      <c r="I773" s="379"/>
      <c r="J773" s="379"/>
      <c r="K773" s="379"/>
      <c r="L773" s="379"/>
      <c r="M773" s="379"/>
      <c r="N773" s="379"/>
      <c r="O773" s="379"/>
      <c r="P773" s="379"/>
      <c r="Q773" s="379"/>
    </row>
    <row r="774" spans="1:17" s="304" customFormat="1" ht="18" hidden="1" customHeight="1">
      <c r="A774" s="323" t="s">
        <v>1050</v>
      </c>
      <c r="B774" s="1080"/>
      <c r="C774" s="323" t="s">
        <v>581</v>
      </c>
      <c r="D774" s="458">
        <v>1.1000000000000001</v>
      </c>
      <c r="E774" s="263" t="s">
        <v>575</v>
      </c>
      <c r="F774" s="347">
        <f>'lead 1'!H80</f>
        <v>248</v>
      </c>
      <c r="G774" s="346">
        <f>ROUND(D774*F774,2)</f>
        <v>272.8</v>
      </c>
      <c r="H774" s="380"/>
      <c r="I774" s="379"/>
      <c r="J774" s="379"/>
      <c r="K774" s="379"/>
      <c r="L774" s="379"/>
      <c r="M774" s="379"/>
      <c r="N774" s="379"/>
      <c r="O774" s="379"/>
      <c r="P774" s="379"/>
      <c r="Q774" s="379"/>
    </row>
    <row r="775" spans="1:17" s="304" customFormat="1" ht="18" hidden="1" customHeight="1">
      <c r="A775" s="172"/>
      <c r="B775" s="1080"/>
      <c r="C775" s="323"/>
      <c r="D775" s="263"/>
      <c r="E775" s="263"/>
      <c r="F775" s="263"/>
      <c r="G775" s="457">
        <f>SUM(G774:G774)</f>
        <v>272.8</v>
      </c>
      <c r="H775" s="381"/>
      <c r="I775" s="381"/>
      <c r="J775" s="381"/>
      <c r="K775" s="381"/>
      <c r="L775" s="381"/>
      <c r="M775" s="381"/>
      <c r="N775" s="381"/>
      <c r="O775" s="381"/>
      <c r="P775" s="381"/>
      <c r="Q775" s="381"/>
    </row>
    <row r="776" spans="1:17" s="304" customFormat="1" ht="18" hidden="1" customHeight="1">
      <c r="A776" s="172"/>
      <c r="B776" s="1080"/>
      <c r="C776" s="1083" t="s">
        <v>576</v>
      </c>
      <c r="D776" s="263"/>
      <c r="E776" s="263"/>
      <c r="F776" s="263"/>
      <c r="G776" s="457">
        <v>0</v>
      </c>
      <c r="H776" s="381"/>
      <c r="I776" s="381"/>
      <c r="J776" s="381"/>
      <c r="K776" s="381"/>
      <c r="L776" s="381"/>
      <c r="M776" s="381"/>
      <c r="N776" s="381"/>
      <c r="O776" s="381"/>
      <c r="P776" s="381"/>
      <c r="Q776" s="381"/>
    </row>
    <row r="777" spans="1:17" s="304" customFormat="1" ht="18" hidden="1" customHeight="1">
      <c r="A777" s="172"/>
      <c r="B777" s="1080"/>
      <c r="C777" s="323" t="s">
        <v>577</v>
      </c>
      <c r="D777" s="263"/>
      <c r="E777" s="263"/>
      <c r="F777" s="263"/>
      <c r="G777" s="457">
        <f>G772+G775+G776</f>
        <v>818.40000000000009</v>
      </c>
      <c r="H777" s="381"/>
      <c r="I777" s="381"/>
      <c r="J777" s="381"/>
      <c r="K777" s="381"/>
      <c r="L777" s="381"/>
      <c r="M777" s="381"/>
      <c r="N777" s="381"/>
      <c r="O777" s="381"/>
      <c r="P777" s="381"/>
      <c r="Q777" s="381"/>
    </row>
    <row r="778" spans="1:17" s="304" customFormat="1" ht="18" hidden="1" customHeight="1">
      <c r="A778" s="172"/>
      <c r="B778" s="1080"/>
      <c r="C778" s="323" t="s">
        <v>696</v>
      </c>
      <c r="D778" s="263"/>
      <c r="E778" s="263"/>
      <c r="F778" s="263"/>
      <c r="G778" s="457">
        <f>ROUND(G777*D2,2)</f>
        <v>0</v>
      </c>
      <c r="H778" s="381"/>
      <c r="I778" s="381"/>
      <c r="J778" s="381"/>
      <c r="K778" s="381"/>
      <c r="L778" s="381"/>
      <c r="M778" s="381"/>
      <c r="N778" s="381"/>
      <c r="O778" s="381"/>
      <c r="P778" s="381"/>
      <c r="Q778" s="381"/>
    </row>
    <row r="779" spans="1:17" s="304" customFormat="1" ht="18" hidden="1" customHeight="1">
      <c r="A779" s="172"/>
      <c r="B779" s="1080"/>
      <c r="C779" s="323"/>
      <c r="D779" s="459" t="s">
        <v>578</v>
      </c>
      <c r="E779" s="263"/>
      <c r="F779" s="263"/>
      <c r="G779" s="1060">
        <f>ROUND(SUM(G777:G778)/10,2)</f>
        <v>81.84</v>
      </c>
      <c r="H779" s="381"/>
      <c r="I779" s="381"/>
      <c r="J779" s="381"/>
      <c r="K779" s="381"/>
      <c r="L779" s="381"/>
      <c r="M779" s="381"/>
      <c r="N779" s="381"/>
      <c r="O779" s="381"/>
      <c r="P779" s="381"/>
      <c r="Q779" s="381"/>
    </row>
    <row r="780" spans="1:17" s="292" customFormat="1" ht="60" hidden="1" customHeight="1">
      <c r="A780" s="292" t="s">
        <v>582</v>
      </c>
      <c r="B780" s="293">
        <f>B765+1</f>
        <v>42</v>
      </c>
      <c r="C780" s="1309" t="s">
        <v>583</v>
      </c>
      <c r="D780" s="1309"/>
      <c r="E780" s="1309"/>
      <c r="F780" s="1309"/>
      <c r="G780" s="1309"/>
      <c r="H780" s="381"/>
      <c r="I780" s="381"/>
      <c r="J780" s="381"/>
      <c r="K780" s="381"/>
      <c r="L780" s="381"/>
      <c r="M780" s="381"/>
      <c r="N780" s="381"/>
      <c r="O780" s="381"/>
      <c r="P780" s="381"/>
      <c r="Q780" s="381"/>
    </row>
    <row r="781" spans="1:17" s="304" customFormat="1" ht="18" hidden="1" customHeight="1">
      <c r="A781" s="172"/>
      <c r="B781" s="1080"/>
      <c r="C781" s="323" t="s">
        <v>569</v>
      </c>
      <c r="D781" s="263"/>
      <c r="E781" s="263"/>
      <c r="F781" s="263"/>
      <c r="G781" s="455"/>
      <c r="H781" s="381"/>
      <c r="I781" s="381"/>
      <c r="J781" s="381"/>
      <c r="K781" s="381"/>
      <c r="L781" s="381"/>
      <c r="M781" s="381"/>
      <c r="N781" s="381"/>
      <c r="O781" s="381"/>
      <c r="P781" s="381"/>
      <c r="Q781" s="381"/>
    </row>
    <row r="782" spans="1:17" s="304" customFormat="1" ht="18" hidden="1" customHeight="1">
      <c r="A782" s="172"/>
      <c r="B782" s="1080"/>
      <c r="C782" s="323" t="s">
        <v>570</v>
      </c>
      <c r="D782" s="263"/>
      <c r="E782" s="263"/>
      <c r="F782" s="263"/>
      <c r="G782" s="455"/>
      <c r="H782" s="381"/>
      <c r="I782" s="381"/>
      <c r="J782" s="381"/>
      <c r="K782" s="381"/>
      <c r="L782" s="381"/>
      <c r="M782" s="381"/>
      <c r="N782" s="381"/>
      <c r="O782" s="381"/>
      <c r="P782" s="381"/>
      <c r="Q782" s="381"/>
    </row>
    <row r="783" spans="1:17" s="304" customFormat="1" ht="18" hidden="1" customHeight="1">
      <c r="A783" s="172"/>
      <c r="B783" s="1080"/>
      <c r="C783" s="1083" t="s">
        <v>584</v>
      </c>
      <c r="D783" s="263"/>
      <c r="E783" s="263"/>
      <c r="F783" s="263"/>
      <c r="G783" s="455"/>
      <c r="H783" s="381"/>
      <c r="I783" s="381"/>
      <c r="J783" s="381"/>
      <c r="K783" s="381"/>
      <c r="L783" s="381"/>
      <c r="M783" s="381"/>
      <c r="N783" s="381"/>
      <c r="O783" s="381"/>
      <c r="P783" s="381"/>
      <c r="Q783" s="381"/>
    </row>
    <row r="784" spans="1:17" s="304" customFormat="1" ht="18" hidden="1" customHeight="1">
      <c r="A784" s="172"/>
      <c r="B784" s="1080"/>
      <c r="C784" s="456" t="s">
        <v>430</v>
      </c>
      <c r="D784" s="263"/>
      <c r="E784" s="263"/>
      <c r="F784" s="263"/>
      <c r="G784" s="455"/>
      <c r="H784" s="381"/>
      <c r="I784" s="381"/>
      <c r="J784" s="381"/>
      <c r="K784" s="381"/>
      <c r="L784" s="381"/>
      <c r="M784" s="381"/>
      <c r="N784" s="381"/>
      <c r="O784" s="381"/>
      <c r="P784" s="381"/>
      <c r="Q784" s="381"/>
    </row>
    <row r="785" spans="1:17" s="304" customFormat="1" ht="18" hidden="1" customHeight="1">
      <c r="A785" s="172"/>
      <c r="B785" s="1080"/>
      <c r="C785" s="323" t="s">
        <v>571</v>
      </c>
      <c r="D785" s="347">
        <v>0.21</v>
      </c>
      <c r="E785" s="263" t="s">
        <v>572</v>
      </c>
      <c r="F785" s="347">
        <f>'lead 1'!C48</f>
        <v>580</v>
      </c>
      <c r="G785" s="346">
        <f>ROUND(D785*F785,2)</f>
        <v>121.8</v>
      </c>
      <c r="H785" s="381"/>
      <c r="I785" s="381"/>
      <c r="J785" s="381"/>
      <c r="K785" s="381"/>
      <c r="L785" s="381"/>
      <c r="M785" s="381"/>
      <c r="N785" s="381"/>
      <c r="O785" s="381"/>
      <c r="P785" s="381"/>
      <c r="Q785" s="381"/>
    </row>
    <row r="786" spans="1:17" s="304" customFormat="1" ht="18" hidden="1" customHeight="1">
      <c r="A786" s="172"/>
      <c r="B786" s="1080"/>
      <c r="C786" s="323" t="s">
        <v>1161</v>
      </c>
      <c r="D786" s="347">
        <v>0.49</v>
      </c>
      <c r="E786" s="263" t="s">
        <v>572</v>
      </c>
      <c r="F786" s="347">
        <f>'lead 1'!C49</f>
        <v>460</v>
      </c>
      <c r="G786" s="346">
        <f>ROUND(D786*F786,2)</f>
        <v>225.4</v>
      </c>
      <c r="H786" s="381"/>
      <c r="I786" s="381"/>
      <c r="J786" s="381"/>
      <c r="K786" s="381"/>
      <c r="L786" s="381"/>
      <c r="M786" s="381"/>
      <c r="N786" s="381"/>
      <c r="O786" s="381"/>
      <c r="P786" s="381"/>
      <c r="Q786" s="381"/>
    </row>
    <row r="787" spans="1:17" s="292" customFormat="1" ht="18" hidden="1" customHeight="1">
      <c r="B787" s="293"/>
      <c r="C787" s="320" t="s">
        <v>899</v>
      </c>
      <c r="E787" s="306">
        <f>D3</f>
        <v>0</v>
      </c>
      <c r="F787" s="287">
        <f>SUM(G785)</f>
        <v>121.8</v>
      </c>
      <c r="G787" s="297">
        <f>ROUND(F787*E787,2)</f>
        <v>0</v>
      </c>
      <c r="H787" s="381"/>
      <c r="I787" s="381"/>
      <c r="J787" s="381"/>
      <c r="K787" s="381"/>
      <c r="L787" s="381"/>
      <c r="M787" s="381"/>
      <c r="N787" s="381"/>
      <c r="O787" s="381"/>
      <c r="P787" s="381"/>
      <c r="Q787" s="381"/>
    </row>
    <row r="788" spans="1:17" s="304" customFormat="1" ht="18" hidden="1" customHeight="1">
      <c r="A788" s="172"/>
      <c r="B788" s="1080"/>
      <c r="C788" s="323"/>
      <c r="D788" s="347"/>
      <c r="E788" s="263"/>
      <c r="F788" s="347"/>
      <c r="G788" s="457">
        <f>SUM(G785:G787)</f>
        <v>347.2</v>
      </c>
      <c r="H788" s="381"/>
      <c r="I788" s="381"/>
      <c r="J788" s="381"/>
      <c r="K788" s="381"/>
      <c r="L788" s="381"/>
      <c r="M788" s="381"/>
      <c r="N788" s="381"/>
      <c r="O788" s="381"/>
      <c r="P788" s="381"/>
      <c r="Q788" s="381"/>
    </row>
    <row r="789" spans="1:17" s="304" customFormat="1" ht="18" hidden="1" customHeight="1">
      <c r="A789" s="172"/>
      <c r="B789" s="1080"/>
      <c r="C789" s="456" t="s">
        <v>573</v>
      </c>
      <c r="D789" s="263"/>
      <c r="E789" s="263"/>
      <c r="F789" s="263"/>
      <c r="G789" s="455"/>
      <c r="H789" s="381"/>
      <c r="I789" s="381"/>
      <c r="J789" s="381"/>
      <c r="K789" s="381"/>
      <c r="L789" s="381"/>
      <c r="M789" s="381"/>
      <c r="N789" s="381"/>
      <c r="O789" s="381"/>
      <c r="P789" s="381"/>
      <c r="Q789" s="381"/>
    </row>
    <row r="790" spans="1:17" s="304" customFormat="1" ht="18" hidden="1" customHeight="1">
      <c r="A790" s="323" t="s">
        <v>1050</v>
      </c>
      <c r="B790" s="1080"/>
      <c r="C790" s="323" t="s">
        <v>581</v>
      </c>
      <c r="D790" s="458">
        <v>0.7</v>
      </c>
      <c r="E790" s="263" t="s">
        <v>575</v>
      </c>
      <c r="F790" s="347">
        <f>'lead 1'!H107</f>
        <v>248</v>
      </c>
      <c r="G790" s="346">
        <f>ROUND(D790*F790,2)</f>
        <v>173.6</v>
      </c>
      <c r="H790" s="381"/>
      <c r="I790" s="381"/>
      <c r="J790" s="381"/>
      <c r="K790" s="381"/>
      <c r="L790" s="381"/>
      <c r="M790" s="381"/>
      <c r="N790" s="381"/>
      <c r="O790" s="381"/>
      <c r="P790" s="381"/>
      <c r="Q790" s="381"/>
    </row>
    <row r="791" spans="1:17" s="304" customFormat="1" ht="18" hidden="1" customHeight="1">
      <c r="A791" s="172"/>
      <c r="B791" s="1080"/>
      <c r="C791" s="323"/>
      <c r="D791" s="263"/>
      <c r="E791" s="263"/>
      <c r="F791" s="263"/>
      <c r="G791" s="457">
        <f>SUM(G790:G790)</f>
        <v>173.6</v>
      </c>
      <c r="H791" s="381"/>
      <c r="I791" s="381"/>
      <c r="J791" s="381"/>
      <c r="K791" s="381"/>
      <c r="L791" s="381"/>
      <c r="M791" s="381"/>
      <c r="N791" s="381"/>
      <c r="O791" s="381"/>
      <c r="P791" s="381"/>
      <c r="Q791" s="381"/>
    </row>
    <row r="792" spans="1:17" s="304" customFormat="1" ht="18" hidden="1" customHeight="1">
      <c r="A792" s="172"/>
      <c r="B792" s="1080"/>
      <c r="C792" s="1083" t="s">
        <v>585</v>
      </c>
      <c r="D792" s="263"/>
      <c r="E792" s="263"/>
      <c r="F792" s="263"/>
      <c r="G792" s="457">
        <f>G791+G788</f>
        <v>520.79999999999995</v>
      </c>
      <c r="H792" s="381"/>
      <c r="I792" s="381"/>
      <c r="J792" s="381"/>
      <c r="K792" s="381"/>
      <c r="L792" s="381"/>
      <c r="M792" s="381"/>
      <c r="N792" s="381"/>
      <c r="O792" s="381"/>
      <c r="P792" s="381"/>
      <c r="Q792" s="381"/>
    </row>
    <row r="793" spans="1:17" s="304" customFormat="1" ht="18" hidden="1" customHeight="1">
      <c r="A793" s="172"/>
      <c r="B793" s="1080"/>
      <c r="C793" s="1083" t="s">
        <v>586</v>
      </c>
      <c r="D793" s="263"/>
      <c r="E793" s="263"/>
      <c r="F793" s="263"/>
      <c r="G793" s="455"/>
      <c r="H793" s="381"/>
      <c r="I793" s="381"/>
      <c r="J793" s="381"/>
      <c r="K793" s="381"/>
      <c r="L793" s="381"/>
      <c r="M793" s="381"/>
      <c r="N793" s="381"/>
      <c r="O793" s="381"/>
      <c r="P793" s="381"/>
      <c r="Q793" s="381"/>
    </row>
    <row r="794" spans="1:17" s="304" customFormat="1" ht="18" hidden="1" customHeight="1">
      <c r="A794" s="172"/>
      <c r="B794" s="1080"/>
      <c r="C794" s="456" t="s">
        <v>430</v>
      </c>
      <c r="D794" s="263"/>
      <c r="E794" s="263"/>
      <c r="F794" s="263"/>
      <c r="G794" s="455"/>
      <c r="H794" s="381"/>
      <c r="I794" s="381"/>
      <c r="J794" s="381"/>
      <c r="K794" s="381"/>
      <c r="L794" s="381"/>
      <c r="M794" s="381"/>
      <c r="N794" s="381"/>
      <c r="O794" s="381"/>
      <c r="P794" s="381"/>
      <c r="Q794" s="381"/>
    </row>
    <row r="795" spans="1:17" s="304" customFormat="1" ht="18" hidden="1" customHeight="1">
      <c r="A795" s="172"/>
      <c r="B795" s="1080"/>
      <c r="C795" s="323" t="s">
        <v>571</v>
      </c>
      <c r="D795" s="347">
        <v>0.33</v>
      </c>
      <c r="E795" s="263" t="s">
        <v>572</v>
      </c>
      <c r="F795" s="347">
        <f>'lead 1'!C48</f>
        <v>580</v>
      </c>
      <c r="G795" s="346">
        <f>ROUND(D795*F795,2)</f>
        <v>191.4</v>
      </c>
      <c r="H795" s="381"/>
      <c r="I795" s="381"/>
      <c r="J795" s="381"/>
      <c r="K795" s="381"/>
      <c r="L795" s="381"/>
      <c r="M795" s="381"/>
      <c r="N795" s="381"/>
      <c r="O795" s="381"/>
      <c r="P795" s="381"/>
      <c r="Q795" s="381"/>
    </row>
    <row r="796" spans="1:17" s="304" customFormat="1" ht="18" hidden="1" customHeight="1">
      <c r="A796" s="172"/>
      <c r="B796" s="1080"/>
      <c r="C796" s="323" t="s">
        <v>1161</v>
      </c>
      <c r="D796" s="347">
        <v>0.77</v>
      </c>
      <c r="E796" s="263" t="s">
        <v>572</v>
      </c>
      <c r="F796" s="347">
        <f>'lead 1'!C49</f>
        <v>460</v>
      </c>
      <c r="G796" s="346">
        <f>ROUND(D796*F796,2)</f>
        <v>354.2</v>
      </c>
      <c r="H796" s="381"/>
      <c r="I796" s="381"/>
      <c r="J796" s="381"/>
      <c r="K796" s="381"/>
      <c r="L796" s="381"/>
      <c r="M796" s="381"/>
      <c r="N796" s="381"/>
      <c r="O796" s="381"/>
      <c r="P796" s="381"/>
      <c r="Q796" s="381"/>
    </row>
    <row r="797" spans="1:17" s="292" customFormat="1" ht="18" hidden="1" customHeight="1">
      <c r="B797" s="293"/>
      <c r="C797" s="320" t="s">
        <v>899</v>
      </c>
      <c r="E797" s="306">
        <f>D3</f>
        <v>0</v>
      </c>
      <c r="F797" s="287">
        <f>SUM(G795)</f>
        <v>191.4</v>
      </c>
      <c r="G797" s="297">
        <f>ROUND(F797*E797,2)</f>
        <v>0</v>
      </c>
      <c r="H797" s="381"/>
      <c r="I797" s="381"/>
      <c r="J797" s="381"/>
      <c r="K797" s="381"/>
      <c r="L797" s="381"/>
      <c r="M797" s="381"/>
      <c r="N797" s="381"/>
      <c r="O797" s="381"/>
      <c r="P797" s="381"/>
      <c r="Q797" s="381"/>
    </row>
    <row r="798" spans="1:17" s="304" customFormat="1" ht="18" hidden="1" customHeight="1">
      <c r="A798" s="172"/>
      <c r="B798" s="1080"/>
      <c r="C798" s="323"/>
      <c r="D798" s="347"/>
      <c r="E798" s="263"/>
      <c r="F798" s="347"/>
      <c r="G798" s="457">
        <f>SUM(G795:G797)</f>
        <v>545.6</v>
      </c>
      <c r="H798" s="381"/>
      <c r="I798" s="381"/>
      <c r="J798" s="381"/>
      <c r="K798" s="381"/>
      <c r="L798" s="381"/>
      <c r="M798" s="381"/>
      <c r="N798" s="381"/>
      <c r="O798" s="381"/>
      <c r="P798" s="381"/>
      <c r="Q798" s="381"/>
    </row>
    <row r="799" spans="1:17" s="304" customFormat="1" ht="18" hidden="1" customHeight="1">
      <c r="A799" s="172"/>
      <c r="B799" s="1080"/>
      <c r="C799" s="456" t="s">
        <v>573</v>
      </c>
      <c r="D799" s="263"/>
      <c r="E799" s="263"/>
      <c r="F799" s="263"/>
      <c r="G799" s="455"/>
      <c r="H799" s="381"/>
      <c r="I799" s="381"/>
      <c r="J799" s="381"/>
      <c r="K799" s="381"/>
      <c r="L799" s="381"/>
      <c r="M799" s="381"/>
      <c r="N799" s="381"/>
      <c r="O799" s="381"/>
      <c r="P799" s="381"/>
      <c r="Q799" s="381"/>
    </row>
    <row r="800" spans="1:17" s="304" customFormat="1" ht="18" hidden="1" customHeight="1">
      <c r="A800" s="323" t="s">
        <v>1050</v>
      </c>
      <c r="B800" s="1080"/>
      <c r="C800" s="323" t="s">
        <v>1046</v>
      </c>
      <c r="D800" s="458">
        <v>1.1000000000000001</v>
      </c>
      <c r="E800" s="263" t="s">
        <v>575</v>
      </c>
      <c r="F800" s="347">
        <f>'lead 1'!H107</f>
        <v>248</v>
      </c>
      <c r="G800" s="346">
        <f>ROUND(D800*F800,2)</f>
        <v>272.8</v>
      </c>
      <c r="H800" s="381"/>
      <c r="I800" s="381"/>
      <c r="J800" s="381"/>
      <c r="K800" s="381"/>
      <c r="L800" s="381"/>
      <c r="M800" s="381"/>
      <c r="N800" s="381"/>
      <c r="O800" s="381"/>
      <c r="P800" s="381"/>
      <c r="Q800" s="381"/>
    </row>
    <row r="801" spans="1:17" s="304" customFormat="1" ht="18" hidden="1" customHeight="1">
      <c r="A801" s="172"/>
      <c r="B801" s="1080"/>
      <c r="C801" s="323"/>
      <c r="D801" s="263"/>
      <c r="E801" s="263"/>
      <c r="F801" s="263"/>
      <c r="G801" s="457">
        <f>SUM(G800:G800)</f>
        <v>272.8</v>
      </c>
      <c r="H801" s="381"/>
      <c r="I801" s="381"/>
      <c r="J801" s="381"/>
      <c r="K801" s="381"/>
      <c r="L801" s="381"/>
      <c r="M801" s="381"/>
      <c r="N801" s="381"/>
      <c r="O801" s="381"/>
      <c r="P801" s="381"/>
      <c r="Q801" s="381"/>
    </row>
    <row r="802" spans="1:17" s="304" customFormat="1" ht="18" hidden="1" customHeight="1">
      <c r="A802" s="172"/>
      <c r="B802" s="1080"/>
      <c r="C802" s="1083" t="s">
        <v>576</v>
      </c>
      <c r="D802" s="263"/>
      <c r="E802" s="263"/>
      <c r="F802" s="263"/>
      <c r="G802" s="457">
        <v>0</v>
      </c>
      <c r="H802" s="381"/>
      <c r="I802" s="381"/>
      <c r="J802" s="381"/>
      <c r="K802" s="381"/>
      <c r="L802" s="381"/>
      <c r="M802" s="381"/>
      <c r="N802" s="381"/>
      <c r="O802" s="381"/>
      <c r="P802" s="381"/>
      <c r="Q802" s="381"/>
    </row>
    <row r="803" spans="1:17" s="304" customFormat="1" ht="18" hidden="1" customHeight="1">
      <c r="A803" s="172"/>
      <c r="B803" s="1080"/>
      <c r="C803" s="323" t="s">
        <v>577</v>
      </c>
      <c r="D803" s="263"/>
      <c r="E803" s="263"/>
      <c r="F803" s="263"/>
      <c r="G803" s="457">
        <f>G798+G801+G802+G792</f>
        <v>1339.2</v>
      </c>
      <c r="H803" s="381"/>
      <c r="I803" s="381"/>
      <c r="J803" s="381"/>
      <c r="K803" s="381"/>
      <c r="L803" s="381"/>
      <c r="M803" s="381"/>
      <c r="N803" s="381"/>
      <c r="O803" s="381"/>
      <c r="P803" s="381"/>
      <c r="Q803" s="381"/>
    </row>
    <row r="804" spans="1:17" s="304" customFormat="1" ht="18" hidden="1" customHeight="1">
      <c r="A804" s="172"/>
      <c r="B804" s="1080"/>
      <c r="C804" s="323" t="s">
        <v>696</v>
      </c>
      <c r="D804" s="263"/>
      <c r="E804" s="263"/>
      <c r="F804" s="263"/>
      <c r="G804" s="457">
        <f>ROUND(G803*D2,2)</f>
        <v>0</v>
      </c>
      <c r="H804" s="381"/>
      <c r="I804" s="381"/>
      <c r="J804" s="381"/>
      <c r="K804" s="381"/>
      <c r="L804" s="381"/>
      <c r="M804" s="381"/>
      <c r="N804" s="381"/>
      <c r="O804" s="381"/>
      <c r="P804" s="381"/>
      <c r="Q804" s="381"/>
    </row>
    <row r="805" spans="1:17" s="304" customFormat="1" ht="18" hidden="1" customHeight="1">
      <c r="A805" s="172"/>
      <c r="B805" s="1080"/>
      <c r="C805" s="323"/>
      <c r="D805" s="459" t="s">
        <v>578</v>
      </c>
      <c r="E805" s="263"/>
      <c r="F805" s="263"/>
      <c r="G805" s="1060">
        <f>ROUND(SUM(G803:G804)/10,2)</f>
        <v>133.91999999999999</v>
      </c>
      <c r="H805" s="381"/>
      <c r="I805" s="381"/>
      <c r="J805" s="381"/>
      <c r="K805" s="381"/>
      <c r="L805" s="381"/>
      <c r="M805" s="381"/>
      <c r="N805" s="381"/>
      <c r="O805" s="381"/>
      <c r="P805" s="381"/>
      <c r="Q805" s="381"/>
    </row>
    <row r="806" spans="1:17" s="292" customFormat="1" ht="60" hidden="1" customHeight="1">
      <c r="A806" s="293" t="s">
        <v>587</v>
      </c>
      <c r="B806" s="293">
        <f>B780+1</f>
        <v>43</v>
      </c>
      <c r="C806" s="1309" t="s">
        <v>588</v>
      </c>
      <c r="D806" s="1309"/>
      <c r="E806" s="1309"/>
      <c r="F806" s="1309"/>
      <c r="G806" s="1309"/>
      <c r="H806" s="381"/>
      <c r="I806" s="381"/>
      <c r="J806" s="381"/>
      <c r="K806" s="381"/>
      <c r="L806" s="381"/>
      <c r="M806" s="381"/>
      <c r="N806" s="381"/>
      <c r="O806" s="381"/>
      <c r="P806" s="381"/>
      <c r="Q806" s="381"/>
    </row>
    <row r="807" spans="1:17" s="304" customFormat="1" ht="18" hidden="1" customHeight="1">
      <c r="A807" s="301" t="s">
        <v>525</v>
      </c>
      <c r="B807" s="293"/>
      <c r="C807" s="304" t="s">
        <v>898</v>
      </c>
      <c r="D807" s="304" t="s">
        <v>589</v>
      </c>
      <c r="E807" s="304">
        <v>0.5</v>
      </c>
      <c r="F807" s="460">
        <f>'lead 1'!H105</f>
        <v>141</v>
      </c>
      <c r="G807" s="304">
        <f t="shared" ref="G807:G812" si="101">F807*E807</f>
        <v>70.5</v>
      </c>
      <c r="H807" s="381"/>
      <c r="I807" s="381"/>
      <c r="J807" s="381"/>
      <c r="K807" s="381"/>
      <c r="L807" s="381"/>
      <c r="M807" s="381"/>
      <c r="N807" s="381"/>
      <c r="O807" s="381"/>
      <c r="P807" s="381"/>
      <c r="Q807" s="381"/>
    </row>
    <row r="808" spans="1:17" s="304" customFormat="1" ht="18" hidden="1" customHeight="1">
      <c r="A808" s="293"/>
      <c r="B808" s="293"/>
      <c r="C808" s="304" t="s">
        <v>590</v>
      </c>
      <c r="D808" s="304" t="s">
        <v>95</v>
      </c>
      <c r="E808" s="304">
        <v>0.08</v>
      </c>
      <c r="F808" s="460">
        <f>'lead 1'!C48</f>
        <v>580</v>
      </c>
      <c r="G808" s="304">
        <f t="shared" si="101"/>
        <v>46.4</v>
      </c>
      <c r="H808" s="381"/>
      <c r="I808" s="381"/>
      <c r="J808" s="381"/>
      <c r="K808" s="381"/>
      <c r="L808" s="381"/>
      <c r="M808" s="381"/>
      <c r="N808" s="381"/>
      <c r="O808" s="381"/>
      <c r="P808" s="381"/>
      <c r="Q808" s="381"/>
    </row>
    <row r="809" spans="1:17" s="304" customFormat="1" ht="18" hidden="1" customHeight="1">
      <c r="A809" s="293"/>
      <c r="B809" s="293"/>
      <c r="C809" s="304" t="s">
        <v>591</v>
      </c>
      <c r="D809" s="304" t="s">
        <v>95</v>
      </c>
      <c r="E809" s="304">
        <v>0.19</v>
      </c>
      <c r="F809" s="460">
        <f>'lead 1'!M30</f>
        <v>460</v>
      </c>
      <c r="G809" s="304">
        <f t="shared" si="101"/>
        <v>87.4</v>
      </c>
      <c r="H809" s="381"/>
      <c r="I809" s="381"/>
      <c r="J809" s="381"/>
      <c r="K809" s="381"/>
      <c r="L809" s="381"/>
      <c r="M809" s="381"/>
      <c r="N809" s="381"/>
      <c r="O809" s="381"/>
      <c r="P809" s="381"/>
      <c r="Q809" s="381"/>
    </row>
    <row r="810" spans="1:17" s="304" customFormat="1" ht="18" hidden="1" customHeight="1">
      <c r="A810" s="301" t="s">
        <v>592</v>
      </c>
      <c r="B810" s="293"/>
      <c r="C810" s="304" t="s">
        <v>593</v>
      </c>
      <c r="D810" s="304" t="s">
        <v>589</v>
      </c>
      <c r="E810" s="304">
        <v>1.7</v>
      </c>
      <c r="F810" s="460">
        <v>81</v>
      </c>
      <c r="G810" s="304">
        <f t="shared" si="101"/>
        <v>137.69999999999999</v>
      </c>
      <c r="H810" s="381"/>
      <c r="I810" s="381"/>
      <c r="J810" s="381"/>
      <c r="K810" s="381"/>
      <c r="L810" s="381"/>
      <c r="M810" s="381"/>
      <c r="N810" s="381"/>
      <c r="O810" s="381"/>
      <c r="P810" s="381"/>
      <c r="Q810" s="381"/>
    </row>
    <row r="811" spans="1:17" s="304" customFormat="1" ht="18" hidden="1" customHeight="1">
      <c r="A811" s="293"/>
      <c r="B811" s="293"/>
      <c r="C811" s="304" t="s">
        <v>590</v>
      </c>
      <c r="D811" s="304" t="s">
        <v>95</v>
      </c>
      <c r="E811" s="304">
        <v>0.36</v>
      </c>
      <c r="F811" s="460">
        <f>F808</f>
        <v>580</v>
      </c>
      <c r="G811" s="304">
        <f t="shared" si="101"/>
        <v>208.79999999999998</v>
      </c>
      <c r="H811" s="381"/>
      <c r="I811" s="381"/>
      <c r="J811" s="381"/>
      <c r="K811" s="381"/>
      <c r="L811" s="381"/>
      <c r="M811" s="381"/>
      <c r="N811" s="381"/>
      <c r="O811" s="381"/>
      <c r="P811" s="381"/>
      <c r="Q811" s="381"/>
    </row>
    <row r="812" spans="1:17" s="304" customFormat="1" ht="18" hidden="1" customHeight="1">
      <c r="A812" s="293"/>
      <c r="B812" s="293"/>
      <c r="C812" s="304" t="s">
        <v>591</v>
      </c>
      <c r="D812" s="304" t="s">
        <v>95</v>
      </c>
      <c r="E812" s="304">
        <v>0.84</v>
      </c>
      <c r="F812" s="460">
        <f>'lead 1'!C49</f>
        <v>460</v>
      </c>
      <c r="G812" s="304">
        <f t="shared" si="101"/>
        <v>386.4</v>
      </c>
      <c r="H812" s="381"/>
      <c r="I812" s="381"/>
      <c r="J812" s="381"/>
      <c r="K812" s="381"/>
      <c r="L812" s="381"/>
      <c r="M812" s="381"/>
      <c r="N812" s="381"/>
      <c r="O812" s="381"/>
      <c r="P812" s="381"/>
      <c r="Q812" s="381"/>
    </row>
    <row r="813" spans="1:17" s="292" customFormat="1" ht="18" hidden="1" customHeight="1">
      <c r="B813" s="293"/>
      <c r="C813" s="320" t="s">
        <v>105</v>
      </c>
      <c r="E813" s="306">
        <v>0</v>
      </c>
      <c r="F813" s="287">
        <f>G808+G809+G811+G812</f>
        <v>729</v>
      </c>
      <c r="G813" s="297">
        <f>ROUND(F813*E813,2)</f>
        <v>0</v>
      </c>
      <c r="H813" s="381"/>
      <c r="I813" s="381"/>
      <c r="J813" s="381"/>
      <c r="K813" s="381"/>
      <c r="L813" s="381"/>
      <c r="M813" s="381"/>
      <c r="N813" s="381"/>
      <c r="O813" s="381"/>
      <c r="P813" s="381"/>
      <c r="Q813" s="381"/>
    </row>
    <row r="814" spans="1:17" s="304" customFormat="1" ht="18" hidden="1" customHeight="1">
      <c r="A814" s="293"/>
      <c r="B814" s="293"/>
      <c r="C814" s="304" t="s">
        <v>594</v>
      </c>
      <c r="G814" s="308">
        <f>SUM(G807:G813)</f>
        <v>937.19999999999993</v>
      </c>
      <c r="H814" s="381"/>
      <c r="I814" s="381"/>
      <c r="J814" s="381"/>
      <c r="K814" s="381"/>
      <c r="L814" s="381"/>
      <c r="M814" s="381"/>
      <c r="N814" s="381"/>
      <c r="O814" s="381"/>
      <c r="P814" s="381"/>
      <c r="Q814" s="381"/>
    </row>
    <row r="815" spans="1:17" s="304" customFormat="1" ht="18" hidden="1" customHeight="1">
      <c r="A815" s="293"/>
      <c r="B815" s="293"/>
      <c r="C815" s="304" t="s">
        <v>595</v>
      </c>
      <c r="F815" s="304">
        <v>0</v>
      </c>
      <c r="G815" s="308">
        <f>ROUND(F815*G814,2)</f>
        <v>0</v>
      </c>
      <c r="H815" s="381"/>
      <c r="I815" s="381"/>
      <c r="J815" s="381"/>
      <c r="K815" s="381"/>
      <c r="L815" s="381"/>
      <c r="M815" s="381"/>
      <c r="N815" s="381"/>
      <c r="O815" s="381"/>
      <c r="P815" s="381"/>
      <c r="Q815" s="381"/>
    </row>
    <row r="816" spans="1:17" s="304" customFormat="1" ht="18" hidden="1" customHeight="1">
      <c r="A816" s="293"/>
      <c r="B816" s="293"/>
      <c r="C816" s="304" t="s">
        <v>596</v>
      </c>
      <c r="G816" s="308">
        <f>ROUND(SUM(G814:G815),2)</f>
        <v>937.2</v>
      </c>
      <c r="H816" s="381"/>
      <c r="I816" s="381"/>
      <c r="J816" s="381"/>
      <c r="K816" s="381"/>
      <c r="L816" s="381"/>
      <c r="M816" s="381"/>
      <c r="N816" s="381"/>
      <c r="O816" s="381"/>
      <c r="P816" s="381"/>
      <c r="Q816" s="381"/>
    </row>
    <row r="817" spans="1:17" s="304" customFormat="1" ht="18" hidden="1" customHeight="1">
      <c r="A817" s="293"/>
      <c r="B817" s="293"/>
      <c r="C817" s="301" t="s">
        <v>597</v>
      </c>
      <c r="G817" s="461">
        <f>ROUND(G816/10,2)</f>
        <v>93.72</v>
      </c>
      <c r="H817" s="381"/>
      <c r="I817" s="381"/>
      <c r="J817" s="381"/>
      <c r="K817" s="381"/>
      <c r="L817" s="381"/>
      <c r="M817" s="381"/>
      <c r="N817" s="381"/>
      <c r="O817" s="381"/>
      <c r="P817" s="381"/>
      <c r="Q817" s="381"/>
    </row>
    <row r="818" spans="1:17" s="304" customFormat="1" ht="18" hidden="1" customHeight="1">
      <c r="A818" s="300"/>
      <c r="B818" s="1080"/>
      <c r="C818" s="1082"/>
      <c r="D818" s="297"/>
      <c r="E818" s="298" t="s">
        <v>409</v>
      </c>
      <c r="F818" s="298" t="s">
        <v>410</v>
      </c>
      <c r="G818" s="298" t="s">
        <v>411</v>
      </c>
      <c r="H818" s="381"/>
      <c r="I818" s="381"/>
      <c r="J818" s="381"/>
      <c r="K818" s="381"/>
      <c r="L818" s="381"/>
      <c r="M818" s="381"/>
      <c r="N818" s="381"/>
      <c r="O818" s="381"/>
      <c r="P818" s="381"/>
      <c r="Q818" s="381"/>
    </row>
    <row r="819" spans="1:17" s="304" customFormat="1" ht="18" hidden="1" customHeight="1">
      <c r="A819" s="300"/>
      <c r="B819" s="1080"/>
      <c r="C819" s="1082" t="s">
        <v>412</v>
      </c>
      <c r="D819" s="297"/>
      <c r="E819" s="297">
        <f>G816</f>
        <v>937.2</v>
      </c>
      <c r="F819" s="297">
        <f>E819</f>
        <v>937.2</v>
      </c>
      <c r="G819" s="297">
        <f>F819</f>
        <v>937.2</v>
      </c>
      <c r="H819" s="381"/>
      <c r="I819" s="381"/>
      <c r="J819" s="381"/>
      <c r="K819" s="381"/>
      <c r="L819" s="381"/>
      <c r="M819" s="381"/>
      <c r="N819" s="381"/>
      <c r="O819" s="381"/>
      <c r="P819" s="381"/>
      <c r="Q819" s="381"/>
    </row>
    <row r="820" spans="1:17" s="304" customFormat="1" ht="18" hidden="1" customHeight="1">
      <c r="A820" s="300"/>
      <c r="B820" s="1080"/>
      <c r="C820" s="1082" t="s">
        <v>692</v>
      </c>
      <c r="D820" s="287" t="s">
        <v>474</v>
      </c>
      <c r="E820" s="287">
        <v>23.7</v>
      </c>
      <c r="F820" s="287">
        <f>E820</f>
        <v>23.7</v>
      </c>
      <c r="G820" s="287">
        <f>E820</f>
        <v>23.7</v>
      </c>
      <c r="H820" s="381"/>
      <c r="I820" s="381"/>
      <c r="J820" s="381"/>
      <c r="K820" s="381"/>
      <c r="L820" s="381"/>
      <c r="M820" s="381"/>
      <c r="N820" s="381"/>
      <c r="O820" s="381"/>
      <c r="P820" s="381"/>
      <c r="Q820" s="381"/>
    </row>
    <row r="821" spans="1:17" s="304" customFormat="1" ht="24" hidden="1" customHeight="1">
      <c r="A821" s="300"/>
      <c r="B821" s="1080"/>
      <c r="C821" s="1082" t="s">
        <v>694</v>
      </c>
      <c r="D821" s="287" t="s">
        <v>474</v>
      </c>
      <c r="E821" s="287">
        <f>ROUND(D821*12.55,2)</f>
        <v>125.5</v>
      </c>
      <c r="F821" s="287">
        <f>ROUND(D821*17.64,2)</f>
        <v>176.4</v>
      </c>
      <c r="G821" s="287">
        <f>ROUND(D821*22.73,2)</f>
        <v>227.3</v>
      </c>
      <c r="H821" s="381"/>
      <c r="I821" s="381"/>
      <c r="J821" s="381"/>
      <c r="K821" s="381"/>
      <c r="L821" s="381"/>
      <c r="M821" s="381"/>
      <c r="N821" s="381"/>
      <c r="O821" s="381"/>
      <c r="P821" s="381"/>
      <c r="Q821" s="381"/>
    </row>
    <row r="822" spans="1:17" s="304" customFormat="1" ht="18" hidden="1" customHeight="1">
      <c r="A822" s="300"/>
      <c r="B822" s="1080"/>
      <c r="C822" s="1082" t="s">
        <v>479</v>
      </c>
      <c r="D822" s="297">
        <v>10</v>
      </c>
      <c r="E822" s="297">
        <v>0</v>
      </c>
      <c r="F822" s="297">
        <f>((SUM(F814)+E821)*D822/100)</f>
        <v>12.55</v>
      </c>
      <c r="G822" s="297">
        <f>F822*2</f>
        <v>25.1</v>
      </c>
      <c r="H822" s="381"/>
      <c r="I822" s="381"/>
      <c r="J822" s="381"/>
      <c r="K822" s="381"/>
      <c r="L822" s="381"/>
      <c r="M822" s="381"/>
      <c r="N822" s="381"/>
      <c r="O822" s="381"/>
      <c r="P822" s="381"/>
      <c r="Q822" s="381"/>
    </row>
    <row r="823" spans="1:17" s="304" customFormat="1" ht="24" hidden="1" customHeight="1">
      <c r="A823" s="300"/>
      <c r="B823" s="1080"/>
      <c r="C823" s="1082" t="s">
        <v>521</v>
      </c>
      <c r="D823" s="462" t="s">
        <v>522</v>
      </c>
      <c r="E823" s="297"/>
      <c r="F823" s="297"/>
      <c r="G823" s="297">
        <v>0</v>
      </c>
      <c r="H823" s="381"/>
      <c r="I823" s="381"/>
      <c r="J823" s="381"/>
      <c r="K823" s="381"/>
      <c r="L823" s="381"/>
      <c r="M823" s="381"/>
      <c r="N823" s="381"/>
      <c r="O823" s="381"/>
      <c r="P823" s="381"/>
      <c r="Q823" s="381"/>
    </row>
    <row r="824" spans="1:17" s="304" customFormat="1" ht="18" hidden="1" customHeight="1">
      <c r="A824" s="300"/>
      <c r="B824" s="1080"/>
      <c r="C824" s="1082"/>
      <c r="D824" s="462"/>
      <c r="E824" s="298">
        <f>SUM(E819:E823)</f>
        <v>1086.4000000000001</v>
      </c>
      <c r="F824" s="298">
        <f>SUM(F819:F823)</f>
        <v>1149.8500000000001</v>
      </c>
      <c r="G824" s="298">
        <f>SUM(G819:G823)</f>
        <v>1213.3</v>
      </c>
      <c r="H824" s="381"/>
      <c r="I824" s="381"/>
      <c r="J824" s="381"/>
      <c r="K824" s="381"/>
      <c r="L824" s="381"/>
      <c r="M824" s="381"/>
      <c r="N824" s="381"/>
      <c r="O824" s="381"/>
      <c r="P824" s="381"/>
      <c r="Q824" s="381"/>
    </row>
    <row r="825" spans="1:17" s="304" customFormat="1" ht="18" hidden="1" customHeight="1">
      <c r="A825" s="300"/>
      <c r="B825" s="1080"/>
      <c r="C825" s="1077" t="s">
        <v>695</v>
      </c>
      <c r="D825" s="462"/>
      <c r="E825" s="298">
        <f>ROUND(E824*13.615%,2)</f>
        <v>147.91</v>
      </c>
      <c r="F825" s="298">
        <f>ROUND(F824*13.615%,2)</f>
        <v>156.55000000000001</v>
      </c>
      <c r="G825" s="298">
        <f>ROUND(G824*13.615%,2)</f>
        <v>165.19</v>
      </c>
      <c r="H825" s="381"/>
      <c r="I825" s="381"/>
      <c r="J825" s="381"/>
      <c r="K825" s="381"/>
      <c r="L825" s="381"/>
      <c r="M825" s="381"/>
      <c r="N825" s="381"/>
      <c r="O825" s="381"/>
      <c r="P825" s="381"/>
      <c r="Q825" s="381"/>
    </row>
    <row r="826" spans="1:17" s="293" customFormat="1" ht="18" hidden="1" customHeight="1">
      <c r="C826" s="1084" t="s">
        <v>473</v>
      </c>
      <c r="D826" s="298"/>
      <c r="E826" s="298">
        <f>SUM(E824:E825)</f>
        <v>1234.3100000000002</v>
      </c>
      <c r="F826" s="298">
        <f>SUM(F824:F825)</f>
        <v>1306.4000000000001</v>
      </c>
      <c r="G826" s="298">
        <f>SUM(G824:G825)</f>
        <v>1378.49</v>
      </c>
      <c r="H826" s="381"/>
      <c r="I826" s="381"/>
      <c r="J826" s="381"/>
      <c r="K826" s="381"/>
      <c r="L826" s="381"/>
      <c r="M826" s="381"/>
      <c r="N826" s="381"/>
      <c r="O826" s="381"/>
      <c r="P826" s="381"/>
      <c r="Q826" s="381"/>
    </row>
    <row r="827" spans="1:17" s="293" customFormat="1" ht="18" hidden="1" customHeight="1">
      <c r="C827" s="1084" t="s">
        <v>476</v>
      </c>
      <c r="D827" s="298"/>
      <c r="E827" s="298">
        <f>ROUND(E826/10,2)</f>
        <v>123.43</v>
      </c>
      <c r="F827" s="298">
        <f>ROUND(F826/10,2)</f>
        <v>130.63999999999999</v>
      </c>
      <c r="G827" s="298">
        <f>ROUND(G826/10,2)</f>
        <v>137.85</v>
      </c>
      <c r="H827" s="381"/>
      <c r="I827" s="381"/>
      <c r="J827" s="381"/>
      <c r="K827" s="381"/>
      <c r="L827" s="381"/>
      <c r="M827" s="381"/>
      <c r="N827" s="381"/>
      <c r="O827" s="381"/>
      <c r="P827" s="381"/>
      <c r="Q827" s="381"/>
    </row>
    <row r="828" spans="1:17" s="293" customFormat="1" ht="18" hidden="1" customHeight="1">
      <c r="C828" s="1084"/>
      <c r="D828" s="298"/>
      <c r="E828" s="298"/>
      <c r="F828" s="298"/>
      <c r="G828" s="298"/>
      <c r="H828" s="381"/>
      <c r="I828" s="381"/>
      <c r="J828" s="381"/>
      <c r="K828" s="381"/>
      <c r="L828" s="381"/>
      <c r="M828" s="381"/>
      <c r="N828" s="381"/>
      <c r="O828" s="381"/>
      <c r="P828" s="381"/>
      <c r="Q828" s="381"/>
    </row>
    <row r="829" spans="1:17" s="304" customFormat="1" ht="17.100000000000001" hidden="1" customHeight="1">
      <c r="A829" s="1080"/>
      <c r="B829" s="271"/>
      <c r="C829" s="283" t="s">
        <v>697</v>
      </c>
      <c r="D829" s="352"/>
      <c r="E829" s="350"/>
      <c r="F829" s="350"/>
      <c r="G829" s="351"/>
      <c r="H829" s="381"/>
      <c r="I829" s="381"/>
      <c r="J829" s="381"/>
      <c r="K829" s="381"/>
      <c r="L829" s="381"/>
      <c r="M829" s="381"/>
      <c r="N829" s="381"/>
      <c r="O829" s="381"/>
      <c r="P829" s="381"/>
      <c r="Q829" s="381"/>
    </row>
    <row r="830" spans="1:17" s="1059" customFormat="1" ht="27.75" hidden="1" customHeight="1">
      <c r="A830" s="325"/>
      <c r="B830" s="326">
        <v>44</v>
      </c>
      <c r="C830" s="1309" t="s">
        <v>981</v>
      </c>
      <c r="D830" s="1309"/>
      <c r="E830" s="1309"/>
      <c r="F830" s="1309"/>
      <c r="G830" s="1309"/>
      <c r="H830" s="381"/>
      <c r="I830" s="381"/>
      <c r="J830" s="381"/>
      <c r="K830" s="381"/>
      <c r="L830" s="381"/>
      <c r="M830" s="381"/>
      <c r="N830" s="381"/>
      <c r="O830" s="381"/>
      <c r="P830" s="381"/>
      <c r="Q830" s="381"/>
    </row>
    <row r="831" spans="1:17" s="1059" customFormat="1" hidden="1">
      <c r="A831" s="325">
        <v>0.52600000000000002</v>
      </c>
      <c r="B831" s="326">
        <v>3.66</v>
      </c>
      <c r="C831" s="1077" t="s">
        <v>402</v>
      </c>
      <c r="D831" s="227" t="s">
        <v>107</v>
      </c>
      <c r="E831" s="328">
        <f>'lead 1'!C42</f>
        <v>420</v>
      </c>
      <c r="F831" s="227" t="s">
        <v>78</v>
      </c>
      <c r="G831" s="328">
        <f>ROUND(E831*A831*B831,2)</f>
        <v>808.57</v>
      </c>
      <c r="H831" s="381"/>
      <c r="I831" s="381"/>
      <c r="J831" s="381"/>
      <c r="K831" s="381"/>
      <c r="L831" s="381"/>
      <c r="M831" s="381"/>
      <c r="N831" s="381"/>
      <c r="O831" s="381"/>
      <c r="P831" s="381"/>
      <c r="Q831" s="381"/>
    </row>
    <row r="832" spans="1:17" s="1059" customFormat="1" hidden="1">
      <c r="A832" s="325">
        <v>0.56000000000000005</v>
      </c>
      <c r="B832" s="326">
        <v>2</v>
      </c>
      <c r="C832" s="1077" t="s">
        <v>403</v>
      </c>
      <c r="D832" s="227"/>
      <c r="E832" s="328">
        <f>'lead 1'!C42</f>
        <v>420</v>
      </c>
      <c r="F832" s="227"/>
      <c r="G832" s="328">
        <f>ROUND(E832*A832*B832,2)</f>
        <v>470.4</v>
      </c>
      <c r="H832" s="381"/>
      <c r="I832" s="381"/>
      <c r="J832" s="381"/>
      <c r="K832" s="381"/>
      <c r="L832" s="381"/>
      <c r="M832" s="381"/>
      <c r="N832" s="381"/>
      <c r="O832" s="381"/>
      <c r="P832" s="381"/>
      <c r="Q832" s="381"/>
    </row>
    <row r="833" spans="1:17" s="1059" customFormat="1" hidden="1">
      <c r="A833" s="325"/>
      <c r="B833" s="326"/>
      <c r="C833" s="299" t="s">
        <v>698</v>
      </c>
      <c r="D833" s="227"/>
      <c r="E833" s="327"/>
      <c r="F833" s="227"/>
      <c r="G833" s="328">
        <f>ROUND(SUM(G831:G832)*D1,2)</f>
        <v>0</v>
      </c>
      <c r="H833" s="381"/>
      <c r="I833" s="381"/>
      <c r="J833" s="381"/>
      <c r="K833" s="381"/>
      <c r="L833" s="381"/>
      <c r="M833" s="381"/>
      <c r="N833" s="381"/>
      <c r="O833" s="381"/>
      <c r="P833" s="381"/>
      <c r="Q833" s="381"/>
    </row>
    <row r="834" spans="1:17" s="1059" customFormat="1" hidden="1">
      <c r="A834" s="325"/>
      <c r="B834" s="326"/>
      <c r="C834" s="299" t="s">
        <v>900</v>
      </c>
      <c r="D834" s="227"/>
      <c r="E834" s="328">
        <f>SUM(G831:G832)</f>
        <v>1278.97</v>
      </c>
      <c r="F834" s="227"/>
      <c r="G834" s="328">
        <f>ROUND(SUM(G831:G832)*D3,2)</f>
        <v>0</v>
      </c>
      <c r="H834" s="381"/>
      <c r="I834" s="381"/>
      <c r="J834" s="381"/>
      <c r="K834" s="381"/>
      <c r="L834" s="381"/>
      <c r="M834" s="381"/>
      <c r="N834" s="381"/>
      <c r="O834" s="381"/>
      <c r="P834" s="381"/>
      <c r="Q834" s="381"/>
    </row>
    <row r="835" spans="1:17" s="1059" customFormat="1" hidden="1">
      <c r="A835" s="325"/>
      <c r="B835" s="326"/>
      <c r="C835" s="1077"/>
      <c r="D835" s="227"/>
      <c r="E835" s="327"/>
      <c r="F835" s="227"/>
      <c r="G835" s="328">
        <f>SUM(G831:G834)</f>
        <v>1278.97</v>
      </c>
      <c r="H835" s="381"/>
      <c r="I835" s="381"/>
      <c r="J835" s="381"/>
      <c r="K835" s="381"/>
      <c r="L835" s="381"/>
      <c r="M835" s="381"/>
      <c r="N835" s="381"/>
      <c r="O835" s="381"/>
      <c r="P835" s="381"/>
      <c r="Q835" s="381"/>
    </row>
    <row r="836" spans="1:17" s="1059" customFormat="1" hidden="1">
      <c r="A836" s="325"/>
      <c r="B836" s="326"/>
      <c r="C836" s="283" t="s">
        <v>699</v>
      </c>
      <c r="D836" s="227"/>
      <c r="E836" s="327"/>
      <c r="F836" s="227"/>
      <c r="G836" s="328"/>
      <c r="H836" s="381"/>
      <c r="I836" s="381"/>
      <c r="J836" s="381"/>
      <c r="K836" s="381"/>
      <c r="L836" s="381"/>
      <c r="M836" s="381"/>
      <c r="N836" s="381"/>
      <c r="O836" s="381"/>
      <c r="P836" s="381"/>
      <c r="Q836" s="381"/>
    </row>
    <row r="837" spans="1:17" s="1059" customFormat="1" ht="26.25" hidden="1" customHeight="1">
      <c r="A837" s="325"/>
      <c r="B837" s="326">
        <v>45</v>
      </c>
      <c r="C837" s="1309" t="s">
        <v>982</v>
      </c>
      <c r="D837" s="1309"/>
      <c r="E837" s="1309"/>
      <c r="F837" s="1309"/>
      <c r="G837" s="1309"/>
      <c r="H837" s="381"/>
      <c r="I837" s="381"/>
      <c r="J837" s="381"/>
      <c r="K837" s="381"/>
      <c r="L837" s="381"/>
      <c r="M837" s="381"/>
      <c r="N837" s="381"/>
      <c r="O837" s="381"/>
      <c r="P837" s="381"/>
      <c r="Q837" s="381"/>
    </row>
    <row r="838" spans="1:17" s="1059" customFormat="1" hidden="1">
      <c r="A838" s="325">
        <v>0.63100000000000001</v>
      </c>
      <c r="B838" s="326">
        <v>4</v>
      </c>
      <c r="C838" s="1077" t="s">
        <v>700</v>
      </c>
      <c r="D838" s="227" t="s">
        <v>107</v>
      </c>
      <c r="E838" s="328">
        <f>'lead 1'!C42</f>
        <v>420</v>
      </c>
      <c r="F838" s="227" t="s">
        <v>78</v>
      </c>
      <c r="G838" s="328">
        <f>ROUND(E838*A838*B838,2)</f>
        <v>1060.08</v>
      </c>
      <c r="H838" s="381"/>
      <c r="I838" s="381"/>
      <c r="J838" s="381"/>
      <c r="K838" s="381"/>
      <c r="L838" s="381"/>
      <c r="M838" s="381"/>
      <c r="N838" s="381"/>
      <c r="O838" s="381"/>
      <c r="P838" s="381"/>
      <c r="Q838" s="381"/>
    </row>
    <row r="839" spans="1:17" s="1059" customFormat="1" hidden="1">
      <c r="A839" s="325">
        <v>0.78900000000000003</v>
      </c>
      <c r="B839" s="326">
        <v>2</v>
      </c>
      <c r="C839" s="1077" t="s">
        <v>403</v>
      </c>
      <c r="D839" s="227"/>
      <c r="E839" s="328">
        <f>'lead 1'!C42</f>
        <v>420</v>
      </c>
      <c r="F839" s="227"/>
      <c r="G839" s="328">
        <f>ROUND(E839*A839*B839,2)</f>
        <v>662.76</v>
      </c>
      <c r="H839" s="381"/>
      <c r="I839" s="381"/>
      <c r="J839" s="381"/>
      <c r="K839" s="381"/>
      <c r="L839" s="381"/>
      <c r="M839" s="381"/>
      <c r="N839" s="381"/>
      <c r="O839" s="381"/>
      <c r="P839" s="381"/>
      <c r="Q839" s="381"/>
    </row>
    <row r="840" spans="1:17" s="1059" customFormat="1" hidden="1">
      <c r="A840" s="325"/>
      <c r="B840" s="326"/>
      <c r="C840" s="299" t="s">
        <v>698</v>
      </c>
      <c r="D840" s="227"/>
      <c r="E840" s="327"/>
      <c r="F840" s="227"/>
      <c r="G840" s="328">
        <f>ROUND(SUM(G838:G839)*D2,2)</f>
        <v>0</v>
      </c>
      <c r="H840" s="381"/>
      <c r="I840" s="381"/>
      <c r="J840" s="381"/>
      <c r="K840" s="381"/>
      <c r="L840" s="381"/>
      <c r="M840" s="381"/>
      <c r="N840" s="381"/>
      <c r="O840" s="381"/>
      <c r="P840" s="381"/>
      <c r="Q840" s="381"/>
    </row>
    <row r="841" spans="1:17" s="1059" customFormat="1" hidden="1">
      <c r="A841" s="325"/>
      <c r="B841" s="326"/>
      <c r="C841" s="299" t="s">
        <v>900</v>
      </c>
      <c r="D841" s="227"/>
      <c r="E841" s="328">
        <f>SUM(G838:G839)</f>
        <v>1722.84</v>
      </c>
      <c r="F841" s="227"/>
      <c r="G841" s="328">
        <f>ROUND(SUM(G838:G839)*D3,2)</f>
        <v>0</v>
      </c>
      <c r="H841" s="381"/>
      <c r="I841" s="381"/>
      <c r="J841" s="381"/>
      <c r="K841" s="381"/>
      <c r="L841" s="381"/>
      <c r="M841" s="381"/>
      <c r="N841" s="381"/>
      <c r="O841" s="381"/>
      <c r="P841" s="381"/>
      <c r="Q841" s="381"/>
    </row>
    <row r="842" spans="1:17" s="1059" customFormat="1" hidden="1">
      <c r="A842" s="325"/>
      <c r="B842" s="326"/>
      <c r="C842" s="299"/>
      <c r="D842" s="227"/>
      <c r="E842" s="327"/>
      <c r="F842" s="227"/>
      <c r="G842" s="328">
        <f>SUM(G838:G841)</f>
        <v>1722.84</v>
      </c>
      <c r="H842" s="381"/>
      <c r="I842" s="381"/>
      <c r="J842" s="381"/>
      <c r="K842" s="381"/>
      <c r="L842" s="381"/>
      <c r="M842" s="381"/>
      <c r="N842" s="381"/>
      <c r="O842" s="381"/>
      <c r="P842" s="381"/>
      <c r="Q842" s="381"/>
    </row>
    <row r="843" spans="1:17" s="1059" customFormat="1" hidden="1">
      <c r="A843" s="325"/>
      <c r="B843" s="326"/>
      <c r="C843" s="283" t="s">
        <v>701</v>
      </c>
      <c r="D843" s="227"/>
      <c r="E843" s="327"/>
      <c r="F843" s="227"/>
      <c r="G843" s="328"/>
      <c r="H843" s="381"/>
      <c r="I843" s="381"/>
      <c r="J843" s="381"/>
      <c r="K843" s="381"/>
      <c r="L843" s="381"/>
      <c r="M843" s="381"/>
      <c r="N843" s="381"/>
      <c r="O843" s="381"/>
      <c r="P843" s="381"/>
      <c r="Q843" s="381"/>
    </row>
    <row r="844" spans="1:17" s="1059" customFormat="1" ht="23.25" hidden="1" customHeight="1">
      <c r="A844" s="325"/>
      <c r="B844" s="326">
        <v>46</v>
      </c>
      <c r="C844" s="1309" t="s">
        <v>983</v>
      </c>
      <c r="D844" s="1309"/>
      <c r="E844" s="1309"/>
      <c r="F844" s="1309"/>
      <c r="G844" s="1309"/>
      <c r="H844" s="381"/>
      <c r="I844" s="381"/>
      <c r="J844" s="381"/>
      <c r="K844" s="381"/>
      <c r="L844" s="381"/>
      <c r="M844" s="381"/>
      <c r="N844" s="381"/>
      <c r="O844" s="381"/>
      <c r="P844" s="381"/>
      <c r="Q844" s="381"/>
    </row>
    <row r="845" spans="1:17" s="1059" customFormat="1" hidden="1">
      <c r="A845" s="325">
        <v>0.78900000000000003</v>
      </c>
      <c r="B845" s="326">
        <v>3.66</v>
      </c>
      <c r="C845" s="1077" t="s">
        <v>700</v>
      </c>
      <c r="D845" s="227" t="s">
        <v>107</v>
      </c>
      <c r="E845" s="328">
        <f>'lead 1'!C42</f>
        <v>420</v>
      </c>
      <c r="F845" s="227" t="s">
        <v>78</v>
      </c>
      <c r="G845" s="328">
        <f>ROUND(E845*A845*B845,2)</f>
        <v>1212.8499999999999</v>
      </c>
      <c r="H845" s="381"/>
      <c r="I845" s="381"/>
      <c r="J845" s="381"/>
      <c r="K845" s="381"/>
      <c r="L845" s="381"/>
      <c r="M845" s="381"/>
      <c r="N845" s="381"/>
      <c r="O845" s="381"/>
      <c r="P845" s="381"/>
      <c r="Q845" s="381"/>
    </row>
    <row r="846" spans="1:17" s="1059" customFormat="1" hidden="1">
      <c r="A846" s="325">
        <v>0.98599999999999999</v>
      </c>
      <c r="B846" s="326">
        <v>2</v>
      </c>
      <c r="C846" s="1077" t="s">
        <v>403</v>
      </c>
      <c r="D846" s="227" t="s">
        <v>107</v>
      </c>
      <c r="E846" s="328">
        <f>'lead 1'!C42</f>
        <v>420</v>
      </c>
      <c r="F846" s="227" t="s">
        <v>78</v>
      </c>
      <c r="G846" s="328">
        <f>ROUND(E846*A846*B846,2)</f>
        <v>828.24</v>
      </c>
      <c r="H846" s="381"/>
      <c r="I846" s="381"/>
      <c r="J846" s="381"/>
      <c r="K846" s="381"/>
      <c r="L846" s="381"/>
      <c r="M846" s="381"/>
      <c r="N846" s="381"/>
      <c r="O846" s="381"/>
      <c r="P846" s="381"/>
      <c r="Q846" s="381"/>
    </row>
    <row r="847" spans="1:17" s="1059" customFormat="1" hidden="1">
      <c r="A847" s="325"/>
      <c r="B847" s="326"/>
      <c r="C847" s="299" t="s">
        <v>698</v>
      </c>
      <c r="D847" s="227"/>
      <c r="E847" s="327"/>
      <c r="F847" s="227"/>
      <c r="G847" s="328">
        <f>ROUND(SUM(G845:G846)*D2,2)</f>
        <v>0</v>
      </c>
      <c r="H847" s="381"/>
      <c r="I847" s="381"/>
      <c r="J847" s="381"/>
      <c r="K847" s="381"/>
      <c r="L847" s="381"/>
      <c r="M847" s="381"/>
      <c r="N847" s="381"/>
      <c r="O847" s="381"/>
      <c r="P847" s="381"/>
      <c r="Q847" s="381"/>
    </row>
    <row r="848" spans="1:17" s="1059" customFormat="1" hidden="1">
      <c r="A848" s="325"/>
      <c r="B848" s="326"/>
      <c r="C848" s="299" t="s">
        <v>900</v>
      </c>
      <c r="D848" s="227"/>
      <c r="E848" s="328">
        <f>SUM(G845:G846)</f>
        <v>2041.09</v>
      </c>
      <c r="F848" s="227"/>
      <c r="G848" s="328">
        <f>ROUND(SUM(G845:G846)*D3,2)</f>
        <v>0</v>
      </c>
      <c r="H848" s="381"/>
      <c r="I848" s="381"/>
      <c r="J848" s="381"/>
      <c r="K848" s="381"/>
      <c r="L848" s="381"/>
      <c r="M848" s="381"/>
      <c r="N848" s="381"/>
      <c r="O848" s="381"/>
      <c r="P848" s="381"/>
      <c r="Q848" s="381"/>
    </row>
    <row r="849" spans="1:17" s="1059" customFormat="1" hidden="1">
      <c r="A849" s="325"/>
      <c r="B849" s="326"/>
      <c r="C849" s="299"/>
      <c r="D849" s="227"/>
      <c r="E849" s="327"/>
      <c r="F849" s="227"/>
      <c r="G849" s="328">
        <f>SUM(G845:G848)</f>
        <v>2041.09</v>
      </c>
      <c r="H849" s="381"/>
      <c r="I849" s="381"/>
      <c r="J849" s="381"/>
      <c r="K849" s="381"/>
      <c r="L849" s="381"/>
      <c r="M849" s="381"/>
      <c r="N849" s="381"/>
      <c r="O849" s="381"/>
      <c r="P849" s="381"/>
      <c r="Q849" s="381"/>
    </row>
    <row r="850" spans="1:17" s="308" customFormat="1" ht="20.100000000000001" hidden="1" customHeight="1">
      <c r="A850" s="172" t="s">
        <v>31</v>
      </c>
      <c r="B850" s="1080">
        <v>47</v>
      </c>
      <c r="C850" s="1399" t="s">
        <v>32</v>
      </c>
      <c r="D850" s="1399"/>
      <c r="E850" s="1399"/>
      <c r="F850" s="1399"/>
      <c r="G850" s="1399"/>
      <c r="H850" s="381"/>
      <c r="I850" s="381"/>
      <c r="J850" s="381"/>
      <c r="K850" s="381"/>
      <c r="L850" s="381"/>
      <c r="M850" s="381"/>
      <c r="N850" s="381"/>
      <c r="O850" s="381"/>
      <c r="P850" s="381"/>
      <c r="Q850" s="381"/>
    </row>
    <row r="851" spans="1:17" s="304" customFormat="1" ht="21" hidden="1" customHeight="1">
      <c r="A851" s="263"/>
      <c r="B851" s="1080"/>
      <c r="C851" s="1084" t="s">
        <v>33</v>
      </c>
      <c r="D851" s="300"/>
      <c r="E851" s="1061"/>
      <c r="F851" s="320"/>
      <c r="G851" s="285"/>
      <c r="H851" s="381"/>
      <c r="I851" s="381"/>
      <c r="J851" s="381"/>
      <c r="K851" s="381"/>
      <c r="L851" s="381"/>
      <c r="M851" s="381"/>
      <c r="N851" s="381"/>
      <c r="O851" s="381"/>
      <c r="P851" s="381"/>
      <c r="Q851" s="381"/>
    </row>
    <row r="852" spans="1:17" s="304" customFormat="1" ht="17.100000000000001" hidden="1" customHeight="1">
      <c r="A852" s="1080"/>
      <c r="B852" s="1080" t="s">
        <v>34</v>
      </c>
      <c r="C852" s="1084" t="s">
        <v>367</v>
      </c>
      <c r="D852" s="300"/>
      <c r="E852" s="300"/>
      <c r="F852" s="320"/>
      <c r="G852" s="285"/>
      <c r="H852" s="381"/>
      <c r="I852" s="381"/>
      <c r="J852" s="381"/>
      <c r="K852" s="381"/>
      <c r="L852" s="381"/>
      <c r="M852" s="381"/>
      <c r="N852" s="381"/>
      <c r="O852" s="381"/>
      <c r="P852" s="381"/>
      <c r="Q852" s="381"/>
    </row>
    <row r="853" spans="1:17" s="304" customFormat="1" ht="17.100000000000001" hidden="1" customHeight="1">
      <c r="A853" s="1080"/>
      <c r="B853" s="1080"/>
      <c r="C853" s="1082" t="s">
        <v>35</v>
      </c>
      <c r="D853" s="303">
        <v>5.1999999999999998E-2</v>
      </c>
      <c r="E853" s="323" t="s">
        <v>161</v>
      </c>
      <c r="F853" s="320">
        <f>'lead 1'!H42</f>
        <v>52453.5</v>
      </c>
      <c r="G853" s="320">
        <f>ROUND(F853*D853,2)</f>
        <v>2727.58</v>
      </c>
      <c r="H853" s="381"/>
      <c r="I853" s="381"/>
      <c r="J853" s="381"/>
      <c r="K853" s="381"/>
      <c r="L853" s="381"/>
      <c r="M853" s="381"/>
      <c r="N853" s="381"/>
      <c r="O853" s="381"/>
      <c r="P853" s="381"/>
      <c r="Q853" s="381"/>
    </row>
    <row r="854" spans="1:17" s="304" customFormat="1" ht="29.25" hidden="1" customHeight="1">
      <c r="A854" s="1080"/>
      <c r="B854" s="1080"/>
      <c r="C854" s="1082" t="s">
        <v>36</v>
      </c>
      <c r="D854" s="303">
        <v>5.1999999999999998E-2</v>
      </c>
      <c r="E854" s="1062" t="s">
        <v>161</v>
      </c>
      <c r="F854" s="320">
        <f>G969</f>
        <v>12050.4</v>
      </c>
      <c r="G854" s="320">
        <f>ROUND(F854*D854,2)</f>
        <v>626.62</v>
      </c>
      <c r="H854" s="381"/>
      <c r="I854" s="381"/>
      <c r="J854" s="381"/>
      <c r="K854" s="381"/>
      <c r="L854" s="381"/>
      <c r="M854" s="381"/>
      <c r="N854" s="381"/>
      <c r="O854" s="381"/>
      <c r="P854" s="381"/>
      <c r="Q854" s="381"/>
    </row>
    <row r="855" spans="1:17" s="304" customFormat="1" ht="16.5" hidden="1" customHeight="1">
      <c r="A855" s="263"/>
      <c r="B855" s="300"/>
      <c r="C855" s="349" t="s">
        <v>162</v>
      </c>
      <c r="D855" s="292"/>
      <c r="E855" s="292"/>
      <c r="F855" s="292"/>
      <c r="G855" s="320"/>
      <c r="H855" s="381"/>
      <c r="I855" s="381"/>
      <c r="J855" s="381"/>
      <c r="K855" s="381"/>
      <c r="L855" s="381"/>
      <c r="M855" s="381"/>
      <c r="N855" s="381"/>
      <c r="O855" s="381"/>
      <c r="P855" s="381"/>
      <c r="Q855" s="381"/>
    </row>
    <row r="856" spans="1:17" s="304" customFormat="1" ht="17.100000000000001" hidden="1" customHeight="1">
      <c r="A856" s="1080"/>
      <c r="B856" s="1080"/>
      <c r="C856" s="1082" t="s">
        <v>404</v>
      </c>
      <c r="D856" s="1045">
        <v>20</v>
      </c>
      <c r="E856" s="1062" t="s">
        <v>206</v>
      </c>
      <c r="F856" s="320">
        <f>ROUND('lead 1'!H89+'lead 1'!H90+('lead 1'!M9/1000),2)</f>
        <v>70.5</v>
      </c>
      <c r="G856" s="320">
        <f t="shared" ref="G856:G863" si="102">ROUND(F856*D856,2)</f>
        <v>1410</v>
      </c>
      <c r="H856" s="381"/>
      <c r="I856" s="381"/>
      <c r="J856" s="381"/>
      <c r="K856" s="381"/>
      <c r="L856" s="381"/>
      <c r="M856" s="381"/>
      <c r="N856" s="381"/>
      <c r="O856" s="381"/>
      <c r="P856" s="381"/>
      <c r="Q856" s="381"/>
    </row>
    <row r="857" spans="1:17" s="304" customFormat="1" ht="17.100000000000001" hidden="1" customHeight="1">
      <c r="A857" s="1080"/>
      <c r="B857" s="1080"/>
      <c r="C857" s="283" t="s">
        <v>37</v>
      </c>
      <c r="D857" s="303"/>
      <c r="E857" s="1061"/>
      <c r="F857" s="320"/>
      <c r="G857" s="285"/>
      <c r="H857" s="381"/>
      <c r="I857" s="381"/>
      <c r="J857" s="381"/>
      <c r="K857" s="381"/>
      <c r="L857" s="381"/>
      <c r="M857" s="381"/>
      <c r="N857" s="381"/>
      <c r="O857" s="381"/>
      <c r="P857" s="381"/>
      <c r="Q857" s="381"/>
    </row>
    <row r="858" spans="1:17" s="304" customFormat="1" ht="17.100000000000001" hidden="1" customHeight="1">
      <c r="A858" s="1080"/>
      <c r="B858" s="1080"/>
      <c r="C858" s="299" t="s">
        <v>38</v>
      </c>
      <c r="D858" s="1045">
        <v>4</v>
      </c>
      <c r="E858" s="323" t="s">
        <v>39</v>
      </c>
      <c r="F858" s="1045">
        <v>15</v>
      </c>
      <c r="G858" s="320">
        <f t="shared" si="102"/>
        <v>60</v>
      </c>
      <c r="H858" s="381"/>
      <c r="I858" s="381"/>
      <c r="J858" s="381"/>
      <c r="K858" s="381"/>
      <c r="L858" s="381"/>
      <c r="M858" s="381"/>
      <c r="N858" s="381"/>
      <c r="O858" s="381"/>
      <c r="P858" s="381"/>
      <c r="Q858" s="381"/>
    </row>
    <row r="859" spans="1:17" s="304" customFormat="1" ht="17.100000000000001" hidden="1" customHeight="1">
      <c r="A859" s="1080"/>
      <c r="B859" s="1080"/>
      <c r="C859" s="299" t="s">
        <v>40</v>
      </c>
      <c r="D859" s="1045">
        <v>6</v>
      </c>
      <c r="E859" s="323" t="s">
        <v>39</v>
      </c>
      <c r="F859" s="1045">
        <f>'lead 1'!H95</f>
        <v>24</v>
      </c>
      <c r="G859" s="320">
        <f t="shared" si="102"/>
        <v>144</v>
      </c>
      <c r="H859" s="381"/>
      <c r="I859" s="381"/>
      <c r="J859" s="381"/>
      <c r="K859" s="381"/>
      <c r="L859" s="381"/>
      <c r="M859" s="381"/>
      <c r="N859" s="381"/>
      <c r="O859" s="381"/>
      <c r="P859" s="381"/>
      <c r="Q859" s="381"/>
    </row>
    <row r="860" spans="1:17" s="304" customFormat="1" ht="17.100000000000001" hidden="1" customHeight="1">
      <c r="A860" s="1080"/>
      <c r="B860" s="1080"/>
      <c r="C860" s="299" t="s">
        <v>41</v>
      </c>
      <c r="D860" s="1045">
        <v>6</v>
      </c>
      <c r="E860" s="323" t="s">
        <v>39</v>
      </c>
      <c r="F860" s="1045">
        <f>'lead 1'!H98</f>
        <v>11</v>
      </c>
      <c r="G860" s="320">
        <f t="shared" si="102"/>
        <v>66</v>
      </c>
      <c r="H860" s="381"/>
      <c r="I860" s="381"/>
      <c r="J860" s="381"/>
      <c r="K860" s="381"/>
      <c r="L860" s="381"/>
      <c r="M860" s="381"/>
      <c r="N860" s="381"/>
      <c r="O860" s="381"/>
      <c r="P860" s="381"/>
      <c r="Q860" s="381"/>
    </row>
    <row r="861" spans="1:17" s="304" customFormat="1" ht="17.100000000000001" hidden="1" customHeight="1">
      <c r="A861" s="1080"/>
      <c r="B861" s="1080"/>
      <c r="C861" s="299" t="s">
        <v>901</v>
      </c>
      <c r="D861" s="1045">
        <v>2</v>
      </c>
      <c r="E861" s="323" t="s">
        <v>39</v>
      </c>
      <c r="F861" s="1045">
        <f>'lead 1'!H101</f>
        <v>45</v>
      </c>
      <c r="G861" s="320">
        <f t="shared" si="102"/>
        <v>90</v>
      </c>
      <c r="H861" s="381"/>
      <c r="I861" s="381"/>
      <c r="J861" s="381"/>
      <c r="K861" s="381"/>
      <c r="L861" s="381"/>
      <c r="M861" s="381"/>
      <c r="N861" s="381"/>
      <c r="O861" s="381"/>
      <c r="P861" s="381"/>
      <c r="Q861" s="381"/>
    </row>
    <row r="862" spans="1:17" s="304" customFormat="1" ht="17.100000000000001" hidden="1" customHeight="1">
      <c r="A862" s="1080"/>
      <c r="B862" s="1080"/>
      <c r="C862" s="299" t="s">
        <v>43</v>
      </c>
      <c r="D862" s="1045">
        <v>3</v>
      </c>
      <c r="E862" s="323" t="s">
        <v>39</v>
      </c>
      <c r="F862" s="1045">
        <f>'lead 1'!H104</f>
        <v>45</v>
      </c>
      <c r="G862" s="320">
        <f t="shared" si="102"/>
        <v>135</v>
      </c>
      <c r="H862" s="381"/>
      <c r="I862" s="381"/>
      <c r="J862" s="381"/>
      <c r="K862" s="381"/>
      <c r="L862" s="381"/>
      <c r="M862" s="381"/>
      <c r="N862" s="381"/>
      <c r="O862" s="381"/>
      <c r="P862" s="381"/>
      <c r="Q862" s="381"/>
    </row>
    <row r="863" spans="1:17" s="304" customFormat="1" ht="17.100000000000001" hidden="1" customHeight="1">
      <c r="A863" s="1080"/>
      <c r="B863" s="1080"/>
      <c r="C863" s="299" t="s">
        <v>702</v>
      </c>
      <c r="D863" s="1045">
        <v>1</v>
      </c>
      <c r="E863" s="323" t="s">
        <v>45</v>
      </c>
      <c r="F863" s="1045">
        <f>'lead 1'!H87</f>
        <v>130</v>
      </c>
      <c r="G863" s="320">
        <f t="shared" si="102"/>
        <v>130</v>
      </c>
      <c r="H863" s="381"/>
      <c r="I863" s="381"/>
      <c r="J863" s="381"/>
      <c r="K863" s="381"/>
      <c r="L863" s="381"/>
      <c r="M863" s="381"/>
      <c r="N863" s="381"/>
      <c r="O863" s="381"/>
      <c r="P863" s="381"/>
      <c r="Q863" s="381"/>
    </row>
    <row r="864" spans="1:17" s="304" customFormat="1" ht="17.100000000000001" hidden="1" customHeight="1">
      <c r="A864" s="1080"/>
      <c r="B864" s="1080"/>
      <c r="C864" s="299" t="s">
        <v>698</v>
      </c>
      <c r="D864" s="1045"/>
      <c r="E864" s="323"/>
      <c r="F864" s="1045"/>
      <c r="G864" s="1045"/>
      <c r="H864" s="381"/>
      <c r="I864" s="381"/>
      <c r="J864" s="381"/>
      <c r="K864" s="381"/>
      <c r="L864" s="381"/>
      <c r="M864" s="381"/>
      <c r="N864" s="381"/>
      <c r="O864" s="381"/>
      <c r="P864" s="381"/>
      <c r="Q864" s="381"/>
    </row>
    <row r="865" spans="1:17" s="304" customFormat="1" ht="17.100000000000001" hidden="1" customHeight="1">
      <c r="A865" s="1080"/>
      <c r="B865" s="1080"/>
      <c r="C865" s="1082" t="s">
        <v>46</v>
      </c>
      <c r="D865" s="300"/>
      <c r="E865" s="1061"/>
      <c r="F865" s="320"/>
      <c r="G865" s="285">
        <f>SUM(G853:G864)</f>
        <v>5389.2</v>
      </c>
      <c r="H865" s="381"/>
      <c r="I865" s="381"/>
      <c r="J865" s="381"/>
      <c r="K865" s="381"/>
      <c r="L865" s="381"/>
      <c r="M865" s="381"/>
      <c r="N865" s="381"/>
      <c r="O865" s="381"/>
      <c r="P865" s="381"/>
      <c r="Q865" s="381"/>
    </row>
    <row r="866" spans="1:17" s="304" customFormat="1" ht="17.100000000000001" hidden="1" customHeight="1">
      <c r="A866" s="1080"/>
      <c r="B866" s="1080"/>
      <c r="C866" s="1082"/>
      <c r="D866" s="300"/>
      <c r="E866" s="320"/>
      <c r="F866" s="451" t="s">
        <v>47</v>
      </c>
      <c r="G866" s="351">
        <f>ROUND(SUM(G865:G865),1)</f>
        <v>5389.2</v>
      </c>
      <c r="H866" s="381"/>
      <c r="I866" s="381"/>
      <c r="J866" s="381"/>
      <c r="K866" s="381"/>
      <c r="L866" s="381"/>
      <c r="M866" s="381"/>
      <c r="N866" s="381"/>
      <c r="O866" s="381"/>
      <c r="P866" s="381"/>
      <c r="Q866" s="381"/>
    </row>
    <row r="867" spans="1:17" s="304" customFormat="1" ht="17.100000000000001" hidden="1" customHeight="1">
      <c r="A867" s="1080"/>
      <c r="B867" s="1080"/>
      <c r="C867" s="1084" t="s">
        <v>706</v>
      </c>
      <c r="D867" s="300"/>
      <c r="E867" s="320"/>
      <c r="F867" s="451"/>
      <c r="G867" s="351">
        <f>ROUND(((G866*1.2*1.2)/(0.9*1.2)),2)</f>
        <v>7185.6</v>
      </c>
      <c r="H867" s="381"/>
      <c r="I867" s="381"/>
      <c r="J867" s="381"/>
      <c r="K867" s="381"/>
      <c r="L867" s="381"/>
      <c r="M867" s="381"/>
      <c r="N867" s="381"/>
      <c r="O867" s="381"/>
      <c r="P867" s="381"/>
      <c r="Q867" s="381"/>
    </row>
    <row r="868" spans="1:17" s="304" customFormat="1" ht="17.100000000000001" hidden="1" customHeight="1">
      <c r="A868" s="1080"/>
      <c r="B868" s="1080"/>
      <c r="C868" s="299" t="s">
        <v>698</v>
      </c>
      <c r="D868" s="300"/>
      <c r="E868" s="320"/>
      <c r="F868" s="451"/>
      <c r="G868" s="351">
        <f>ROUND(G867*D2,2)</f>
        <v>0</v>
      </c>
      <c r="H868" s="381"/>
      <c r="I868" s="381"/>
      <c r="J868" s="381"/>
      <c r="K868" s="381"/>
      <c r="L868" s="381"/>
      <c r="M868" s="381"/>
      <c r="N868" s="381"/>
      <c r="O868" s="381"/>
      <c r="P868" s="381"/>
      <c r="Q868" s="381"/>
    </row>
    <row r="869" spans="1:17" s="304" customFormat="1" ht="17.100000000000001" hidden="1" customHeight="1">
      <c r="A869" s="1080"/>
      <c r="B869" s="1080"/>
      <c r="C869" s="1082"/>
      <c r="D869" s="300"/>
      <c r="E869" s="320"/>
      <c r="F869" s="451"/>
      <c r="G869" s="351">
        <f>SUM(G867:G868)</f>
        <v>7185.6</v>
      </c>
      <c r="H869" s="381"/>
      <c r="I869" s="381"/>
      <c r="J869" s="381"/>
      <c r="K869" s="381"/>
      <c r="L869" s="381"/>
      <c r="M869" s="381"/>
      <c r="N869" s="381"/>
      <c r="O869" s="381"/>
      <c r="P869" s="381"/>
      <c r="Q869" s="381"/>
    </row>
    <row r="870" spans="1:17" s="304" customFormat="1" ht="17.100000000000001" hidden="1" customHeight="1">
      <c r="A870" s="1080"/>
      <c r="B870" s="1080"/>
      <c r="C870" s="1084" t="s">
        <v>703</v>
      </c>
      <c r="D870" s="300"/>
      <c r="E870" s="320"/>
      <c r="F870" s="451"/>
      <c r="G870" s="351">
        <f>ROUND(((G865*0.75*0.9)/(0.9*1.2)),2)</f>
        <v>3368.25</v>
      </c>
      <c r="H870" s="381"/>
      <c r="I870" s="381"/>
      <c r="J870" s="381"/>
      <c r="K870" s="381"/>
      <c r="L870" s="381"/>
      <c r="M870" s="381"/>
      <c r="N870" s="381"/>
      <c r="O870" s="381"/>
      <c r="P870" s="381"/>
      <c r="Q870" s="381"/>
    </row>
    <row r="871" spans="1:17" s="304" customFormat="1" ht="17.100000000000001" hidden="1" customHeight="1">
      <c r="A871" s="1080"/>
      <c r="B871" s="1080"/>
      <c r="C871" s="299" t="s">
        <v>698</v>
      </c>
      <c r="D871" s="300"/>
      <c r="E871" s="320"/>
      <c r="F871" s="451"/>
      <c r="G871" s="351">
        <f>ROUND(G870*D2,2)</f>
        <v>0</v>
      </c>
      <c r="H871" s="381"/>
      <c r="I871" s="381"/>
      <c r="J871" s="381"/>
      <c r="K871" s="381"/>
      <c r="L871" s="381"/>
      <c r="M871" s="381"/>
      <c r="N871" s="381"/>
      <c r="O871" s="381"/>
      <c r="P871" s="381"/>
      <c r="Q871" s="381"/>
    </row>
    <row r="872" spans="1:17" s="304" customFormat="1" ht="17.100000000000001" hidden="1" customHeight="1">
      <c r="A872" s="1080"/>
      <c r="B872" s="1080"/>
      <c r="C872" s="1082"/>
      <c r="D872" s="300"/>
      <c r="E872" s="320"/>
      <c r="F872" s="451"/>
      <c r="G872" s="351">
        <f>SUM(G870:G871)</f>
        <v>3368.25</v>
      </c>
      <c r="H872" s="381"/>
      <c r="I872" s="381"/>
      <c r="J872" s="381"/>
      <c r="K872" s="381"/>
      <c r="L872" s="381"/>
      <c r="M872" s="381"/>
      <c r="N872" s="381"/>
      <c r="O872" s="381"/>
      <c r="P872" s="381"/>
      <c r="Q872" s="381"/>
    </row>
    <row r="873" spans="1:17" s="1059" customFormat="1" ht="78.75" hidden="1" customHeight="1">
      <c r="A873" s="1080"/>
      <c r="B873" s="189">
        <v>48</v>
      </c>
      <c r="C873" s="1309" t="s">
        <v>911</v>
      </c>
      <c r="D873" s="1309"/>
      <c r="E873" s="1309"/>
      <c r="F873" s="1309"/>
      <c r="G873" s="1309"/>
      <c r="H873" s="381"/>
      <c r="I873" s="381"/>
      <c r="J873" s="381"/>
      <c r="K873" s="381"/>
      <c r="L873" s="381"/>
      <c r="M873" s="381"/>
      <c r="N873" s="381"/>
      <c r="O873" s="381"/>
      <c r="P873" s="381"/>
      <c r="Q873" s="381"/>
    </row>
    <row r="874" spans="1:17" s="304" customFormat="1" ht="17.100000000000001" hidden="1" customHeight="1">
      <c r="A874" s="1080"/>
      <c r="B874" s="271"/>
      <c r="C874" s="283" t="s">
        <v>49</v>
      </c>
      <c r="D874" s="300"/>
      <c r="E874" s="303"/>
      <c r="F874" s="303"/>
      <c r="G874" s="303"/>
      <c r="H874" s="381"/>
      <c r="I874" s="381"/>
      <c r="J874" s="381"/>
      <c r="K874" s="381"/>
      <c r="L874" s="381"/>
      <c r="M874" s="381"/>
      <c r="N874" s="381"/>
      <c r="O874" s="381"/>
      <c r="P874" s="381"/>
      <c r="Q874" s="381"/>
    </row>
    <row r="875" spans="1:17" s="304" customFormat="1" ht="17.100000000000001" hidden="1" customHeight="1">
      <c r="A875" s="1080"/>
      <c r="B875" s="271"/>
      <c r="C875" s="283" t="s">
        <v>50</v>
      </c>
      <c r="D875" s="300"/>
      <c r="E875" s="303"/>
      <c r="F875" s="303"/>
      <c r="G875" s="303"/>
      <c r="H875" s="381"/>
      <c r="I875" s="381"/>
      <c r="J875" s="381"/>
      <c r="K875" s="381"/>
      <c r="L875" s="381"/>
      <c r="M875" s="381"/>
      <c r="N875" s="381"/>
      <c r="O875" s="381"/>
      <c r="P875" s="381"/>
      <c r="Q875" s="381"/>
    </row>
    <row r="876" spans="1:17" s="304" customFormat="1" ht="17.100000000000001" hidden="1" customHeight="1">
      <c r="A876" s="1080"/>
      <c r="B876" s="271"/>
      <c r="C876" s="299" t="s">
        <v>51</v>
      </c>
      <c r="D876" s="300">
        <v>2</v>
      </c>
      <c r="E876" s="1045">
        <v>2.1</v>
      </c>
      <c r="F876" s="1045">
        <v>0.1</v>
      </c>
      <c r="G876" s="303">
        <v>7.4999999999999997E-2</v>
      </c>
      <c r="H876" s="442">
        <f>ROUND(G876*F876*E876*D876,4)</f>
        <v>3.15E-2</v>
      </c>
      <c r="I876" s="381"/>
      <c r="J876" s="381"/>
      <c r="K876" s="381"/>
      <c r="L876" s="381"/>
      <c r="M876" s="381"/>
      <c r="N876" s="381"/>
      <c r="O876" s="381"/>
      <c r="P876" s="381"/>
      <c r="Q876" s="381"/>
    </row>
    <row r="877" spans="1:17" s="304" customFormat="1" ht="17.100000000000001" hidden="1" customHeight="1">
      <c r="A877" s="1080"/>
      <c r="B877" s="271"/>
      <c r="C877" s="299" t="s">
        <v>52</v>
      </c>
      <c r="D877" s="300">
        <v>2</v>
      </c>
      <c r="E877" s="1045">
        <v>0.625</v>
      </c>
      <c r="F877" s="1045">
        <v>0.1</v>
      </c>
      <c r="G877" s="303">
        <v>7.4999999999999997E-2</v>
      </c>
      <c r="H877" s="442">
        <f>ROUND(G877*F877*E877*D877,4)</f>
        <v>9.4000000000000004E-3</v>
      </c>
      <c r="I877" s="381"/>
      <c r="J877" s="381"/>
      <c r="K877" s="381"/>
      <c r="L877" s="381"/>
      <c r="M877" s="381"/>
      <c r="N877" s="381"/>
      <c r="O877" s="381"/>
      <c r="P877" s="381"/>
      <c r="Q877" s="381"/>
    </row>
    <row r="878" spans="1:17" s="304" customFormat="1" ht="17.100000000000001" hidden="1" customHeight="1">
      <c r="A878" s="1080"/>
      <c r="B878" s="271"/>
      <c r="C878" s="299" t="s">
        <v>53</v>
      </c>
      <c r="D878" s="300">
        <v>1</v>
      </c>
      <c r="E878" s="303">
        <v>0.75</v>
      </c>
      <c r="F878" s="303">
        <v>7.4999999999999997E-2</v>
      </c>
      <c r="G878" s="303">
        <v>3.7999999999999999E-2</v>
      </c>
      <c r="H878" s="442">
        <f>ROUND(G878*F878*E878*D878,4)</f>
        <v>2.0999999999999999E-3</v>
      </c>
      <c r="I878" s="381"/>
      <c r="J878" s="381"/>
      <c r="K878" s="381"/>
      <c r="L878" s="381"/>
      <c r="M878" s="381"/>
      <c r="N878" s="381"/>
      <c r="O878" s="381"/>
      <c r="P878" s="381"/>
      <c r="Q878" s="381"/>
    </row>
    <row r="879" spans="1:17" s="304" customFormat="1" ht="17.100000000000001" hidden="1" customHeight="1">
      <c r="A879" s="1080"/>
      <c r="B879" s="271"/>
      <c r="C879" s="283" t="s">
        <v>733</v>
      </c>
      <c r="D879" s="300">
        <v>2</v>
      </c>
      <c r="E879" s="303">
        <v>2.04</v>
      </c>
      <c r="F879" s="303">
        <v>0.125</v>
      </c>
      <c r="G879" s="303">
        <v>3.7999999999999999E-2</v>
      </c>
      <c r="H879" s="442"/>
      <c r="I879" s="381"/>
      <c r="J879" s="381"/>
      <c r="K879" s="381"/>
      <c r="L879" s="381"/>
      <c r="M879" s="381"/>
      <c r="N879" s="381"/>
      <c r="O879" s="381"/>
      <c r="P879" s="381"/>
      <c r="Q879" s="381"/>
    </row>
    <row r="880" spans="1:17" s="304" customFormat="1" ht="17.100000000000001" hidden="1" customHeight="1">
      <c r="A880" s="1080"/>
      <c r="B880" s="271"/>
      <c r="C880" s="283" t="s">
        <v>734</v>
      </c>
      <c r="D880" s="300">
        <v>5</v>
      </c>
      <c r="E880" s="303">
        <v>0.625</v>
      </c>
      <c r="F880" s="303">
        <v>0.125</v>
      </c>
      <c r="G880" s="303">
        <v>3.7999999999999999E-2</v>
      </c>
      <c r="H880" s="442"/>
      <c r="I880" s="381"/>
      <c r="J880" s="381"/>
      <c r="K880" s="381"/>
      <c r="L880" s="381"/>
      <c r="M880" s="381"/>
      <c r="N880" s="381"/>
      <c r="O880" s="381"/>
      <c r="P880" s="381"/>
      <c r="Q880" s="381"/>
    </row>
    <row r="881" spans="1:17" s="304" customFormat="1" ht="17.100000000000001" hidden="1" customHeight="1">
      <c r="A881" s="1080"/>
      <c r="B881" s="271"/>
      <c r="C881" s="283" t="s">
        <v>56</v>
      </c>
      <c r="D881" s="300">
        <v>4</v>
      </c>
      <c r="E881" s="303">
        <v>0.47499999999999998</v>
      </c>
      <c r="F881" s="303">
        <v>0.35</v>
      </c>
      <c r="G881" s="303">
        <v>2.5000000000000001E-2</v>
      </c>
      <c r="H881" s="442"/>
      <c r="I881" s="381"/>
      <c r="J881" s="381"/>
      <c r="K881" s="381"/>
      <c r="L881" s="381"/>
      <c r="M881" s="381"/>
      <c r="N881" s="381"/>
      <c r="O881" s="381"/>
      <c r="P881" s="381"/>
      <c r="Q881" s="381"/>
    </row>
    <row r="882" spans="1:17" s="304" customFormat="1" ht="17.100000000000001" hidden="1" customHeight="1">
      <c r="A882" s="1080"/>
      <c r="B882" s="271"/>
      <c r="C882" s="283"/>
      <c r="D882" s="300"/>
      <c r="E882" s="303"/>
      <c r="F882" s="303"/>
      <c r="G882" s="303"/>
      <c r="H882" s="442">
        <f>SUM(H876:H881)</f>
        <v>4.2999999999999997E-2</v>
      </c>
      <c r="I882" s="381"/>
      <c r="J882" s="381"/>
      <c r="K882" s="381"/>
      <c r="L882" s="381"/>
      <c r="M882" s="381"/>
      <c r="N882" s="381"/>
      <c r="O882" s="381"/>
      <c r="P882" s="381"/>
      <c r="Q882" s="381"/>
    </row>
    <row r="883" spans="1:17" s="304" customFormat="1" ht="17.100000000000001" hidden="1" customHeight="1">
      <c r="A883" s="1080"/>
      <c r="B883" s="271"/>
      <c r="C883" s="283" t="s">
        <v>37</v>
      </c>
      <c r="D883" s="300"/>
      <c r="E883" s="303"/>
      <c r="F883" s="303"/>
      <c r="G883" s="1045"/>
      <c r="H883" s="381"/>
      <c r="I883" s="381"/>
      <c r="J883" s="381"/>
      <c r="K883" s="381"/>
      <c r="L883" s="381"/>
      <c r="M883" s="381"/>
      <c r="N883" s="381"/>
      <c r="O883" s="381"/>
      <c r="P883" s="381"/>
      <c r="Q883" s="381"/>
    </row>
    <row r="884" spans="1:17" s="304" customFormat="1" ht="17.100000000000001" hidden="1" customHeight="1">
      <c r="A884" s="1080"/>
      <c r="B884" s="271"/>
      <c r="C884" s="283" t="s">
        <v>57</v>
      </c>
      <c r="D884" s="300" t="s">
        <v>161</v>
      </c>
      <c r="E884" s="1063">
        <f>H882</f>
        <v>4.2999999999999997E-2</v>
      </c>
      <c r="F884" s="1045">
        <f>'lead 1'!H42</f>
        <v>52453.5</v>
      </c>
      <c r="G884" s="302">
        <f>ROUND(F884*E884,2)</f>
        <v>2255.5</v>
      </c>
      <c r="H884" s="381"/>
      <c r="I884" s="381"/>
      <c r="J884" s="381"/>
      <c r="K884" s="381"/>
      <c r="L884" s="381"/>
      <c r="M884" s="381"/>
      <c r="N884" s="381"/>
      <c r="O884" s="381"/>
      <c r="P884" s="381"/>
      <c r="Q884" s="381"/>
    </row>
    <row r="885" spans="1:17" s="304" customFormat="1" ht="17.100000000000001" hidden="1" customHeight="1">
      <c r="A885" s="1080"/>
      <c r="B885" s="271"/>
      <c r="C885" s="299" t="s">
        <v>105</v>
      </c>
      <c r="D885" s="300" t="s">
        <v>112</v>
      </c>
      <c r="E885" s="1063">
        <v>9.1200000000000003E-2</v>
      </c>
      <c r="F885" s="1064">
        <f>G969</f>
        <v>12050.4</v>
      </c>
      <c r="G885" s="302">
        <f>ROUND(F885*E885,2)</f>
        <v>1099</v>
      </c>
      <c r="H885" s="381"/>
      <c r="I885" s="381"/>
      <c r="J885" s="381"/>
      <c r="K885" s="381"/>
      <c r="L885" s="381"/>
      <c r="M885" s="381"/>
      <c r="N885" s="381"/>
      <c r="O885" s="381"/>
      <c r="P885" s="381"/>
      <c r="Q885" s="381"/>
    </row>
    <row r="886" spans="1:17" s="304" customFormat="1" ht="24.75" hidden="1" customHeight="1">
      <c r="A886" s="271" t="s">
        <v>906</v>
      </c>
      <c r="B886" s="1065">
        <v>49</v>
      </c>
      <c r="C886" s="299" t="s">
        <v>905</v>
      </c>
      <c r="D886" s="300" t="s">
        <v>625</v>
      </c>
      <c r="E886" s="1063">
        <v>1.575</v>
      </c>
      <c r="F886" s="1064">
        <v>1960</v>
      </c>
      <c r="G886" s="302">
        <f>ROUND(F886*E886,2)</f>
        <v>3087</v>
      </c>
      <c r="H886" s="381"/>
      <c r="I886" s="381"/>
      <c r="J886" s="381"/>
      <c r="K886" s="381"/>
      <c r="L886" s="381"/>
      <c r="M886" s="381"/>
      <c r="N886" s="381"/>
      <c r="O886" s="381"/>
      <c r="P886" s="381"/>
      <c r="Q886" s="381"/>
    </row>
    <row r="887" spans="1:17" s="304" customFormat="1" ht="16.5" hidden="1" customHeight="1">
      <c r="A887" s="263"/>
      <c r="B887" s="300"/>
      <c r="C887" s="349" t="s">
        <v>162</v>
      </c>
      <c r="D887" s="292"/>
      <c r="E887" s="292"/>
      <c r="F887" s="292"/>
      <c r="G887" s="346"/>
      <c r="H887" s="381"/>
      <c r="I887" s="381"/>
      <c r="J887" s="381"/>
      <c r="K887" s="381"/>
      <c r="L887" s="381"/>
      <c r="M887" s="381"/>
      <c r="N887" s="381"/>
      <c r="O887" s="381"/>
      <c r="P887" s="381"/>
      <c r="Q887" s="381"/>
    </row>
    <row r="888" spans="1:17" s="304" customFormat="1" ht="17.100000000000001" hidden="1" customHeight="1">
      <c r="A888" s="1080"/>
      <c r="B888" s="271"/>
      <c r="C888" s="283" t="s">
        <v>37</v>
      </c>
      <c r="D888" s="300"/>
      <c r="E888" s="303"/>
      <c r="F888" s="303"/>
      <c r="G888" s="303"/>
      <c r="H888" s="381"/>
      <c r="I888" s="381"/>
      <c r="J888" s="381"/>
      <c r="K888" s="381"/>
      <c r="L888" s="381"/>
      <c r="M888" s="381"/>
      <c r="N888" s="381"/>
      <c r="O888" s="381"/>
      <c r="P888" s="381"/>
      <c r="Q888" s="381"/>
    </row>
    <row r="889" spans="1:17" s="304" customFormat="1" ht="17.100000000000001" hidden="1" customHeight="1">
      <c r="A889" s="1080" t="s">
        <v>993</v>
      </c>
      <c r="B889" s="271"/>
      <c r="C889" s="299" t="s">
        <v>715</v>
      </c>
      <c r="D889" s="303" t="s">
        <v>39</v>
      </c>
      <c r="E889" s="300">
        <v>6</v>
      </c>
      <c r="F889" s="1045">
        <v>32</v>
      </c>
      <c r="G889" s="302">
        <f t="shared" ref="G889:G896" si="103">E889*F889</f>
        <v>192</v>
      </c>
      <c r="H889" s="381"/>
      <c r="I889" s="381"/>
      <c r="J889" s="381"/>
      <c r="K889" s="381"/>
      <c r="L889" s="381"/>
      <c r="M889" s="381"/>
      <c r="N889" s="381"/>
      <c r="O889" s="381"/>
      <c r="P889" s="381"/>
      <c r="Q889" s="381"/>
    </row>
    <row r="890" spans="1:17" s="304" customFormat="1" ht="17.100000000000001" hidden="1" customHeight="1">
      <c r="A890" s="1080" t="s">
        <v>994</v>
      </c>
      <c r="B890" s="271"/>
      <c r="C890" s="299" t="s">
        <v>902</v>
      </c>
      <c r="D890" s="303" t="s">
        <v>39</v>
      </c>
      <c r="E890" s="300">
        <v>1</v>
      </c>
      <c r="F890" s="1045">
        <f>'lead 1'!H102</f>
        <v>98</v>
      </c>
      <c r="G890" s="302">
        <f t="shared" si="103"/>
        <v>98</v>
      </c>
      <c r="H890" s="381"/>
      <c r="I890" s="381"/>
      <c r="J890" s="381"/>
      <c r="K890" s="381"/>
      <c r="L890" s="381"/>
      <c r="M890" s="381"/>
      <c r="N890" s="381"/>
      <c r="O890" s="381"/>
      <c r="P890" s="381"/>
      <c r="Q890" s="381"/>
    </row>
    <row r="891" spans="1:17" s="304" customFormat="1" ht="17.100000000000001" hidden="1" customHeight="1">
      <c r="A891" s="1080" t="s">
        <v>995</v>
      </c>
      <c r="B891" s="271"/>
      <c r="C891" s="299" t="s">
        <v>903</v>
      </c>
      <c r="D891" s="303" t="s">
        <v>39</v>
      </c>
      <c r="E891" s="300">
        <v>1</v>
      </c>
      <c r="F891" s="1045">
        <f>'lead 1'!H96</f>
        <v>35</v>
      </c>
      <c r="G891" s="302">
        <f t="shared" si="103"/>
        <v>35</v>
      </c>
      <c r="H891" s="381"/>
      <c r="I891" s="381"/>
      <c r="J891" s="381"/>
      <c r="K891" s="381"/>
      <c r="L891" s="381"/>
      <c r="M891" s="381"/>
      <c r="N891" s="381"/>
      <c r="O891" s="381"/>
      <c r="P891" s="381"/>
      <c r="Q891" s="381"/>
    </row>
    <row r="892" spans="1:17" s="304" customFormat="1" ht="17.100000000000001" hidden="1" customHeight="1">
      <c r="A892" s="1080" t="s">
        <v>996</v>
      </c>
      <c r="B892" s="271"/>
      <c r="C892" s="299" t="s">
        <v>904</v>
      </c>
      <c r="D892" s="303" t="s">
        <v>39</v>
      </c>
      <c r="E892" s="300">
        <v>1</v>
      </c>
      <c r="F892" s="1045">
        <f>'lead 1'!H97</f>
        <v>51</v>
      </c>
      <c r="G892" s="302">
        <f t="shared" si="103"/>
        <v>51</v>
      </c>
      <c r="H892" s="381"/>
      <c r="I892" s="381"/>
      <c r="J892" s="381"/>
      <c r="K892" s="381"/>
      <c r="L892" s="381"/>
      <c r="M892" s="381"/>
      <c r="N892" s="381"/>
      <c r="O892" s="381"/>
      <c r="P892" s="381"/>
      <c r="Q892" s="381"/>
    </row>
    <row r="893" spans="1:17" s="304" customFormat="1" ht="17.100000000000001" hidden="1" customHeight="1">
      <c r="A893" s="1080" t="s">
        <v>998</v>
      </c>
      <c r="B893" s="271"/>
      <c r="C893" s="299" t="s">
        <v>997</v>
      </c>
      <c r="D893" s="303" t="s">
        <v>39</v>
      </c>
      <c r="E893" s="300">
        <v>3</v>
      </c>
      <c r="F893" s="1045">
        <f>'lead 1'!H100</f>
        <v>31</v>
      </c>
      <c r="G893" s="302">
        <f t="shared" si="103"/>
        <v>93</v>
      </c>
      <c r="H893" s="381"/>
      <c r="I893" s="381"/>
      <c r="J893" s="381"/>
      <c r="K893" s="381"/>
      <c r="L893" s="381"/>
      <c r="M893" s="381"/>
      <c r="N893" s="381"/>
      <c r="O893" s="381"/>
      <c r="P893" s="381"/>
      <c r="Q893" s="381"/>
    </row>
    <row r="894" spans="1:17" s="304" customFormat="1" ht="17.100000000000001" hidden="1" customHeight="1">
      <c r="A894" s="1080" t="s">
        <v>999</v>
      </c>
      <c r="B894" s="271"/>
      <c r="C894" s="299" t="s">
        <v>395</v>
      </c>
      <c r="D894" s="303" t="s">
        <v>39</v>
      </c>
      <c r="E894" s="300">
        <v>1</v>
      </c>
      <c r="F894" s="1045">
        <f>'lead 1'!H104</f>
        <v>45</v>
      </c>
      <c r="G894" s="302">
        <f t="shared" si="103"/>
        <v>45</v>
      </c>
      <c r="H894" s="381"/>
      <c r="I894" s="381"/>
      <c r="J894" s="381"/>
      <c r="K894" s="381"/>
      <c r="L894" s="381"/>
      <c r="M894" s="381"/>
      <c r="N894" s="381"/>
      <c r="O894" s="381"/>
      <c r="P894" s="381"/>
      <c r="Q894" s="381"/>
    </row>
    <row r="895" spans="1:17" s="304" customFormat="1" ht="17.100000000000001" hidden="1" customHeight="1">
      <c r="A895" s="1080" t="s">
        <v>1000</v>
      </c>
      <c r="B895" s="271"/>
      <c r="C895" s="299" t="s">
        <v>704</v>
      </c>
      <c r="D895" s="303" t="s">
        <v>39</v>
      </c>
      <c r="E895" s="300">
        <v>2</v>
      </c>
      <c r="F895" s="1045">
        <f>'lead 1'!H101</f>
        <v>45</v>
      </c>
      <c r="G895" s="302">
        <f t="shared" si="103"/>
        <v>90</v>
      </c>
      <c r="H895" s="381"/>
      <c r="I895" s="381"/>
      <c r="J895" s="381"/>
      <c r="K895" s="381"/>
      <c r="L895" s="381"/>
      <c r="M895" s="381"/>
      <c r="N895" s="381"/>
      <c r="O895" s="381"/>
      <c r="P895" s="381"/>
      <c r="Q895" s="381"/>
    </row>
    <row r="896" spans="1:17" s="304" customFormat="1" ht="17.100000000000001" hidden="1" customHeight="1">
      <c r="A896" s="1080"/>
      <c r="B896" s="271"/>
      <c r="C896" s="299" t="s">
        <v>702</v>
      </c>
      <c r="D896" s="1045" t="s">
        <v>705</v>
      </c>
      <c r="E896" s="300">
        <v>1</v>
      </c>
      <c r="F896" s="1045">
        <f>'lead 1'!H87</f>
        <v>130</v>
      </c>
      <c r="G896" s="302">
        <f t="shared" si="103"/>
        <v>130</v>
      </c>
      <c r="H896" s="381"/>
      <c r="I896" s="381"/>
      <c r="J896" s="381"/>
      <c r="K896" s="381"/>
      <c r="L896" s="381"/>
      <c r="M896" s="381"/>
      <c r="N896" s="381"/>
      <c r="O896" s="381"/>
      <c r="P896" s="381"/>
      <c r="Q896" s="381"/>
    </row>
    <row r="897" spans="1:17" s="304" customFormat="1" ht="17.100000000000001" hidden="1" customHeight="1">
      <c r="A897" s="1080"/>
      <c r="B897" s="271"/>
      <c r="C897" s="299" t="s">
        <v>698</v>
      </c>
      <c r="D897" s="303"/>
      <c r="E897" s="300"/>
      <c r="F897" s="1045"/>
      <c r="G897" s="302">
        <f>ROUND(SUM(G884:G896)*D2,2)</f>
        <v>0</v>
      </c>
      <c r="H897" s="381"/>
      <c r="I897" s="381"/>
      <c r="J897" s="381"/>
      <c r="K897" s="381"/>
      <c r="L897" s="381"/>
      <c r="M897" s="381"/>
      <c r="N897" s="381"/>
      <c r="O897" s="381"/>
      <c r="P897" s="381"/>
      <c r="Q897" s="381"/>
    </row>
    <row r="898" spans="1:17" s="304" customFormat="1" ht="17.100000000000001" hidden="1" customHeight="1">
      <c r="A898" s="1080"/>
      <c r="B898" s="271"/>
      <c r="C898" s="283"/>
      <c r="D898" s="300"/>
      <c r="E898" s="303"/>
      <c r="F898" s="350" t="s">
        <v>274</v>
      </c>
      <c r="G898" s="1066">
        <f>SUM(G884:G897)</f>
        <v>7175.5</v>
      </c>
      <c r="H898" s="381"/>
      <c r="I898" s="381"/>
      <c r="J898" s="381"/>
      <c r="K898" s="381"/>
      <c r="L898" s="381"/>
      <c r="M898" s="381"/>
      <c r="N898" s="381"/>
      <c r="O898" s="381"/>
      <c r="P898" s="381"/>
      <c r="Q898" s="381"/>
    </row>
    <row r="899" spans="1:17" s="1059" customFormat="1" ht="78.75" hidden="1" customHeight="1">
      <c r="A899" s="1080"/>
      <c r="B899" s="189">
        <v>50</v>
      </c>
      <c r="C899" s="1312" t="s">
        <v>1195</v>
      </c>
      <c r="D899" s="1312"/>
      <c r="E899" s="1312"/>
      <c r="F899" s="1312"/>
      <c r="G899" s="1312"/>
      <c r="H899" s="381"/>
      <c r="I899" s="381"/>
      <c r="J899" s="381"/>
      <c r="K899" s="381"/>
      <c r="L899" s="381"/>
      <c r="M899" s="381"/>
      <c r="N899" s="381"/>
      <c r="O899" s="381"/>
      <c r="P899" s="381"/>
      <c r="Q899" s="381"/>
    </row>
    <row r="900" spans="1:17" s="304" customFormat="1" ht="17.100000000000001" hidden="1" customHeight="1">
      <c r="A900" s="1080"/>
      <c r="C900" s="271"/>
      <c r="D900" s="1398" t="s">
        <v>1194</v>
      </c>
      <c r="E900" s="1398"/>
      <c r="F900" s="1398"/>
      <c r="G900" s="303"/>
      <c r="H900" s="381"/>
      <c r="I900" s="381"/>
      <c r="J900" s="381"/>
      <c r="K900" s="381"/>
      <c r="L900" s="381"/>
      <c r="M900" s="381"/>
      <c r="N900" s="381"/>
      <c r="O900" s="381"/>
      <c r="P900" s="381"/>
      <c r="Q900" s="381"/>
    </row>
    <row r="901" spans="1:17" s="304" customFormat="1" ht="17.100000000000001" hidden="1" customHeight="1">
      <c r="A901" s="1080"/>
      <c r="B901" s="271"/>
      <c r="C901" s="283" t="s">
        <v>50</v>
      </c>
      <c r="D901" s="300"/>
      <c r="E901" s="303"/>
      <c r="F901" s="303"/>
      <c r="G901" s="303"/>
      <c r="H901" s="442"/>
      <c r="I901" s="381"/>
      <c r="J901" s="381">
        <f>1.05-0.125</f>
        <v>0.92500000000000004</v>
      </c>
      <c r="K901" s="381"/>
      <c r="L901" s="381"/>
      <c r="M901" s="381"/>
      <c r="N901" s="381"/>
      <c r="O901" s="381"/>
      <c r="P901" s="381"/>
      <c r="Q901" s="381"/>
    </row>
    <row r="902" spans="1:17" s="304" customFormat="1" ht="17.100000000000001" hidden="1" customHeight="1">
      <c r="A902" s="1080"/>
      <c r="B902" s="271"/>
      <c r="C902" s="299" t="s">
        <v>51</v>
      </c>
      <c r="D902" s="300">
        <v>2</v>
      </c>
      <c r="E902" s="1045">
        <v>2.1</v>
      </c>
      <c r="F902" s="1045">
        <v>0.1</v>
      </c>
      <c r="G902" s="303">
        <v>7.4999999999999997E-2</v>
      </c>
      <c r="H902" s="442">
        <f>ROUND(G902*F902*E902*D902,4)</f>
        <v>3.15E-2</v>
      </c>
      <c r="I902" s="381"/>
      <c r="J902" s="381">
        <f>2.1-0.125</f>
        <v>1.9750000000000001</v>
      </c>
      <c r="K902" s="381"/>
      <c r="L902" s="381"/>
      <c r="M902" s="381"/>
      <c r="N902" s="381"/>
      <c r="O902" s="381"/>
      <c r="P902" s="381"/>
      <c r="Q902" s="381"/>
    </row>
    <row r="903" spans="1:17" s="304" customFormat="1" ht="17.100000000000001" hidden="1" customHeight="1">
      <c r="A903" s="1080"/>
      <c r="B903" s="271"/>
      <c r="C903" s="299" t="s">
        <v>52</v>
      </c>
      <c r="D903" s="300">
        <v>1</v>
      </c>
      <c r="E903" s="1045">
        <v>1</v>
      </c>
      <c r="F903" s="1045">
        <v>0.1</v>
      </c>
      <c r="G903" s="303">
        <v>7.4999999999999997E-2</v>
      </c>
      <c r="H903" s="442">
        <f>ROUND(G903*F903*E903*D903,4)</f>
        <v>7.4999999999999997E-3</v>
      </c>
      <c r="I903" s="381"/>
      <c r="J903" s="381">
        <f>J901*J902</f>
        <v>1.8268750000000002</v>
      </c>
      <c r="K903" s="381"/>
      <c r="L903" s="381"/>
      <c r="M903" s="381"/>
      <c r="N903" s="381"/>
      <c r="O903" s="381"/>
      <c r="P903" s="381"/>
      <c r="Q903" s="381"/>
    </row>
    <row r="904" spans="1:17" s="304" customFormat="1" ht="17.100000000000001" hidden="1" customHeight="1">
      <c r="A904" s="1080"/>
      <c r="B904" s="271"/>
      <c r="C904" s="299" t="s">
        <v>732</v>
      </c>
      <c r="D904" s="300">
        <v>1</v>
      </c>
      <c r="E904" s="1045">
        <v>1</v>
      </c>
      <c r="F904" s="1045">
        <v>0.1</v>
      </c>
      <c r="G904" s="303">
        <v>0.03</v>
      </c>
      <c r="H904" s="442">
        <f>ROUND(G904*F904*E904*D904,4)</f>
        <v>3.0000000000000001E-3</v>
      </c>
      <c r="I904" s="381"/>
      <c r="J904" s="381"/>
      <c r="K904" s="381"/>
      <c r="L904" s="381"/>
      <c r="M904" s="381"/>
      <c r="N904" s="381"/>
      <c r="O904" s="381"/>
      <c r="P904" s="381"/>
      <c r="Q904" s="381"/>
    </row>
    <row r="905" spans="1:17" s="304" customFormat="1" ht="17.100000000000001" hidden="1" customHeight="1">
      <c r="A905" s="1080"/>
      <c r="B905" s="271"/>
      <c r="C905" s="283"/>
      <c r="D905" s="300"/>
      <c r="E905" s="303"/>
      <c r="F905" s="303"/>
      <c r="G905" s="303"/>
      <c r="H905" s="442">
        <f>SUM(H901:H904)</f>
        <v>4.2000000000000003E-2</v>
      </c>
      <c r="I905" s="381"/>
      <c r="J905" s="381"/>
      <c r="K905" s="381"/>
      <c r="L905" s="381"/>
      <c r="M905" s="381"/>
      <c r="N905" s="381"/>
      <c r="O905" s="381"/>
      <c r="P905" s="381"/>
      <c r="Q905" s="381"/>
    </row>
    <row r="906" spans="1:17" s="304" customFormat="1" ht="17.100000000000001" hidden="1" customHeight="1">
      <c r="A906" s="1080"/>
      <c r="B906" s="271"/>
      <c r="C906" s="299" t="s">
        <v>57</v>
      </c>
      <c r="D906" s="300" t="s">
        <v>161</v>
      </c>
      <c r="E906" s="1063">
        <f>+H905</f>
        <v>4.2000000000000003E-2</v>
      </c>
      <c r="F906" s="1045">
        <f>'lead 1'!H42</f>
        <v>52453.5</v>
      </c>
      <c r="G906" s="302">
        <f>ROUND(F906*E906,2)</f>
        <v>2203.0500000000002</v>
      </c>
      <c r="H906" s="381"/>
      <c r="I906" s="381"/>
      <c r="J906" s="381"/>
      <c r="K906" s="381"/>
      <c r="L906" s="381"/>
      <c r="M906" s="381"/>
      <c r="N906" s="381"/>
      <c r="O906" s="381"/>
      <c r="P906" s="381"/>
      <c r="Q906" s="381"/>
    </row>
    <row r="907" spans="1:17" s="304" customFormat="1" ht="17.100000000000001" hidden="1" customHeight="1">
      <c r="A907" s="1080"/>
      <c r="B907" s="271"/>
      <c r="C907" s="299" t="s">
        <v>105</v>
      </c>
      <c r="D907" s="300" t="s">
        <v>112</v>
      </c>
      <c r="E907" s="1063">
        <f>H905</f>
        <v>4.2000000000000003E-2</v>
      </c>
      <c r="F907" s="1045">
        <f>G969</f>
        <v>12050.4</v>
      </c>
      <c r="G907" s="302">
        <f>ROUND(F907*E907,2)</f>
        <v>506.12</v>
      </c>
      <c r="H907" s="381"/>
      <c r="I907" s="381"/>
      <c r="J907" s="381"/>
      <c r="K907" s="381"/>
      <c r="L907" s="381"/>
      <c r="M907" s="381"/>
      <c r="N907" s="381"/>
      <c r="O907" s="381"/>
      <c r="P907" s="381"/>
      <c r="Q907" s="381"/>
    </row>
    <row r="908" spans="1:17" s="304" customFormat="1" ht="24.75" hidden="1" customHeight="1">
      <c r="A908" s="271" t="s">
        <v>906</v>
      </c>
      <c r="B908" s="1065">
        <v>51</v>
      </c>
      <c r="C908" s="299" t="s">
        <v>905</v>
      </c>
      <c r="D908" s="300" t="s">
        <v>625</v>
      </c>
      <c r="E908" s="1063">
        <v>2.1</v>
      </c>
      <c r="F908" s="1064">
        <v>1960</v>
      </c>
      <c r="G908" s="302">
        <f>+F908*E908</f>
        <v>4116</v>
      </c>
      <c r="H908" s="381"/>
      <c r="I908" s="381"/>
      <c r="J908" s="381"/>
      <c r="K908" s="381"/>
      <c r="L908" s="381"/>
      <c r="M908" s="381"/>
      <c r="N908" s="381"/>
      <c r="O908" s="381"/>
      <c r="P908" s="381"/>
      <c r="Q908" s="381"/>
    </row>
    <row r="909" spans="1:17" s="304" customFormat="1" ht="24.75" hidden="1" customHeight="1">
      <c r="A909" s="1080"/>
      <c r="B909" s="271"/>
      <c r="C909" s="299" t="s">
        <v>1359</v>
      </c>
      <c r="D909" s="300" t="s">
        <v>625</v>
      </c>
      <c r="E909" s="1063">
        <v>2.1</v>
      </c>
      <c r="F909" s="1064">
        <v>383</v>
      </c>
      <c r="G909" s="302">
        <f>+F909*E909</f>
        <v>804.30000000000007</v>
      </c>
      <c r="H909" s="381"/>
      <c r="I909" s="381"/>
      <c r="J909" s="381"/>
      <c r="K909" s="381"/>
      <c r="L909" s="381"/>
      <c r="M909" s="381"/>
      <c r="N909" s="381"/>
      <c r="O909" s="381"/>
      <c r="P909" s="381"/>
      <c r="Q909" s="381"/>
    </row>
    <row r="910" spans="1:17" s="304" customFormat="1" ht="16.5" hidden="1" customHeight="1">
      <c r="A910" s="263"/>
      <c r="B910" s="300"/>
      <c r="C910" s="349" t="s">
        <v>162</v>
      </c>
      <c r="D910" s="292"/>
      <c r="E910" s="292"/>
      <c r="F910" s="292"/>
      <c r="G910" s="346"/>
      <c r="H910" s="381"/>
      <c r="I910" s="381"/>
      <c r="J910" s="381"/>
      <c r="K910" s="381"/>
      <c r="L910" s="381"/>
      <c r="M910" s="381"/>
      <c r="N910" s="381"/>
      <c r="O910" s="381"/>
      <c r="P910" s="381"/>
      <c r="Q910" s="381"/>
    </row>
    <row r="911" spans="1:17" s="304" customFormat="1" ht="17.100000000000001" hidden="1" customHeight="1">
      <c r="A911" s="1080"/>
      <c r="B911" s="271"/>
      <c r="C911" s="283" t="s">
        <v>37</v>
      </c>
      <c r="D911" s="300"/>
      <c r="E911" s="303"/>
      <c r="F911" s="303"/>
      <c r="G911" s="303"/>
      <c r="H911" s="381"/>
      <c r="I911" s="381"/>
      <c r="J911" s="381"/>
      <c r="K911" s="381"/>
      <c r="L911" s="381"/>
      <c r="M911" s="381"/>
      <c r="N911" s="381"/>
      <c r="O911" s="381"/>
      <c r="P911" s="381"/>
      <c r="Q911" s="381"/>
    </row>
    <row r="912" spans="1:17" s="304" customFormat="1" ht="17.100000000000001" hidden="1" customHeight="1">
      <c r="A912" s="1080"/>
      <c r="B912" s="271"/>
      <c r="C912" s="299" t="s">
        <v>715</v>
      </c>
      <c r="D912" s="303" t="s">
        <v>39</v>
      </c>
      <c r="E912" s="300">
        <v>6</v>
      </c>
      <c r="F912" s="1045">
        <v>32</v>
      </c>
      <c r="G912" s="302">
        <f t="shared" ref="G912:G919" si="104">E912*F912</f>
        <v>192</v>
      </c>
      <c r="H912" s="381"/>
      <c r="I912" s="381"/>
      <c r="J912" s="381"/>
      <c r="K912" s="381"/>
      <c r="L912" s="381"/>
      <c r="M912" s="381"/>
      <c r="N912" s="381"/>
      <c r="O912" s="381"/>
      <c r="P912" s="381"/>
      <c r="Q912" s="381"/>
    </row>
    <row r="913" spans="1:17" s="304" customFormat="1" ht="17.100000000000001" hidden="1" customHeight="1">
      <c r="A913" s="1080" t="s">
        <v>1001</v>
      </c>
      <c r="B913" s="271"/>
      <c r="C913" s="299" t="s">
        <v>907</v>
      </c>
      <c r="D913" s="303" t="s">
        <v>39</v>
      </c>
      <c r="E913" s="300">
        <v>1</v>
      </c>
      <c r="F913" s="1045">
        <f>'lead 1'!H103</f>
        <v>154</v>
      </c>
      <c r="G913" s="302">
        <f t="shared" si="104"/>
        <v>154</v>
      </c>
      <c r="H913" s="381"/>
      <c r="I913" s="381"/>
      <c r="J913" s="381"/>
      <c r="K913" s="381"/>
      <c r="L913" s="381"/>
      <c r="M913" s="381"/>
      <c r="N913" s="381"/>
      <c r="O913" s="381"/>
      <c r="P913" s="381"/>
      <c r="Q913" s="381"/>
    </row>
    <row r="914" spans="1:17" s="304" customFormat="1" ht="17.100000000000001" hidden="1" customHeight="1">
      <c r="A914" s="1080" t="s">
        <v>995</v>
      </c>
      <c r="B914" s="271"/>
      <c r="C914" s="299" t="s">
        <v>908</v>
      </c>
      <c r="D914" s="303" t="s">
        <v>39</v>
      </c>
      <c r="E914" s="300">
        <v>1</v>
      </c>
      <c r="F914" s="1045">
        <f>'lead 1'!H96</f>
        <v>35</v>
      </c>
      <c r="G914" s="302">
        <f t="shared" si="104"/>
        <v>35</v>
      </c>
      <c r="H914" s="381"/>
      <c r="I914" s="381"/>
      <c r="J914" s="381"/>
      <c r="K914" s="381"/>
      <c r="L914" s="381"/>
      <c r="M914" s="381"/>
      <c r="N914" s="381"/>
      <c r="O914" s="381"/>
      <c r="P914" s="381"/>
      <c r="Q914" s="381"/>
    </row>
    <row r="915" spans="1:17" s="304" customFormat="1" ht="17.100000000000001" hidden="1" customHeight="1">
      <c r="A915" s="1080" t="s">
        <v>996</v>
      </c>
      <c r="B915" s="271"/>
      <c r="C915" s="299" t="s">
        <v>904</v>
      </c>
      <c r="D915" s="303" t="s">
        <v>39</v>
      </c>
      <c r="E915" s="300">
        <v>1</v>
      </c>
      <c r="F915" s="1045">
        <f>'lead 1'!H97</f>
        <v>51</v>
      </c>
      <c r="G915" s="302">
        <f t="shared" si="104"/>
        <v>51</v>
      </c>
      <c r="H915" s="381"/>
      <c r="I915" s="381"/>
      <c r="J915" s="381"/>
      <c r="K915" s="381"/>
      <c r="L915" s="381"/>
      <c r="M915" s="381"/>
      <c r="N915" s="381"/>
      <c r="O915" s="381"/>
      <c r="P915" s="381"/>
      <c r="Q915" s="381"/>
    </row>
    <row r="916" spans="1:17" s="304" customFormat="1" ht="17.100000000000001" hidden="1" customHeight="1">
      <c r="A916" s="1080" t="s">
        <v>998</v>
      </c>
      <c r="B916" s="271"/>
      <c r="C916" s="299" t="s">
        <v>997</v>
      </c>
      <c r="D916" s="303" t="s">
        <v>39</v>
      </c>
      <c r="E916" s="300">
        <v>3</v>
      </c>
      <c r="F916" s="1045">
        <f>'lead 1'!H100</f>
        <v>31</v>
      </c>
      <c r="G916" s="302">
        <f t="shared" si="104"/>
        <v>93</v>
      </c>
      <c r="H916" s="381"/>
      <c r="I916" s="381"/>
      <c r="J916" s="381"/>
      <c r="K916" s="381"/>
      <c r="L916" s="381"/>
      <c r="M916" s="381"/>
      <c r="N916" s="381"/>
      <c r="O916" s="381"/>
      <c r="P916" s="381"/>
      <c r="Q916" s="381"/>
    </row>
    <row r="917" spans="1:17" s="304" customFormat="1" ht="17.100000000000001" hidden="1" customHeight="1">
      <c r="A917" s="1080" t="s">
        <v>999</v>
      </c>
      <c r="B917" s="271"/>
      <c r="C917" s="299" t="s">
        <v>395</v>
      </c>
      <c r="D917" s="303" t="s">
        <v>39</v>
      </c>
      <c r="E917" s="300">
        <v>2</v>
      </c>
      <c r="F917" s="1045">
        <f>'lead 1'!H104</f>
        <v>45</v>
      </c>
      <c r="G917" s="302">
        <f t="shared" si="104"/>
        <v>90</v>
      </c>
      <c r="H917" s="381"/>
      <c r="I917" s="381"/>
      <c r="J917" s="381"/>
      <c r="K917" s="381"/>
      <c r="L917" s="381"/>
      <c r="M917" s="381"/>
      <c r="N917" s="381"/>
      <c r="O917" s="381"/>
      <c r="P917" s="381"/>
      <c r="Q917" s="381"/>
    </row>
    <row r="918" spans="1:17" s="304" customFormat="1" ht="17.100000000000001" hidden="1" customHeight="1">
      <c r="A918" s="1080" t="s">
        <v>1000</v>
      </c>
      <c r="B918" s="271"/>
      <c r="C918" s="299" t="s">
        <v>704</v>
      </c>
      <c r="D918" s="303" t="s">
        <v>39</v>
      </c>
      <c r="E918" s="300">
        <v>2</v>
      </c>
      <c r="F918" s="1045">
        <f>'lead 1'!H101</f>
        <v>45</v>
      </c>
      <c r="G918" s="302">
        <f t="shared" si="104"/>
        <v>90</v>
      </c>
      <c r="H918" s="381"/>
      <c r="I918" s="381"/>
      <c r="J918" s="381"/>
      <c r="K918" s="381"/>
      <c r="L918" s="381"/>
      <c r="M918" s="381"/>
      <c r="N918" s="381"/>
      <c r="O918" s="381"/>
      <c r="P918" s="381"/>
      <c r="Q918" s="381"/>
    </row>
    <row r="919" spans="1:17" s="304" customFormat="1" ht="17.100000000000001" hidden="1" customHeight="1">
      <c r="A919" s="1080"/>
      <c r="B919" s="271"/>
      <c r="C919" s="299" t="s">
        <v>702</v>
      </c>
      <c r="D919" s="1045" t="s">
        <v>705</v>
      </c>
      <c r="E919" s="300">
        <v>1</v>
      </c>
      <c r="F919" s="1045">
        <f>'lead 1'!H87</f>
        <v>130</v>
      </c>
      <c r="G919" s="302">
        <f t="shared" si="104"/>
        <v>130</v>
      </c>
      <c r="H919" s="381"/>
      <c r="I919" s="381"/>
      <c r="J919" s="381"/>
      <c r="K919" s="381"/>
      <c r="L919" s="381"/>
      <c r="M919" s="381"/>
      <c r="N919" s="381"/>
      <c r="O919" s="381"/>
      <c r="P919" s="381"/>
      <c r="Q919" s="381"/>
    </row>
    <row r="920" spans="1:17" s="304" customFormat="1" ht="17.100000000000001" hidden="1" customHeight="1">
      <c r="A920" s="1080"/>
      <c r="B920" s="271"/>
      <c r="C920" s="299" t="s">
        <v>698</v>
      </c>
      <c r="D920" s="303"/>
      <c r="E920" s="300"/>
      <c r="F920" s="1045"/>
      <c r="G920" s="1045">
        <f>ROUND(SUM(G906:G919)*D2,2)</f>
        <v>0</v>
      </c>
      <c r="H920" s="381"/>
      <c r="I920" s="381"/>
      <c r="J920" s="381"/>
      <c r="K920" s="381"/>
      <c r="L920" s="381"/>
      <c r="M920" s="381"/>
      <c r="N920" s="381"/>
      <c r="O920" s="381"/>
      <c r="P920" s="381"/>
      <c r="Q920" s="381"/>
    </row>
    <row r="921" spans="1:17" s="304" customFormat="1" ht="17.100000000000001" hidden="1" customHeight="1">
      <c r="A921" s="1080"/>
      <c r="B921" s="271"/>
      <c r="C921" s="283"/>
      <c r="D921" s="300"/>
      <c r="E921" s="303"/>
      <c r="F921" s="303"/>
      <c r="G921" s="1045">
        <f>SUM(G906:G920)</f>
        <v>8464.4700000000012</v>
      </c>
      <c r="H921" s="381"/>
      <c r="I921" s="381"/>
      <c r="J921" s="381"/>
      <c r="K921" s="381"/>
      <c r="L921" s="381"/>
      <c r="M921" s="381"/>
      <c r="N921" s="381"/>
      <c r="O921" s="381"/>
      <c r="P921" s="381"/>
      <c r="Q921" s="381"/>
    </row>
    <row r="922" spans="1:17" s="304" customFormat="1" ht="17.100000000000001" hidden="1" customHeight="1">
      <c r="A922" s="1080"/>
      <c r="C922" s="283" t="s">
        <v>72</v>
      </c>
      <c r="D922" s="1080"/>
      <c r="E922" s="324"/>
      <c r="F922" s="350" t="s">
        <v>202</v>
      </c>
      <c r="G922" s="351">
        <f>G921</f>
        <v>8464.4700000000012</v>
      </c>
      <c r="H922" s="381"/>
      <c r="I922" s="381"/>
      <c r="J922" s="381"/>
      <c r="K922" s="381"/>
      <c r="L922" s="381"/>
      <c r="M922" s="381"/>
      <c r="N922" s="381"/>
      <c r="O922" s="381"/>
      <c r="P922" s="381"/>
      <c r="Q922" s="381"/>
    </row>
    <row r="923" spans="1:17" s="304" customFormat="1" ht="84" hidden="1" customHeight="1">
      <c r="A923" s="1080"/>
      <c r="B923" s="304">
        <v>52</v>
      </c>
      <c r="C923" s="1312" t="s">
        <v>1192</v>
      </c>
      <c r="D923" s="1312"/>
      <c r="E923" s="1312"/>
      <c r="F923" s="1312"/>
      <c r="G923" s="1312"/>
      <c r="H923" s="381"/>
      <c r="I923" s="381"/>
      <c r="J923" s="381"/>
      <c r="K923" s="381"/>
      <c r="L923" s="381"/>
      <c r="M923" s="381"/>
      <c r="N923" s="381"/>
      <c r="O923" s="381"/>
      <c r="P923" s="381"/>
      <c r="Q923" s="381"/>
    </row>
    <row r="924" spans="1:17" s="1059" customFormat="1" ht="101.25" hidden="1">
      <c r="A924" s="325"/>
      <c r="B924" s="326"/>
      <c r="C924" s="1077" t="s">
        <v>1174</v>
      </c>
      <c r="D924" s="300" t="s">
        <v>1172</v>
      </c>
      <c r="E924" s="1045">
        <f>2.15*2+1.05</f>
        <v>5.35</v>
      </c>
      <c r="F924" s="1064">
        <f>G993</f>
        <v>550</v>
      </c>
      <c r="G924" s="302">
        <f>+F924*E924</f>
        <v>2942.5</v>
      </c>
      <c r="H924" s="381"/>
      <c r="I924" s="381"/>
      <c r="J924" s="381"/>
      <c r="K924" s="381"/>
      <c r="L924" s="381"/>
      <c r="M924" s="381"/>
      <c r="N924" s="381"/>
      <c r="O924" s="381"/>
      <c r="P924" s="381"/>
      <c r="Q924" s="381"/>
    </row>
    <row r="925" spans="1:17" s="304" customFormat="1" ht="24" hidden="1" customHeight="1">
      <c r="A925" s="271" t="s">
        <v>906</v>
      </c>
      <c r="B925" s="271"/>
      <c r="C925" s="354" t="s">
        <v>905</v>
      </c>
      <c r="D925" s="300" t="s">
        <v>625</v>
      </c>
      <c r="E925" s="1045">
        <v>2.1</v>
      </c>
      <c r="F925" s="1064">
        <v>1960</v>
      </c>
      <c r="G925" s="302">
        <f>+F925*E925</f>
        <v>4116</v>
      </c>
      <c r="H925" s="381"/>
      <c r="I925" s="381"/>
      <c r="J925" s="381"/>
      <c r="K925" s="381"/>
      <c r="L925" s="381"/>
      <c r="M925" s="381"/>
      <c r="N925" s="381"/>
      <c r="O925" s="381"/>
      <c r="P925" s="381"/>
      <c r="Q925" s="381"/>
    </row>
    <row r="926" spans="1:17" s="304" customFormat="1" ht="24.75" hidden="1" customHeight="1">
      <c r="A926" s="1080"/>
      <c r="B926" s="271"/>
      <c r="C926" s="299" t="s">
        <v>1359</v>
      </c>
      <c r="D926" s="300" t="s">
        <v>625</v>
      </c>
      <c r="E926" s="1063">
        <v>2.1</v>
      </c>
      <c r="F926" s="1064">
        <v>383</v>
      </c>
      <c r="G926" s="302">
        <f>+F926*E926</f>
        <v>804.30000000000007</v>
      </c>
      <c r="H926" s="381"/>
      <c r="I926" s="381"/>
      <c r="J926" s="381"/>
      <c r="K926" s="381"/>
      <c r="L926" s="381"/>
      <c r="M926" s="381"/>
      <c r="N926" s="381"/>
      <c r="O926" s="381"/>
      <c r="P926" s="381"/>
      <c r="Q926" s="381"/>
    </row>
    <row r="927" spans="1:17" s="304" customFormat="1" ht="17.100000000000001" hidden="1" customHeight="1">
      <c r="A927" s="263"/>
      <c r="B927" s="300"/>
      <c r="C927" s="349" t="s">
        <v>162</v>
      </c>
      <c r="D927" s="292"/>
      <c r="E927" s="292"/>
      <c r="F927" s="292"/>
      <c r="G927" s="346"/>
      <c r="H927" s="381"/>
      <c r="I927" s="381"/>
      <c r="J927" s="381"/>
      <c r="K927" s="381"/>
      <c r="L927" s="381"/>
      <c r="M927" s="381"/>
      <c r="N927" s="381"/>
      <c r="O927" s="381"/>
      <c r="P927" s="381"/>
      <c r="Q927" s="381"/>
    </row>
    <row r="928" spans="1:17" s="304" customFormat="1" ht="17.100000000000001" hidden="1" customHeight="1">
      <c r="A928" s="1080"/>
      <c r="B928" s="271"/>
      <c r="C928" s="283" t="s">
        <v>37</v>
      </c>
      <c r="D928" s="300"/>
      <c r="E928" s="303"/>
      <c r="F928" s="303"/>
      <c r="G928" s="303"/>
      <c r="H928" s="381"/>
      <c r="I928" s="381"/>
      <c r="J928" s="381"/>
      <c r="K928" s="381"/>
      <c r="L928" s="381"/>
      <c r="M928" s="381"/>
      <c r="N928" s="381"/>
      <c r="O928" s="381"/>
      <c r="P928" s="381"/>
      <c r="Q928" s="381"/>
    </row>
    <row r="929" spans="1:17" s="304" customFormat="1" ht="17.100000000000001" hidden="1" customHeight="1">
      <c r="A929" s="1080"/>
      <c r="B929" s="271"/>
      <c r="C929" s="299" t="s">
        <v>715</v>
      </c>
      <c r="D929" s="303" t="s">
        <v>39</v>
      </c>
      <c r="E929" s="300">
        <v>6</v>
      </c>
      <c r="F929" s="1045">
        <f t="shared" ref="F929:F936" si="105">F912</f>
        <v>32</v>
      </c>
      <c r="G929" s="302">
        <f t="shared" ref="G929:G936" si="106">E929*F929</f>
        <v>192</v>
      </c>
      <c r="H929" s="381"/>
      <c r="I929" s="381"/>
      <c r="J929" s="381"/>
      <c r="K929" s="381"/>
      <c r="L929" s="381"/>
      <c r="M929" s="381"/>
      <c r="N929" s="381"/>
      <c r="O929" s="381"/>
      <c r="P929" s="381"/>
      <c r="Q929" s="381"/>
    </row>
    <row r="930" spans="1:17" s="304" customFormat="1" ht="17.100000000000001" hidden="1" customHeight="1">
      <c r="A930" s="1080" t="s">
        <v>1001</v>
      </c>
      <c r="B930" s="271"/>
      <c r="C930" s="299" t="s">
        <v>907</v>
      </c>
      <c r="D930" s="303" t="s">
        <v>39</v>
      </c>
      <c r="E930" s="300">
        <v>1</v>
      </c>
      <c r="F930" s="1045">
        <f t="shared" si="105"/>
        <v>154</v>
      </c>
      <c r="G930" s="302">
        <f t="shared" si="106"/>
        <v>154</v>
      </c>
      <c r="H930" s="381"/>
      <c r="I930" s="381"/>
      <c r="J930" s="381"/>
      <c r="K930" s="381"/>
      <c r="L930" s="381"/>
      <c r="M930" s="381"/>
      <c r="N930" s="381"/>
      <c r="O930" s="381"/>
      <c r="P930" s="381"/>
      <c r="Q930" s="381"/>
    </row>
    <row r="931" spans="1:17" s="304" customFormat="1" ht="17.100000000000001" hidden="1" customHeight="1">
      <c r="A931" s="1080" t="s">
        <v>995</v>
      </c>
      <c r="B931" s="271"/>
      <c r="C931" s="299" t="s">
        <v>908</v>
      </c>
      <c r="D931" s="303" t="s">
        <v>39</v>
      </c>
      <c r="E931" s="300">
        <v>1</v>
      </c>
      <c r="F931" s="1045">
        <f t="shared" si="105"/>
        <v>35</v>
      </c>
      <c r="G931" s="302">
        <f t="shared" si="106"/>
        <v>35</v>
      </c>
      <c r="H931" s="381"/>
      <c r="I931" s="381"/>
      <c r="J931" s="381"/>
      <c r="K931" s="381"/>
      <c r="L931" s="381"/>
      <c r="M931" s="381"/>
      <c r="N931" s="381"/>
      <c r="O931" s="381"/>
      <c r="P931" s="381"/>
      <c r="Q931" s="381"/>
    </row>
    <row r="932" spans="1:17" s="304" customFormat="1" ht="17.100000000000001" hidden="1" customHeight="1">
      <c r="A932" s="1080" t="s">
        <v>996</v>
      </c>
      <c r="B932" s="271"/>
      <c r="C932" s="299" t="s">
        <v>904</v>
      </c>
      <c r="D932" s="303" t="s">
        <v>39</v>
      </c>
      <c r="E932" s="300">
        <v>1</v>
      </c>
      <c r="F932" s="1045">
        <f t="shared" si="105"/>
        <v>51</v>
      </c>
      <c r="G932" s="302">
        <f t="shared" si="106"/>
        <v>51</v>
      </c>
      <c r="H932" s="381"/>
      <c r="I932" s="381"/>
      <c r="J932" s="381"/>
      <c r="K932" s="381"/>
      <c r="L932" s="381"/>
      <c r="M932" s="381"/>
      <c r="N932" s="381"/>
      <c r="O932" s="381"/>
      <c r="P932" s="381"/>
      <c r="Q932" s="381"/>
    </row>
    <row r="933" spans="1:17" s="304" customFormat="1" ht="17.100000000000001" hidden="1" customHeight="1">
      <c r="A933" s="1080" t="s">
        <v>998</v>
      </c>
      <c r="B933" s="271"/>
      <c r="C933" s="299" t="s">
        <v>997</v>
      </c>
      <c r="D933" s="303" t="s">
        <v>39</v>
      </c>
      <c r="E933" s="300">
        <v>3</v>
      </c>
      <c r="F933" s="1045">
        <f t="shared" si="105"/>
        <v>31</v>
      </c>
      <c r="G933" s="302">
        <f t="shared" si="106"/>
        <v>93</v>
      </c>
      <c r="H933" s="381"/>
      <c r="I933" s="381"/>
      <c r="J933" s="381"/>
      <c r="K933" s="381"/>
      <c r="L933" s="381"/>
      <c r="M933" s="381"/>
      <c r="N933" s="381"/>
      <c r="O933" s="381"/>
      <c r="P933" s="381"/>
      <c r="Q933" s="381"/>
    </row>
    <row r="934" spans="1:17" s="304" customFormat="1" ht="17.100000000000001" hidden="1" customHeight="1">
      <c r="A934" s="1080" t="s">
        <v>999</v>
      </c>
      <c r="B934" s="271"/>
      <c r="C934" s="299" t="s">
        <v>395</v>
      </c>
      <c r="D934" s="303" t="s">
        <v>39</v>
      </c>
      <c r="E934" s="300">
        <v>2</v>
      </c>
      <c r="F934" s="1045">
        <f t="shared" si="105"/>
        <v>45</v>
      </c>
      <c r="G934" s="302">
        <f t="shared" si="106"/>
        <v>90</v>
      </c>
      <c r="H934" s="381"/>
      <c r="I934" s="381"/>
      <c r="J934" s="381"/>
      <c r="K934" s="381"/>
      <c r="L934" s="381"/>
      <c r="M934" s="381"/>
      <c r="N934" s="381"/>
      <c r="O934" s="381"/>
      <c r="P934" s="381"/>
      <c r="Q934" s="381"/>
    </row>
    <row r="935" spans="1:17" s="304" customFormat="1" ht="17.100000000000001" hidden="1" customHeight="1">
      <c r="A935" s="1080" t="s">
        <v>1000</v>
      </c>
      <c r="B935" s="271"/>
      <c r="C935" s="299" t="s">
        <v>704</v>
      </c>
      <c r="D935" s="303" t="s">
        <v>39</v>
      </c>
      <c r="E935" s="300">
        <v>2</v>
      </c>
      <c r="F935" s="1045">
        <f t="shared" si="105"/>
        <v>45</v>
      </c>
      <c r="G935" s="302">
        <f t="shared" si="106"/>
        <v>90</v>
      </c>
      <c r="H935" s="381"/>
      <c r="I935" s="381"/>
      <c r="J935" s="381"/>
      <c r="K935" s="381"/>
      <c r="L935" s="381"/>
      <c r="M935" s="381"/>
      <c r="N935" s="381"/>
      <c r="O935" s="381"/>
      <c r="P935" s="381"/>
      <c r="Q935" s="381"/>
    </row>
    <row r="936" spans="1:17" s="304" customFormat="1" ht="17.100000000000001" hidden="1" customHeight="1">
      <c r="A936" s="1080"/>
      <c r="B936" s="271"/>
      <c r="C936" s="299" t="s">
        <v>702</v>
      </c>
      <c r="D936" s="1045" t="s">
        <v>705</v>
      </c>
      <c r="E936" s="300">
        <v>1</v>
      </c>
      <c r="F936" s="1045">
        <f t="shared" si="105"/>
        <v>130</v>
      </c>
      <c r="G936" s="302">
        <f t="shared" si="106"/>
        <v>130</v>
      </c>
      <c r="H936" s="381"/>
      <c r="I936" s="381"/>
      <c r="J936" s="381"/>
      <c r="K936" s="381"/>
      <c r="L936" s="381"/>
      <c r="M936" s="381"/>
      <c r="N936" s="381"/>
      <c r="O936" s="381"/>
      <c r="P936" s="381"/>
      <c r="Q936" s="381"/>
    </row>
    <row r="937" spans="1:17" s="304" customFormat="1" ht="17.100000000000001" hidden="1" customHeight="1">
      <c r="A937" s="1080"/>
      <c r="B937" s="271"/>
      <c r="C937" s="299" t="s">
        <v>698</v>
      </c>
      <c r="D937" s="303"/>
      <c r="E937" s="300"/>
      <c r="F937" s="1045"/>
      <c r="G937" s="1045">
        <f>ROUND(SUM(G925:G936)*D2,2)</f>
        <v>0</v>
      </c>
      <c r="H937" s="381"/>
      <c r="I937" s="381"/>
      <c r="J937" s="381"/>
      <c r="K937" s="381"/>
      <c r="L937" s="381"/>
      <c r="M937" s="381"/>
      <c r="N937" s="381"/>
      <c r="O937" s="381"/>
      <c r="P937" s="381"/>
      <c r="Q937" s="381"/>
    </row>
    <row r="938" spans="1:17" s="304" customFormat="1" ht="17.100000000000001" hidden="1" customHeight="1">
      <c r="A938" s="1080"/>
      <c r="B938" s="271"/>
      <c r="C938" s="283"/>
      <c r="D938" s="300"/>
      <c r="E938" s="303"/>
      <c r="F938" s="303"/>
      <c r="G938" s="1045">
        <f>SUM(G924:G937)</f>
        <v>8697.7999999999993</v>
      </c>
      <c r="H938" s="381"/>
      <c r="I938" s="381"/>
      <c r="J938" s="381"/>
      <c r="K938" s="381"/>
      <c r="L938" s="381"/>
      <c r="M938" s="381"/>
      <c r="N938" s="381"/>
      <c r="O938" s="381"/>
      <c r="P938" s="381"/>
      <c r="Q938" s="381"/>
    </row>
    <row r="939" spans="1:17" s="304" customFormat="1" ht="17.100000000000001" hidden="1" customHeight="1">
      <c r="A939" s="1080"/>
      <c r="C939" s="283" t="s">
        <v>72</v>
      </c>
      <c r="D939" s="1080"/>
      <c r="E939" s="324"/>
      <c r="F939" s="350" t="s">
        <v>202</v>
      </c>
      <c r="G939" s="351">
        <f>G938</f>
        <v>8697.7999999999993</v>
      </c>
      <c r="H939" s="381"/>
      <c r="I939" s="381"/>
      <c r="J939" s="381"/>
      <c r="K939" s="381"/>
      <c r="L939" s="381"/>
      <c r="M939" s="381"/>
      <c r="N939" s="381"/>
      <c r="O939" s="381"/>
      <c r="P939" s="381"/>
      <c r="Q939" s="381"/>
    </row>
    <row r="940" spans="1:17" s="1059" customFormat="1" ht="79.5" hidden="1" customHeight="1">
      <c r="A940" s="263"/>
      <c r="B940" s="189">
        <v>53</v>
      </c>
      <c r="C940" s="1312" t="s">
        <v>1193</v>
      </c>
      <c r="D940" s="1312"/>
      <c r="E940" s="1312"/>
      <c r="F940" s="1312"/>
      <c r="G940" s="1312"/>
      <c r="H940" s="381"/>
      <c r="I940" s="381"/>
      <c r="J940" s="381"/>
      <c r="K940" s="381"/>
      <c r="L940" s="381"/>
      <c r="M940" s="381"/>
      <c r="N940" s="381"/>
      <c r="O940" s="381"/>
      <c r="P940" s="381"/>
      <c r="Q940" s="381"/>
    </row>
    <row r="941" spans="1:17" s="304" customFormat="1" ht="17.100000000000001" hidden="1" customHeight="1">
      <c r="A941" s="1080"/>
      <c r="B941" s="271"/>
      <c r="C941" s="283" t="s">
        <v>707</v>
      </c>
      <c r="D941" s="283"/>
      <c r="E941" s="283"/>
      <c r="F941" s="303"/>
      <c r="G941" s="303"/>
      <c r="H941" s="381"/>
      <c r="I941" s="381"/>
      <c r="J941" s="381"/>
      <c r="K941" s="381"/>
      <c r="L941" s="381"/>
      <c r="M941" s="381"/>
      <c r="N941" s="381"/>
      <c r="O941" s="381"/>
      <c r="P941" s="381"/>
      <c r="Q941" s="381"/>
    </row>
    <row r="942" spans="1:17" s="304" customFormat="1" ht="17.100000000000001" hidden="1" customHeight="1">
      <c r="A942" s="1080"/>
      <c r="B942" s="271"/>
      <c r="C942" s="283" t="s">
        <v>50</v>
      </c>
      <c r="D942" s="300"/>
      <c r="E942" s="303"/>
      <c r="F942" s="303"/>
      <c r="G942" s="303"/>
      <c r="H942" s="381"/>
      <c r="I942" s="381"/>
      <c r="J942" s="381"/>
      <c r="K942" s="381"/>
      <c r="L942" s="381"/>
      <c r="M942" s="381"/>
      <c r="N942" s="381"/>
      <c r="O942" s="381"/>
      <c r="P942" s="381"/>
      <c r="Q942" s="381"/>
    </row>
    <row r="943" spans="1:17" s="304" customFormat="1" ht="17.100000000000001" hidden="1" customHeight="1">
      <c r="A943" s="1080"/>
      <c r="B943" s="271"/>
      <c r="C943" s="299" t="s">
        <v>51</v>
      </c>
      <c r="D943" s="300">
        <v>2</v>
      </c>
      <c r="E943" s="1045">
        <v>2.1</v>
      </c>
      <c r="F943" s="1045">
        <v>0.1</v>
      </c>
      <c r="G943" s="303">
        <v>7.4999999999999997E-2</v>
      </c>
      <c r="H943" s="442">
        <f>ROUND(G943*F943*E943*D943,4)</f>
        <v>3.15E-2</v>
      </c>
      <c r="I943" s="381"/>
      <c r="J943" s="381"/>
      <c r="K943" s="381"/>
      <c r="L943" s="381"/>
      <c r="M943" s="381"/>
      <c r="N943" s="381"/>
      <c r="O943" s="381"/>
      <c r="P943" s="381"/>
      <c r="Q943" s="381"/>
    </row>
    <row r="944" spans="1:17" s="304" customFormat="1" ht="17.100000000000001" hidden="1" customHeight="1">
      <c r="A944" s="1080"/>
      <c r="B944" s="271"/>
      <c r="C944" s="299" t="s">
        <v>52</v>
      </c>
      <c r="D944" s="300">
        <v>1</v>
      </c>
      <c r="E944" s="1045">
        <v>1.2</v>
      </c>
      <c r="F944" s="1045">
        <v>0.1</v>
      </c>
      <c r="G944" s="303">
        <v>7.4999999999999997E-2</v>
      </c>
      <c r="H944" s="442">
        <f>ROUND(G944*F944*E944*D944,4)</f>
        <v>8.9999999999999993E-3</v>
      </c>
      <c r="I944" s="381"/>
      <c r="J944" s="381"/>
      <c r="K944" s="381"/>
      <c r="L944" s="381"/>
      <c r="M944" s="381"/>
      <c r="N944" s="381"/>
      <c r="O944" s="381"/>
      <c r="P944" s="381"/>
      <c r="Q944" s="381"/>
    </row>
    <row r="945" spans="1:17" s="304" customFormat="1" ht="17.100000000000001" hidden="1" customHeight="1">
      <c r="A945" s="1080"/>
      <c r="B945" s="271"/>
      <c r="C945" s="299" t="s">
        <v>732</v>
      </c>
      <c r="D945" s="300">
        <v>1</v>
      </c>
      <c r="E945" s="1045">
        <v>1.2</v>
      </c>
      <c r="F945" s="1045">
        <v>0.1</v>
      </c>
      <c r="G945" s="303">
        <v>0.03</v>
      </c>
      <c r="H945" s="442">
        <f>ROUND(G945*F945*E945*D945,4)</f>
        <v>3.5999999999999999E-3</v>
      </c>
      <c r="I945" s="381"/>
      <c r="J945" s="381"/>
      <c r="K945" s="381"/>
      <c r="L945" s="381"/>
      <c r="M945" s="381"/>
      <c r="N945" s="381"/>
      <c r="O945" s="381"/>
      <c r="P945" s="381"/>
      <c r="Q945" s="381"/>
    </row>
    <row r="946" spans="1:17" s="304" customFormat="1" ht="17.100000000000001" hidden="1" customHeight="1">
      <c r="A946" s="1080"/>
      <c r="B946" s="271"/>
      <c r="C946" s="299"/>
      <c r="D946" s="300"/>
      <c r="E946" s="303"/>
      <c r="F946" s="303"/>
      <c r="G946" s="303"/>
      <c r="H946" s="442">
        <f>SUM(H943:H945)</f>
        <v>4.41E-2</v>
      </c>
      <c r="I946" s="381"/>
      <c r="J946" s="381"/>
      <c r="K946" s="381"/>
      <c r="L946" s="381"/>
      <c r="M946" s="381"/>
      <c r="N946" s="381"/>
      <c r="O946" s="381"/>
      <c r="P946" s="381"/>
      <c r="Q946" s="381"/>
    </row>
    <row r="947" spans="1:17" s="304" customFormat="1" ht="17.100000000000001" hidden="1" customHeight="1">
      <c r="A947" s="1080"/>
      <c r="B947" s="271"/>
      <c r="C947" s="299" t="s">
        <v>57</v>
      </c>
      <c r="D947" s="300" t="s">
        <v>161</v>
      </c>
      <c r="E947" s="1063">
        <f>+H946</f>
        <v>4.41E-2</v>
      </c>
      <c r="F947" s="1045">
        <f>'lead 1'!H42</f>
        <v>52453.5</v>
      </c>
      <c r="G947" s="302">
        <f>+ROUND(F947*E947,2)</f>
        <v>2313.1999999999998</v>
      </c>
      <c r="H947" s="381"/>
      <c r="I947" s="381"/>
      <c r="J947" s="381"/>
      <c r="K947" s="381"/>
      <c r="L947" s="381"/>
      <c r="M947" s="381"/>
      <c r="N947" s="381"/>
      <c r="O947" s="381"/>
      <c r="P947" s="381"/>
      <c r="Q947" s="381"/>
    </row>
    <row r="948" spans="1:17" s="304" customFormat="1" ht="17.100000000000001" hidden="1" customHeight="1">
      <c r="A948" s="1080"/>
      <c r="B948" s="271"/>
      <c r="C948" s="299" t="s">
        <v>105</v>
      </c>
      <c r="D948" s="300" t="s">
        <v>112</v>
      </c>
      <c r="E948" s="1063">
        <f>H946</f>
        <v>4.41E-2</v>
      </c>
      <c r="F948" s="1045">
        <f>G969</f>
        <v>12050.4</v>
      </c>
      <c r="G948" s="302">
        <f>+ROUND(F948*E948,2)</f>
        <v>531.41999999999996</v>
      </c>
      <c r="H948" s="381"/>
      <c r="I948" s="381"/>
      <c r="J948" s="381"/>
      <c r="K948" s="381"/>
      <c r="L948" s="381"/>
      <c r="M948" s="381"/>
      <c r="N948" s="381"/>
      <c r="O948" s="381"/>
      <c r="P948" s="381"/>
      <c r="Q948" s="381"/>
    </row>
    <row r="949" spans="1:17" s="304" customFormat="1" ht="24.75" hidden="1" customHeight="1">
      <c r="A949" s="271" t="s">
        <v>906</v>
      </c>
      <c r="B949" s="1065">
        <v>54</v>
      </c>
      <c r="C949" s="299" t="s">
        <v>714</v>
      </c>
      <c r="D949" s="300" t="s">
        <v>625</v>
      </c>
      <c r="E949" s="1063">
        <v>2.52</v>
      </c>
      <c r="F949" s="1064">
        <v>1960</v>
      </c>
      <c r="G949" s="302">
        <f>+F949*E949</f>
        <v>4939.2</v>
      </c>
      <c r="H949" s="381"/>
      <c r="I949" s="381"/>
      <c r="J949" s="381"/>
      <c r="K949" s="381"/>
      <c r="L949" s="381"/>
      <c r="M949" s="381"/>
      <c r="N949" s="381"/>
      <c r="O949" s="381"/>
      <c r="P949" s="381"/>
      <c r="Q949" s="381"/>
    </row>
    <row r="950" spans="1:17" s="304" customFormat="1" ht="17.100000000000001" hidden="1" customHeight="1">
      <c r="A950" s="1080"/>
      <c r="B950" s="271"/>
      <c r="C950" s="349" t="s">
        <v>162</v>
      </c>
      <c r="D950" s="292"/>
      <c r="E950" s="292"/>
      <c r="F950" s="292"/>
      <c r="G950" s="346"/>
      <c r="H950" s="381"/>
      <c r="I950" s="381"/>
      <c r="J950" s="381"/>
      <c r="K950" s="381"/>
      <c r="L950" s="381"/>
      <c r="M950" s="381"/>
      <c r="N950" s="381"/>
      <c r="O950" s="381"/>
      <c r="P950" s="381"/>
      <c r="Q950" s="381"/>
    </row>
    <row r="951" spans="1:17" s="304" customFormat="1" ht="17.100000000000001" hidden="1" customHeight="1">
      <c r="A951" s="1080"/>
      <c r="B951" s="271"/>
      <c r="C951" s="283" t="s">
        <v>37</v>
      </c>
      <c r="D951" s="300"/>
      <c r="E951" s="303"/>
      <c r="F951" s="303"/>
      <c r="G951" s="303"/>
      <c r="H951" s="381"/>
      <c r="I951" s="381"/>
      <c r="J951" s="381"/>
      <c r="K951" s="381"/>
      <c r="L951" s="381"/>
      <c r="M951" s="381"/>
      <c r="N951" s="381"/>
      <c r="O951" s="381"/>
      <c r="P951" s="381"/>
      <c r="Q951" s="381"/>
    </row>
    <row r="952" spans="1:17" s="304" customFormat="1" ht="17.100000000000001" hidden="1" customHeight="1">
      <c r="A952" s="1080"/>
      <c r="B952" s="271"/>
      <c r="C952" s="299" t="s">
        <v>715</v>
      </c>
      <c r="D952" s="303" t="s">
        <v>39</v>
      </c>
      <c r="E952" s="300">
        <v>4</v>
      </c>
      <c r="F952" s="1045">
        <v>32</v>
      </c>
      <c r="G952" s="302">
        <f t="shared" ref="G952:G959" si="107">E952*F952</f>
        <v>128</v>
      </c>
      <c r="H952" s="381"/>
      <c r="I952" s="381"/>
      <c r="J952" s="381"/>
      <c r="K952" s="381"/>
      <c r="L952" s="381"/>
      <c r="M952" s="381"/>
      <c r="N952" s="381"/>
      <c r="O952" s="381"/>
      <c r="P952" s="381"/>
      <c r="Q952" s="381"/>
    </row>
    <row r="953" spans="1:17" s="304" customFormat="1" ht="17.100000000000001" hidden="1" customHeight="1">
      <c r="A953" s="1080"/>
      <c r="B953" s="271"/>
      <c r="C953" s="299" t="s">
        <v>907</v>
      </c>
      <c r="D953" s="303" t="s">
        <v>39</v>
      </c>
      <c r="E953" s="300">
        <v>1</v>
      </c>
      <c r="F953" s="1045">
        <f>'lead 1'!H103</f>
        <v>154</v>
      </c>
      <c r="G953" s="302">
        <f t="shared" si="107"/>
        <v>154</v>
      </c>
      <c r="H953" s="381"/>
      <c r="I953" s="381"/>
      <c r="J953" s="381"/>
      <c r="K953" s="381"/>
      <c r="L953" s="381"/>
      <c r="M953" s="381"/>
      <c r="N953" s="381"/>
      <c r="O953" s="381"/>
      <c r="P953" s="381"/>
      <c r="Q953" s="381"/>
    </row>
    <row r="954" spans="1:17" s="304" customFormat="1" ht="17.100000000000001" hidden="1" customHeight="1">
      <c r="A954" s="1080"/>
      <c r="B954" s="271"/>
      <c r="C954" s="299" t="s">
        <v>908</v>
      </c>
      <c r="D954" s="303" t="s">
        <v>39</v>
      </c>
      <c r="E954" s="300">
        <v>1</v>
      </c>
      <c r="F954" s="1045">
        <f>'lead 1'!H96</f>
        <v>35</v>
      </c>
      <c r="G954" s="302">
        <f t="shared" si="107"/>
        <v>35</v>
      </c>
      <c r="H954" s="381"/>
      <c r="I954" s="381"/>
      <c r="J954" s="381"/>
      <c r="K954" s="381"/>
      <c r="L954" s="381"/>
      <c r="M954" s="381"/>
      <c r="N954" s="381"/>
      <c r="O954" s="381"/>
      <c r="P954" s="381"/>
      <c r="Q954" s="381"/>
    </row>
    <row r="955" spans="1:17" s="304" customFormat="1" ht="17.100000000000001" hidden="1" customHeight="1">
      <c r="A955" s="1080"/>
      <c r="B955" s="271"/>
      <c r="C955" s="299" t="s">
        <v>904</v>
      </c>
      <c r="D955" s="303" t="s">
        <v>39</v>
      </c>
      <c r="E955" s="300">
        <v>1</v>
      </c>
      <c r="F955" s="1045">
        <f>'lead 1'!H97</f>
        <v>51</v>
      </c>
      <c r="G955" s="302">
        <f t="shared" si="107"/>
        <v>51</v>
      </c>
      <c r="H955" s="381"/>
      <c r="I955" s="381"/>
      <c r="J955" s="381"/>
      <c r="K955" s="381"/>
      <c r="L955" s="381"/>
      <c r="M955" s="381"/>
      <c r="N955" s="381"/>
      <c r="O955" s="381"/>
      <c r="P955" s="381"/>
      <c r="Q955" s="381"/>
    </row>
    <row r="956" spans="1:17" s="304" customFormat="1" ht="17.100000000000001" hidden="1" customHeight="1">
      <c r="A956" s="1080"/>
      <c r="B956" s="271"/>
      <c r="C956" s="299" t="s">
        <v>909</v>
      </c>
      <c r="D956" s="303" t="s">
        <v>39</v>
      </c>
      <c r="E956" s="300">
        <v>6</v>
      </c>
      <c r="F956" s="1045">
        <f>'lead 1'!H100</f>
        <v>31</v>
      </c>
      <c r="G956" s="302">
        <f t="shared" si="107"/>
        <v>186</v>
      </c>
      <c r="H956" s="381"/>
      <c r="I956" s="381"/>
      <c r="J956" s="381"/>
      <c r="K956" s="381"/>
      <c r="L956" s="381"/>
      <c r="M956" s="381"/>
      <c r="N956" s="381"/>
      <c r="O956" s="381"/>
      <c r="P956" s="381"/>
      <c r="Q956" s="381"/>
    </row>
    <row r="957" spans="1:17" s="304" customFormat="1" ht="17.100000000000001" hidden="1" customHeight="1">
      <c r="A957" s="1080"/>
      <c r="B957" s="271"/>
      <c r="C957" s="299" t="s">
        <v>395</v>
      </c>
      <c r="D957" s="303" t="s">
        <v>39</v>
      </c>
      <c r="E957" s="300"/>
      <c r="F957" s="1045">
        <f>'lead 1'!H104</f>
        <v>45</v>
      </c>
      <c r="G957" s="302">
        <f t="shared" si="107"/>
        <v>0</v>
      </c>
      <c r="H957" s="381"/>
      <c r="I957" s="381"/>
      <c r="J957" s="381"/>
      <c r="K957" s="381"/>
      <c r="L957" s="381"/>
      <c r="M957" s="381"/>
      <c r="N957" s="381"/>
      <c r="O957" s="381"/>
      <c r="P957" s="381"/>
      <c r="Q957" s="381"/>
    </row>
    <row r="958" spans="1:17" s="304" customFormat="1" ht="17.100000000000001" hidden="1" customHeight="1">
      <c r="A958" s="1080"/>
      <c r="B958" s="271"/>
      <c r="C958" s="299" t="s">
        <v>704</v>
      </c>
      <c r="D958" s="303" t="s">
        <v>39</v>
      </c>
      <c r="E958" s="300">
        <v>2</v>
      </c>
      <c r="F958" s="1045">
        <f>'lead 1'!H101</f>
        <v>45</v>
      </c>
      <c r="G958" s="302">
        <f t="shared" si="107"/>
        <v>90</v>
      </c>
      <c r="H958" s="381"/>
      <c r="I958" s="381"/>
      <c r="J958" s="381"/>
      <c r="K958" s="381"/>
      <c r="L958" s="381"/>
      <c r="M958" s="381"/>
      <c r="N958" s="381"/>
      <c r="O958" s="381"/>
      <c r="P958" s="381"/>
      <c r="Q958" s="381"/>
    </row>
    <row r="959" spans="1:17" s="304" customFormat="1" ht="17.100000000000001" hidden="1" customHeight="1">
      <c r="A959" s="1080"/>
      <c r="B959" s="271"/>
      <c r="C959" s="299" t="s">
        <v>702</v>
      </c>
      <c r="D959" s="1045" t="s">
        <v>705</v>
      </c>
      <c r="E959" s="300">
        <v>1</v>
      </c>
      <c r="F959" s="1045">
        <f>'lead 1'!H87</f>
        <v>130</v>
      </c>
      <c r="G959" s="302">
        <f t="shared" si="107"/>
        <v>130</v>
      </c>
      <c r="H959" s="381"/>
      <c r="I959" s="381"/>
      <c r="J959" s="381"/>
      <c r="K959" s="381"/>
      <c r="L959" s="381"/>
      <c r="M959" s="381"/>
      <c r="N959" s="381"/>
      <c r="O959" s="381"/>
      <c r="P959" s="381"/>
      <c r="Q959" s="381"/>
    </row>
    <row r="960" spans="1:17" s="304" customFormat="1" ht="17.100000000000001" hidden="1" customHeight="1">
      <c r="A960" s="1080"/>
      <c r="B960" s="271"/>
      <c r="C960" s="299" t="s">
        <v>698</v>
      </c>
      <c r="D960" s="300"/>
      <c r="E960" s="303"/>
      <c r="F960" s="1045"/>
      <c r="G960" s="1045">
        <f>ROUND(SUM(G947:G959)*D2,2)</f>
        <v>0</v>
      </c>
      <c r="H960" s="381"/>
      <c r="I960" s="381"/>
      <c r="J960" s="381"/>
      <c r="K960" s="381"/>
      <c r="L960" s="381"/>
      <c r="M960" s="381"/>
      <c r="N960" s="381"/>
      <c r="O960" s="381"/>
      <c r="P960" s="381"/>
      <c r="Q960" s="381"/>
    </row>
    <row r="961" spans="1:17" s="304" customFormat="1" ht="17.100000000000001" hidden="1" customHeight="1">
      <c r="A961" s="1080"/>
      <c r="B961" s="271"/>
      <c r="C961" s="283"/>
      <c r="D961" s="300"/>
      <c r="E961" s="303"/>
      <c r="F961" s="303"/>
      <c r="G961" s="1046">
        <f>SUM(G947:G960)</f>
        <v>8557.82</v>
      </c>
      <c r="H961" s="381"/>
      <c r="I961" s="381"/>
      <c r="J961" s="381"/>
      <c r="K961" s="381"/>
      <c r="L961" s="381"/>
      <c r="M961" s="381"/>
      <c r="N961" s="381"/>
      <c r="O961" s="381"/>
      <c r="P961" s="381"/>
      <c r="Q961" s="381"/>
    </row>
    <row r="962" spans="1:17" s="304" customFormat="1" ht="17.100000000000001" hidden="1" customHeight="1">
      <c r="A962" s="1080"/>
      <c r="B962" s="271"/>
      <c r="C962" s="283"/>
      <c r="D962" s="352"/>
      <c r="E962" s="350"/>
      <c r="F962" s="350" t="s">
        <v>63</v>
      </c>
      <c r="G962" s="351">
        <f>G961</f>
        <v>8557.82</v>
      </c>
      <c r="H962" s="381"/>
      <c r="I962" s="381"/>
      <c r="J962" s="381"/>
      <c r="K962" s="381"/>
      <c r="L962" s="381"/>
      <c r="M962" s="381"/>
      <c r="N962" s="381"/>
      <c r="O962" s="381"/>
      <c r="P962" s="381"/>
      <c r="Q962" s="381"/>
    </row>
    <row r="963" spans="1:17" s="1059" customFormat="1" ht="22.5" hidden="1">
      <c r="A963" s="325"/>
      <c r="B963" s="326"/>
      <c r="C963" s="1077" t="s">
        <v>397</v>
      </c>
      <c r="D963" s="227"/>
      <c r="E963" s="327"/>
      <c r="F963" s="227"/>
      <c r="G963" s="328"/>
      <c r="H963" s="381"/>
      <c r="I963" s="381"/>
      <c r="J963" s="381"/>
      <c r="K963" s="381"/>
      <c r="L963" s="381"/>
      <c r="M963" s="381"/>
      <c r="N963" s="381"/>
      <c r="O963" s="381"/>
      <c r="P963" s="381"/>
      <c r="Q963" s="381"/>
    </row>
    <row r="964" spans="1:17" s="1059" customFormat="1" hidden="1">
      <c r="A964" s="325"/>
      <c r="B964" s="326"/>
      <c r="C964" s="1077" t="s">
        <v>401</v>
      </c>
      <c r="D964" s="227"/>
      <c r="E964" s="327"/>
      <c r="F964" s="227"/>
      <c r="G964" s="328"/>
      <c r="H964" s="381"/>
      <c r="I964" s="381"/>
      <c r="J964" s="381"/>
      <c r="K964" s="381"/>
      <c r="L964" s="381"/>
      <c r="M964" s="381"/>
      <c r="N964" s="381"/>
      <c r="O964" s="381"/>
      <c r="P964" s="381"/>
      <c r="Q964" s="381"/>
    </row>
    <row r="965" spans="1:17" s="1059" customFormat="1" hidden="1">
      <c r="A965" s="325"/>
      <c r="B965" s="326"/>
      <c r="C965" s="1077" t="s">
        <v>398</v>
      </c>
      <c r="D965" s="227" t="s">
        <v>186</v>
      </c>
      <c r="E965" s="327">
        <v>5.31</v>
      </c>
      <c r="F965" s="353">
        <f>'lead 1'!C44</f>
        <v>500</v>
      </c>
      <c r="G965" s="328">
        <f>ROUND(F965*E965,2)</f>
        <v>2655</v>
      </c>
      <c r="H965" s="381"/>
      <c r="I965" s="381"/>
      <c r="J965" s="381"/>
      <c r="K965" s="381"/>
      <c r="L965" s="381"/>
      <c r="M965" s="381"/>
      <c r="N965" s="381"/>
      <c r="O965" s="381"/>
      <c r="P965" s="381"/>
      <c r="Q965" s="381"/>
    </row>
    <row r="966" spans="1:17" s="1059" customFormat="1" hidden="1">
      <c r="A966" s="325"/>
      <c r="B966" s="326"/>
      <c r="C966" s="1077" t="s">
        <v>399</v>
      </c>
      <c r="D966" s="227" t="s">
        <v>186</v>
      </c>
      <c r="E966" s="327">
        <v>12.39</v>
      </c>
      <c r="F966" s="353">
        <f>'lead 1'!C45</f>
        <v>460</v>
      </c>
      <c r="G966" s="328">
        <f>ROUND(F966*E966,2)</f>
        <v>5699.4</v>
      </c>
      <c r="H966" s="381"/>
      <c r="I966" s="381"/>
      <c r="J966" s="381"/>
      <c r="K966" s="381"/>
      <c r="L966" s="381"/>
      <c r="M966" s="381"/>
      <c r="N966" s="381"/>
      <c r="O966" s="381"/>
      <c r="P966" s="381"/>
      <c r="Q966" s="381"/>
    </row>
    <row r="967" spans="1:17" s="1059" customFormat="1" hidden="1">
      <c r="A967" s="325"/>
      <c r="B967" s="326"/>
      <c r="C967" s="1077" t="s">
        <v>400</v>
      </c>
      <c r="D967" s="227" t="s">
        <v>186</v>
      </c>
      <c r="E967" s="327">
        <v>8.8000000000000007</v>
      </c>
      <c r="F967" s="353">
        <f>'lead 1'!C42</f>
        <v>420</v>
      </c>
      <c r="G967" s="328">
        <f>ROUND(F967*E967,2)</f>
        <v>3696</v>
      </c>
      <c r="H967" s="381"/>
      <c r="I967" s="381"/>
      <c r="J967" s="381"/>
      <c r="K967" s="381"/>
      <c r="L967" s="381"/>
      <c r="M967" s="381"/>
      <c r="N967" s="381"/>
      <c r="O967" s="381"/>
      <c r="P967" s="381"/>
      <c r="Q967" s="381"/>
    </row>
    <row r="968" spans="1:17" s="1059" customFormat="1" hidden="1">
      <c r="A968" s="325"/>
      <c r="B968" s="326"/>
      <c r="C968" s="1077" t="s">
        <v>900</v>
      </c>
      <c r="D968" s="227"/>
      <c r="E968" s="328">
        <f>SUM(G965:G967)</f>
        <v>12050.4</v>
      </c>
      <c r="F968" s="353"/>
      <c r="G968" s="328">
        <f>ROUND(E968*D3,2)</f>
        <v>0</v>
      </c>
      <c r="H968" s="381"/>
      <c r="I968" s="381"/>
      <c r="J968" s="381"/>
      <c r="K968" s="381"/>
      <c r="L968" s="381"/>
      <c r="M968" s="381"/>
      <c r="N968" s="381"/>
      <c r="O968" s="381"/>
      <c r="P968" s="381"/>
      <c r="Q968" s="381"/>
    </row>
    <row r="969" spans="1:17" s="1059" customFormat="1" hidden="1">
      <c r="A969" s="325"/>
      <c r="B969" s="326"/>
      <c r="C969" s="1077"/>
      <c r="D969" s="227"/>
      <c r="E969" s="327"/>
      <c r="F969" s="227"/>
      <c r="G969" s="1067">
        <f>SUM(G965:G968)</f>
        <v>12050.4</v>
      </c>
      <c r="H969" s="381"/>
      <c r="I969" s="381"/>
      <c r="J969" s="381"/>
      <c r="K969" s="381"/>
      <c r="L969" s="381"/>
      <c r="M969" s="381"/>
      <c r="N969" s="381"/>
      <c r="O969" s="381"/>
      <c r="P969" s="381"/>
      <c r="Q969" s="381"/>
    </row>
    <row r="970" spans="1:17" s="1059" customFormat="1" ht="80.25" hidden="1" customHeight="1">
      <c r="A970" s="263"/>
      <c r="B970" s="189">
        <v>55</v>
      </c>
      <c r="C970" s="1312" t="s">
        <v>1191</v>
      </c>
      <c r="D970" s="1312"/>
      <c r="E970" s="1312"/>
      <c r="F970" s="1312"/>
      <c r="G970" s="1312"/>
      <c r="H970" s="381"/>
      <c r="I970" s="381"/>
      <c r="J970" s="381"/>
      <c r="K970" s="381"/>
      <c r="L970" s="381"/>
      <c r="M970" s="381"/>
      <c r="N970" s="381"/>
      <c r="O970" s="381"/>
      <c r="P970" s="381"/>
      <c r="Q970" s="381"/>
    </row>
    <row r="971" spans="1:17" s="1059" customFormat="1" ht="101.25" hidden="1">
      <c r="A971" s="325"/>
      <c r="B971" s="326"/>
      <c r="C971" s="1077" t="s">
        <v>1174</v>
      </c>
      <c r="D971" s="300" t="s">
        <v>1172</v>
      </c>
      <c r="E971" s="1063">
        <f>2.15*2+1.2</f>
        <v>5.5</v>
      </c>
      <c r="F971" s="1064">
        <f>G993</f>
        <v>550</v>
      </c>
      <c r="G971" s="302">
        <f>+F971*E971</f>
        <v>3025</v>
      </c>
      <c r="H971" s="381"/>
      <c r="I971" s="381"/>
      <c r="J971" s="381"/>
      <c r="K971" s="381"/>
      <c r="L971" s="381"/>
      <c r="M971" s="381"/>
      <c r="N971" s="381"/>
      <c r="O971" s="381"/>
      <c r="P971" s="381"/>
      <c r="Q971" s="381"/>
    </row>
    <row r="972" spans="1:17" s="1059" customFormat="1" ht="22.5" hidden="1">
      <c r="A972" s="271" t="s">
        <v>906</v>
      </c>
      <c r="B972" s="271"/>
      <c r="C972" s="299" t="s">
        <v>714</v>
      </c>
      <c r="D972" s="300" t="s">
        <v>625</v>
      </c>
      <c r="E972" s="1063">
        <v>2.52</v>
      </c>
      <c r="F972" s="1064">
        <v>1960</v>
      </c>
      <c r="G972" s="302">
        <f>+F972*E972</f>
        <v>4939.2</v>
      </c>
      <c r="H972" s="381"/>
      <c r="I972" s="381"/>
      <c r="J972" s="381"/>
      <c r="K972" s="381"/>
      <c r="L972" s="381"/>
      <c r="M972" s="381"/>
      <c r="N972" s="381"/>
      <c r="O972" s="381"/>
      <c r="P972" s="381"/>
      <c r="Q972" s="381"/>
    </row>
    <row r="973" spans="1:17" s="1059" customFormat="1" hidden="1">
      <c r="A973" s="325"/>
      <c r="B973" s="271"/>
      <c r="C973" s="299" t="s">
        <v>1360</v>
      </c>
      <c r="D973" s="300" t="s">
        <v>625</v>
      </c>
      <c r="E973" s="1063">
        <v>2.52</v>
      </c>
      <c r="F973" s="1064">
        <v>383</v>
      </c>
      <c r="G973" s="302">
        <f>+F973*E973</f>
        <v>965.16</v>
      </c>
      <c r="H973" s="381"/>
      <c r="I973" s="381"/>
      <c r="J973" s="381"/>
      <c r="K973" s="381"/>
      <c r="L973" s="381"/>
      <c r="M973" s="381"/>
      <c r="N973" s="381"/>
      <c r="O973" s="381"/>
      <c r="P973" s="381"/>
      <c r="Q973" s="381"/>
    </row>
    <row r="974" spans="1:17" s="1059" customFormat="1" hidden="1">
      <c r="A974" s="325"/>
      <c r="B974" s="271"/>
      <c r="C974" s="349" t="s">
        <v>162</v>
      </c>
      <c r="D974" s="292"/>
      <c r="E974" s="292"/>
      <c r="F974" s="292"/>
      <c r="G974" s="346"/>
      <c r="H974" s="381"/>
      <c r="I974" s="381"/>
      <c r="J974" s="381"/>
      <c r="K974" s="381"/>
      <c r="L974" s="381"/>
      <c r="M974" s="381"/>
      <c r="N974" s="381"/>
      <c r="O974" s="381"/>
      <c r="P974" s="381"/>
      <c r="Q974" s="381"/>
    </row>
    <row r="975" spans="1:17" s="1059" customFormat="1" hidden="1">
      <c r="A975" s="325"/>
      <c r="B975" s="271"/>
      <c r="C975" s="283" t="s">
        <v>37</v>
      </c>
      <c r="D975" s="300"/>
      <c r="E975" s="303"/>
      <c r="F975" s="303"/>
      <c r="G975" s="303"/>
      <c r="H975" s="381"/>
      <c r="I975" s="381"/>
      <c r="J975" s="381"/>
      <c r="K975" s="381"/>
      <c r="L975" s="381"/>
      <c r="M975" s="381"/>
      <c r="N975" s="381"/>
      <c r="O975" s="381"/>
      <c r="P975" s="381"/>
      <c r="Q975" s="381"/>
    </row>
    <row r="976" spans="1:17" s="1059" customFormat="1" hidden="1">
      <c r="A976" s="325"/>
      <c r="B976" s="271"/>
      <c r="C976" s="299" t="s">
        <v>715</v>
      </c>
      <c r="D976" s="303" t="s">
        <v>39</v>
      </c>
      <c r="E976" s="300">
        <v>4</v>
      </c>
      <c r="F976" s="1045">
        <f t="shared" ref="F976:F983" si="108">F952</f>
        <v>32</v>
      </c>
      <c r="G976" s="302">
        <f t="shared" ref="G976:G983" si="109">E976*F976</f>
        <v>128</v>
      </c>
      <c r="H976" s="381"/>
      <c r="I976" s="381"/>
      <c r="J976" s="381"/>
      <c r="K976" s="381"/>
      <c r="L976" s="381"/>
      <c r="M976" s="381"/>
      <c r="N976" s="381"/>
      <c r="O976" s="381"/>
      <c r="P976" s="381"/>
      <c r="Q976" s="381"/>
    </row>
    <row r="977" spans="1:17" s="1059" customFormat="1" hidden="1">
      <c r="A977" s="325"/>
      <c r="B977" s="271"/>
      <c r="C977" s="299" t="s">
        <v>1184</v>
      </c>
      <c r="D977" s="303" t="s">
        <v>39</v>
      </c>
      <c r="E977" s="300">
        <v>1</v>
      </c>
      <c r="F977" s="1045">
        <f t="shared" si="108"/>
        <v>154</v>
      </c>
      <c r="G977" s="302">
        <f t="shared" si="109"/>
        <v>154</v>
      </c>
      <c r="H977" s="381"/>
      <c r="I977" s="381"/>
      <c r="J977" s="381"/>
      <c r="K977" s="381"/>
      <c r="L977" s="381"/>
      <c r="M977" s="381"/>
      <c r="N977" s="381"/>
      <c r="O977" s="381"/>
      <c r="P977" s="381"/>
      <c r="Q977" s="381"/>
    </row>
    <row r="978" spans="1:17" s="1059" customFormat="1" hidden="1">
      <c r="A978" s="325"/>
      <c r="B978" s="271"/>
      <c r="C978" s="299" t="s">
        <v>908</v>
      </c>
      <c r="D978" s="303" t="s">
        <v>39</v>
      </c>
      <c r="E978" s="300">
        <v>2</v>
      </c>
      <c r="F978" s="1045">
        <f t="shared" si="108"/>
        <v>35</v>
      </c>
      <c r="G978" s="302">
        <f t="shared" si="109"/>
        <v>70</v>
      </c>
      <c r="H978" s="381"/>
      <c r="I978" s="381"/>
      <c r="J978" s="381"/>
      <c r="K978" s="381"/>
      <c r="L978" s="381"/>
      <c r="M978" s="381"/>
      <c r="N978" s="381"/>
      <c r="O978" s="381"/>
      <c r="P978" s="381"/>
      <c r="Q978" s="381"/>
    </row>
    <row r="979" spans="1:17" s="1059" customFormat="1" hidden="1">
      <c r="A979" s="325"/>
      <c r="B979" s="271"/>
      <c r="C979" s="299" t="s">
        <v>904</v>
      </c>
      <c r="D979" s="303" t="s">
        <v>39</v>
      </c>
      <c r="E979" s="300">
        <v>0</v>
      </c>
      <c r="F979" s="1045">
        <f t="shared" si="108"/>
        <v>51</v>
      </c>
      <c r="G979" s="302">
        <f t="shared" si="109"/>
        <v>0</v>
      </c>
      <c r="H979" s="381"/>
      <c r="I979" s="381"/>
      <c r="J979" s="381"/>
      <c r="K979" s="381"/>
      <c r="L979" s="381"/>
      <c r="M979" s="381"/>
      <c r="N979" s="381"/>
      <c r="O979" s="381"/>
      <c r="P979" s="381"/>
      <c r="Q979" s="381"/>
    </row>
    <row r="980" spans="1:17" s="1059" customFormat="1" hidden="1">
      <c r="A980" s="325"/>
      <c r="B980" s="271"/>
      <c r="C980" s="299" t="s">
        <v>1182</v>
      </c>
      <c r="D980" s="303" t="s">
        <v>39</v>
      </c>
      <c r="E980" s="300">
        <v>6</v>
      </c>
      <c r="F980" s="1045">
        <f t="shared" si="108"/>
        <v>31</v>
      </c>
      <c r="G980" s="302">
        <f t="shared" si="109"/>
        <v>186</v>
      </c>
      <c r="H980" s="381"/>
      <c r="I980" s="381"/>
      <c r="J980" s="381"/>
      <c r="K980" s="381"/>
      <c r="L980" s="381"/>
      <c r="M980" s="381"/>
      <c r="N980" s="381"/>
      <c r="O980" s="381"/>
      <c r="P980" s="381"/>
      <c r="Q980" s="381"/>
    </row>
    <row r="981" spans="1:17" s="1059" customFormat="1" hidden="1">
      <c r="A981" s="325"/>
      <c r="B981" s="271"/>
      <c r="C981" s="299" t="s">
        <v>1183</v>
      </c>
      <c r="D981" s="303" t="s">
        <v>39</v>
      </c>
      <c r="E981" s="300">
        <v>2</v>
      </c>
      <c r="F981" s="1045">
        <f t="shared" si="108"/>
        <v>45</v>
      </c>
      <c r="G981" s="302">
        <f t="shared" si="109"/>
        <v>90</v>
      </c>
      <c r="H981" s="381"/>
      <c r="I981" s="381"/>
      <c r="J981" s="381"/>
      <c r="K981" s="381"/>
      <c r="L981" s="381"/>
      <c r="M981" s="381"/>
      <c r="N981" s="381"/>
      <c r="O981" s="381"/>
      <c r="P981" s="381"/>
      <c r="Q981" s="381"/>
    </row>
    <row r="982" spans="1:17" s="1059" customFormat="1" hidden="1">
      <c r="A982" s="325"/>
      <c r="B982" s="271"/>
      <c r="C982" s="299" t="s">
        <v>704</v>
      </c>
      <c r="D982" s="303" t="s">
        <v>39</v>
      </c>
      <c r="E982" s="300">
        <v>2</v>
      </c>
      <c r="F982" s="1045">
        <f t="shared" si="108"/>
        <v>45</v>
      </c>
      <c r="G982" s="302">
        <f t="shared" si="109"/>
        <v>90</v>
      </c>
      <c r="H982" s="381"/>
      <c r="I982" s="381"/>
      <c r="J982" s="381"/>
      <c r="K982" s="381"/>
      <c r="L982" s="381"/>
      <c r="M982" s="381"/>
      <c r="N982" s="381"/>
      <c r="O982" s="381"/>
      <c r="P982" s="381"/>
      <c r="Q982" s="381"/>
    </row>
    <row r="983" spans="1:17" s="1059" customFormat="1" hidden="1">
      <c r="A983" s="325"/>
      <c r="B983" s="271"/>
      <c r="C983" s="299" t="s">
        <v>702</v>
      </c>
      <c r="D983" s="1045" t="s">
        <v>705</v>
      </c>
      <c r="E983" s="300">
        <v>1</v>
      </c>
      <c r="F983" s="1045">
        <f t="shared" si="108"/>
        <v>130</v>
      </c>
      <c r="G983" s="302">
        <f t="shared" si="109"/>
        <v>130</v>
      </c>
      <c r="H983" s="381"/>
      <c r="I983" s="381"/>
      <c r="J983" s="381"/>
      <c r="K983" s="381"/>
      <c r="L983" s="381"/>
      <c r="M983" s="381"/>
      <c r="N983" s="381"/>
      <c r="O983" s="381"/>
      <c r="P983" s="381"/>
      <c r="Q983" s="381"/>
    </row>
    <row r="984" spans="1:17" s="1059" customFormat="1" hidden="1">
      <c r="A984" s="325"/>
      <c r="B984" s="271"/>
      <c r="C984" s="299" t="s">
        <v>698</v>
      </c>
      <c r="D984" s="300"/>
      <c r="E984" s="303"/>
      <c r="F984" s="1045"/>
      <c r="G984" s="1045">
        <f>ROUND(SUM(G971:G983)*D26,2)</f>
        <v>0</v>
      </c>
      <c r="H984" s="381"/>
      <c r="I984" s="381"/>
      <c r="J984" s="381"/>
      <c r="K984" s="381"/>
      <c r="L984" s="381"/>
      <c r="M984" s="381"/>
      <c r="N984" s="381"/>
      <c r="O984" s="381"/>
      <c r="P984" s="381"/>
      <c r="Q984" s="381"/>
    </row>
    <row r="985" spans="1:17" s="1059" customFormat="1" hidden="1">
      <c r="A985" s="325"/>
      <c r="B985" s="271"/>
      <c r="C985" s="283"/>
      <c r="D985" s="300"/>
      <c r="E985" s="303"/>
      <c r="F985" s="303"/>
      <c r="G985" s="1046">
        <f>SUM(G971:G984)</f>
        <v>9777.36</v>
      </c>
      <c r="H985" s="381"/>
      <c r="I985" s="381"/>
      <c r="J985" s="381"/>
      <c r="K985" s="381"/>
      <c r="L985" s="381"/>
      <c r="M985" s="381"/>
      <c r="N985" s="381"/>
      <c r="O985" s="381"/>
      <c r="P985" s="381"/>
      <c r="Q985" s="381"/>
    </row>
    <row r="986" spans="1:17" s="1059" customFormat="1" hidden="1">
      <c r="A986" s="325"/>
      <c r="B986" s="271"/>
      <c r="C986" s="283"/>
      <c r="D986" s="352"/>
      <c r="E986" s="350"/>
      <c r="F986" s="350" t="s">
        <v>63</v>
      </c>
      <c r="G986" s="351">
        <f>G985</f>
        <v>9777.36</v>
      </c>
      <c r="H986" s="381"/>
      <c r="I986" s="381"/>
      <c r="J986" s="381"/>
      <c r="K986" s="381"/>
      <c r="L986" s="381"/>
      <c r="M986" s="381"/>
      <c r="N986" s="381"/>
      <c r="O986" s="381"/>
      <c r="P986" s="381"/>
      <c r="Q986" s="381"/>
    </row>
    <row r="987" spans="1:17" s="1059" customFormat="1" ht="103.5" hidden="1" customHeight="1">
      <c r="A987" s="325"/>
      <c r="B987" s="326">
        <v>56</v>
      </c>
      <c r="C987" s="1312" t="s">
        <v>1188</v>
      </c>
      <c r="D987" s="1312"/>
      <c r="E987" s="1312"/>
      <c r="F987" s="1312"/>
      <c r="G987" s="1312"/>
      <c r="H987" s="381"/>
      <c r="I987" s="381"/>
      <c r="J987" s="381"/>
      <c r="K987" s="381"/>
      <c r="L987" s="381"/>
      <c r="M987" s="381"/>
      <c r="N987" s="381"/>
      <c r="O987" s="381"/>
      <c r="P987" s="381"/>
      <c r="Q987" s="381"/>
    </row>
    <row r="988" spans="1:17" s="1059" customFormat="1" ht="46.5" hidden="1" customHeight="1">
      <c r="A988" s="354" t="s">
        <v>910</v>
      </c>
      <c r="B988" s="354"/>
      <c r="C988" s="1077" t="s">
        <v>721</v>
      </c>
      <c r="D988" s="355" t="s">
        <v>625</v>
      </c>
      <c r="E988" s="356">
        <v>1</v>
      </c>
      <c r="F988" s="355">
        <v>7288</v>
      </c>
      <c r="G988" s="549">
        <f>ROUND(F988*E988,2)</f>
        <v>7288</v>
      </c>
      <c r="H988" s="381"/>
      <c r="I988" s="381"/>
      <c r="J988" s="381"/>
      <c r="K988" s="381"/>
      <c r="L988" s="381"/>
      <c r="M988" s="381"/>
      <c r="N988" s="381"/>
      <c r="O988" s="381"/>
      <c r="P988" s="381"/>
      <c r="Q988" s="381"/>
    </row>
    <row r="989" spans="1:17" s="1059" customFormat="1" hidden="1">
      <c r="A989" s="325"/>
      <c r="B989" s="326"/>
      <c r="C989" s="1077" t="s">
        <v>722</v>
      </c>
      <c r="D989" s="227"/>
      <c r="E989" s="327"/>
      <c r="F989" s="227"/>
      <c r="G989" s="328">
        <f>ROUND(SUM(G988)*D2,2)</f>
        <v>0</v>
      </c>
      <c r="H989" s="381"/>
      <c r="I989" s="381"/>
      <c r="J989" s="381"/>
      <c r="K989" s="381"/>
      <c r="L989" s="381"/>
      <c r="M989" s="381"/>
      <c r="N989" s="381"/>
      <c r="O989" s="381"/>
      <c r="P989" s="381"/>
      <c r="Q989" s="381"/>
    </row>
    <row r="990" spans="1:17" s="1059" customFormat="1" hidden="1">
      <c r="A990" s="325"/>
      <c r="B990" s="326"/>
      <c r="C990" s="1077"/>
      <c r="D990" s="227"/>
      <c r="E990" s="327"/>
      <c r="F990" s="227"/>
      <c r="G990" s="328">
        <f>SUM(G988:G989)</f>
        <v>7288</v>
      </c>
      <c r="H990" s="381"/>
      <c r="I990" s="381"/>
      <c r="J990" s="381"/>
      <c r="K990" s="381"/>
      <c r="L990" s="381"/>
      <c r="M990" s="381"/>
      <c r="N990" s="381"/>
      <c r="O990" s="381"/>
      <c r="P990" s="381"/>
      <c r="Q990" s="381"/>
    </row>
    <row r="991" spans="1:17" s="1059" customFormat="1" ht="68.25" hidden="1" customHeight="1">
      <c r="A991" s="147" t="s">
        <v>1168</v>
      </c>
      <c r="B991" s="147">
        <v>57</v>
      </c>
      <c r="C991" s="1312" t="s">
        <v>1167</v>
      </c>
      <c r="D991" s="1312"/>
      <c r="E991" s="1312"/>
      <c r="F991" s="1312"/>
      <c r="G991" s="1312"/>
      <c r="H991" s="381"/>
      <c r="I991" s="381"/>
      <c r="J991" s="381"/>
      <c r="K991" s="381"/>
      <c r="L991" s="381"/>
      <c r="M991" s="381"/>
      <c r="N991" s="381"/>
      <c r="O991" s="381"/>
      <c r="P991" s="381"/>
      <c r="Q991" s="381"/>
    </row>
    <row r="992" spans="1:17" s="1059" customFormat="1" hidden="1">
      <c r="A992" s="325"/>
      <c r="B992" s="354"/>
      <c r="C992" s="1068"/>
      <c r="D992" s="300" t="s">
        <v>551</v>
      </c>
      <c r="E992" s="300">
        <v>1</v>
      </c>
      <c r="F992" s="271">
        <v>550</v>
      </c>
      <c r="G992" s="297">
        <f>ROUND(F992*E992,2)</f>
        <v>550</v>
      </c>
      <c r="H992" s="381"/>
      <c r="I992" s="381"/>
      <c r="J992" s="381"/>
      <c r="K992" s="381"/>
      <c r="L992" s="381"/>
      <c r="M992" s="381"/>
      <c r="N992" s="381"/>
      <c r="O992" s="381"/>
      <c r="P992" s="381"/>
      <c r="Q992" s="381"/>
    </row>
    <row r="993" spans="1:17" s="1059" customFormat="1" hidden="1">
      <c r="A993" s="325"/>
      <c r="B993" s="354"/>
      <c r="C993" s="1068"/>
      <c r="D993" s="1082"/>
      <c r="E993" s="1082"/>
      <c r="F993" s="1082"/>
      <c r="G993" s="1045">
        <f>SUM(G992)</f>
        <v>550</v>
      </c>
      <c r="H993" s="381"/>
      <c r="I993" s="381"/>
      <c r="J993" s="381"/>
      <c r="K993" s="381"/>
      <c r="L993" s="381"/>
      <c r="M993" s="381"/>
      <c r="N993" s="381"/>
      <c r="O993" s="381"/>
      <c r="P993" s="381"/>
      <c r="Q993" s="381"/>
    </row>
    <row r="994" spans="1:17" s="1059" customFormat="1" hidden="1">
      <c r="A994" s="325"/>
      <c r="B994" s="354"/>
      <c r="C994" s="1068"/>
      <c r="D994" s="1068"/>
      <c r="E994" s="1068"/>
      <c r="F994" s="1068"/>
      <c r="G994" s="1069"/>
      <c r="H994" s="381"/>
      <c r="I994" s="381"/>
      <c r="J994" s="381"/>
      <c r="K994" s="381"/>
      <c r="L994" s="381"/>
      <c r="M994" s="381"/>
      <c r="N994" s="381"/>
      <c r="O994" s="381"/>
      <c r="P994" s="381"/>
      <c r="Q994" s="381"/>
    </row>
    <row r="995" spans="1:17" s="1059" customFormat="1" ht="102.75" hidden="1" customHeight="1">
      <c r="A995" s="147" t="s">
        <v>1168</v>
      </c>
      <c r="B995" s="147">
        <v>58</v>
      </c>
      <c r="C995" s="1312" t="s">
        <v>1300</v>
      </c>
      <c r="D995" s="1312"/>
      <c r="E995" s="1312"/>
      <c r="F995" s="1312"/>
      <c r="G995" s="1312"/>
      <c r="H995" s="381"/>
      <c r="I995" s="381"/>
      <c r="J995" s="381"/>
      <c r="K995" s="381"/>
      <c r="L995" s="381"/>
      <c r="M995" s="381"/>
      <c r="N995" s="381"/>
      <c r="O995" s="381"/>
      <c r="P995" s="381"/>
      <c r="Q995" s="381"/>
    </row>
    <row r="996" spans="1:17" s="1059" customFormat="1" hidden="1">
      <c r="A996" s="325"/>
      <c r="B996" s="354"/>
      <c r="C996" s="1068"/>
      <c r="D996" s="1070" t="s">
        <v>1171</v>
      </c>
      <c r="E996" s="1070">
        <v>1</v>
      </c>
      <c r="F996" s="1071">
        <v>2770</v>
      </c>
      <c r="G996" s="542">
        <f>ROUND(F996*E996,2)</f>
        <v>2770</v>
      </c>
      <c r="H996" s="381"/>
      <c r="I996" s="381"/>
      <c r="J996" s="381"/>
      <c r="K996" s="381"/>
      <c r="L996" s="381"/>
      <c r="M996" s="381"/>
      <c r="N996" s="381"/>
      <c r="O996" s="381"/>
      <c r="P996" s="381"/>
      <c r="Q996" s="381"/>
    </row>
    <row r="997" spans="1:17" s="1059" customFormat="1" hidden="1">
      <c r="A997" s="325"/>
      <c r="B997" s="354"/>
      <c r="C997" s="1068"/>
      <c r="D997" s="1068"/>
      <c r="E997" s="1068"/>
      <c r="F997" s="1068"/>
      <c r="G997" s="1069">
        <f>SUM(G996)</f>
        <v>2770</v>
      </c>
      <c r="H997" s="381"/>
      <c r="I997" s="381"/>
      <c r="J997" s="381"/>
      <c r="K997" s="381"/>
      <c r="L997" s="381"/>
      <c r="M997" s="381"/>
      <c r="N997" s="381"/>
      <c r="O997" s="381"/>
      <c r="P997" s="381"/>
      <c r="Q997" s="381"/>
    </row>
    <row r="998" spans="1:17" s="1059" customFormat="1" hidden="1">
      <c r="A998" s="325"/>
      <c r="B998" s="354"/>
      <c r="C998" s="1068"/>
      <c r="D998" s="1068"/>
      <c r="E998" s="1068"/>
      <c r="F998" s="1068"/>
      <c r="G998" s="1069"/>
      <c r="H998" s="381"/>
      <c r="I998" s="381"/>
      <c r="J998" s="381"/>
      <c r="K998" s="381"/>
      <c r="L998" s="381"/>
      <c r="M998" s="381"/>
      <c r="N998" s="381"/>
      <c r="O998" s="381"/>
      <c r="P998" s="381"/>
      <c r="Q998" s="381"/>
    </row>
    <row r="999" spans="1:17" s="1059" customFormat="1" ht="49.5" hidden="1" customHeight="1">
      <c r="A999" s="147" t="s">
        <v>1169</v>
      </c>
      <c r="B999" s="147">
        <v>59</v>
      </c>
      <c r="C999" s="1312" t="s">
        <v>1189</v>
      </c>
      <c r="D999" s="1312"/>
      <c r="E999" s="1312"/>
      <c r="F999" s="1312"/>
      <c r="G999" s="1312"/>
      <c r="H999" s="381"/>
      <c r="I999" s="381"/>
      <c r="J999" s="381"/>
      <c r="K999" s="381"/>
      <c r="L999" s="381"/>
      <c r="M999" s="381"/>
      <c r="N999" s="381"/>
      <c r="O999" s="381"/>
      <c r="P999" s="381"/>
      <c r="Q999" s="381"/>
    </row>
    <row r="1000" spans="1:17" s="1059" customFormat="1" hidden="1">
      <c r="A1000" s="325"/>
      <c r="B1000" s="326"/>
      <c r="C1000" s="1077"/>
      <c r="D1000" s="300" t="s">
        <v>551</v>
      </c>
      <c r="E1000" s="300">
        <v>1</v>
      </c>
      <c r="F1000" s="271">
        <v>805</v>
      </c>
      <c r="G1000" s="297">
        <f>ROUND(F1000*E1000,2)</f>
        <v>805</v>
      </c>
      <c r="H1000" s="381"/>
      <c r="I1000" s="381"/>
      <c r="J1000" s="381"/>
      <c r="K1000" s="381"/>
      <c r="L1000" s="381"/>
      <c r="M1000" s="381"/>
      <c r="N1000" s="381"/>
      <c r="O1000" s="381"/>
      <c r="P1000" s="381"/>
      <c r="Q1000" s="381"/>
    </row>
    <row r="1001" spans="1:17" s="1059" customFormat="1" hidden="1">
      <c r="A1001" s="325"/>
      <c r="B1001" s="326"/>
      <c r="C1001" s="1077"/>
      <c r="D1001" s="1082"/>
      <c r="E1001" s="1082"/>
      <c r="F1001" s="1082"/>
      <c r="G1001" s="1045">
        <f>SUM(G1000)</f>
        <v>805</v>
      </c>
      <c r="H1001" s="381"/>
      <c r="I1001" s="381"/>
      <c r="J1001" s="381"/>
      <c r="K1001" s="381"/>
      <c r="L1001" s="381"/>
      <c r="M1001" s="381"/>
      <c r="N1001" s="381"/>
      <c r="O1001" s="381"/>
      <c r="P1001" s="381"/>
      <c r="Q1001" s="381"/>
    </row>
    <row r="1002" spans="1:17" s="1059" customFormat="1" hidden="1">
      <c r="A1002" s="325"/>
      <c r="B1002" s="326"/>
      <c r="C1002" s="1077"/>
      <c r="D1002" s="1068"/>
      <c r="E1002" s="1068"/>
      <c r="F1002" s="1068"/>
      <c r="G1002" s="1069"/>
      <c r="H1002" s="381"/>
      <c r="I1002" s="381"/>
      <c r="J1002" s="381"/>
      <c r="K1002" s="381"/>
      <c r="L1002" s="381"/>
      <c r="M1002" s="381"/>
      <c r="N1002" s="381"/>
      <c r="O1002" s="381"/>
      <c r="P1002" s="381"/>
      <c r="Q1002" s="381"/>
    </row>
    <row r="1003" spans="1:17" s="1059" customFormat="1" ht="126.75" hidden="1" customHeight="1">
      <c r="A1003" s="147" t="s">
        <v>1170</v>
      </c>
      <c r="B1003" s="147">
        <v>60</v>
      </c>
      <c r="C1003" s="1312" t="s">
        <v>1190</v>
      </c>
      <c r="D1003" s="1312"/>
      <c r="E1003" s="1312"/>
      <c r="F1003" s="1312"/>
      <c r="G1003" s="1312"/>
      <c r="H1003" s="381"/>
      <c r="I1003" s="381"/>
      <c r="J1003" s="381"/>
      <c r="K1003" s="381"/>
      <c r="L1003" s="381"/>
      <c r="M1003" s="381"/>
      <c r="N1003" s="381"/>
      <c r="O1003" s="381"/>
      <c r="P1003" s="381"/>
      <c r="Q1003" s="381"/>
    </row>
    <row r="1004" spans="1:17" s="1059" customFormat="1" hidden="1">
      <c r="A1004" s="325"/>
      <c r="B1004" s="326"/>
      <c r="C1004" s="1077"/>
      <c r="D1004" s="300" t="s">
        <v>551</v>
      </c>
      <c r="E1004" s="300">
        <v>1</v>
      </c>
      <c r="F1004" s="271">
        <v>407</v>
      </c>
      <c r="G1004" s="297">
        <f>ROUND(F1004*E1004,2)</f>
        <v>407</v>
      </c>
      <c r="H1004" s="381"/>
      <c r="I1004" s="381"/>
      <c r="J1004" s="381"/>
      <c r="K1004" s="381"/>
      <c r="L1004" s="381"/>
      <c r="M1004" s="381"/>
      <c r="N1004" s="381"/>
      <c r="O1004" s="381"/>
      <c r="P1004" s="381"/>
      <c r="Q1004" s="381"/>
    </row>
    <row r="1005" spans="1:17" s="1059" customFormat="1" hidden="1">
      <c r="A1005" s="325"/>
      <c r="B1005" s="326"/>
      <c r="C1005" s="1077"/>
      <c r="D1005" s="1082"/>
      <c r="E1005" s="1082"/>
      <c r="F1005" s="1082"/>
      <c r="G1005" s="1045">
        <f>SUM(G1004)</f>
        <v>407</v>
      </c>
      <c r="H1005" s="381"/>
      <c r="I1005" s="381"/>
      <c r="J1005" s="381"/>
      <c r="K1005" s="381"/>
      <c r="L1005" s="381"/>
      <c r="M1005" s="381"/>
      <c r="N1005" s="381"/>
      <c r="O1005" s="381"/>
      <c r="P1005" s="381"/>
      <c r="Q1005" s="381"/>
    </row>
    <row r="1006" spans="1:17" s="876" customFormat="1" ht="24">
      <c r="A1006" s="1215" t="s">
        <v>2010</v>
      </c>
      <c r="B1006" s="1216">
        <v>26</v>
      </c>
      <c r="C1006" s="1215" t="s">
        <v>2011</v>
      </c>
      <c r="D1006" s="1215"/>
      <c r="E1006" s="1215"/>
      <c r="F1006" s="1215"/>
      <c r="G1006" s="1215"/>
      <c r="H1006" s="1165"/>
      <c r="I1006" s="1165"/>
      <c r="J1006" s="1165"/>
    </row>
    <row r="1007" spans="1:17" s="876" customFormat="1" ht="12.75">
      <c r="A1007" s="1215"/>
      <c r="B1007" s="1217"/>
      <c r="C1007" s="1218" t="s">
        <v>2012</v>
      </c>
      <c r="D1007" s="1217" t="s">
        <v>186</v>
      </c>
      <c r="E1007" s="1219">
        <v>17.7</v>
      </c>
      <c r="F1007" s="1219">
        <v>580</v>
      </c>
      <c r="G1007" s="1220">
        <f>ROUND(E1007*F1007,2)</f>
        <v>10266</v>
      </c>
      <c r="H1007" s="1165"/>
      <c r="I1007" s="1165"/>
      <c r="J1007" s="1165"/>
    </row>
    <row r="1008" spans="1:17" s="876" customFormat="1" ht="12.75">
      <c r="A1008" s="1215"/>
      <c r="B1008" s="1217"/>
      <c r="C1008" s="1218" t="s">
        <v>2013</v>
      </c>
      <c r="D1008" s="1217" t="s">
        <v>186</v>
      </c>
      <c r="E1008" s="1219">
        <v>8.8000000000000007</v>
      </c>
      <c r="F1008" s="1219">
        <v>420</v>
      </c>
      <c r="G1008" s="1220">
        <f>ROUND(E1008*F1008,2)</f>
        <v>3696</v>
      </c>
      <c r="H1008" s="1165"/>
      <c r="I1008" s="1165"/>
      <c r="J1008" s="1165"/>
    </row>
    <row r="1009" spans="1:10" s="876" customFormat="1" ht="12.75">
      <c r="A1009" s="1215"/>
      <c r="B1009" s="1217"/>
      <c r="C1009" s="1221" t="s">
        <v>2014</v>
      </c>
      <c r="D1009" s="1219"/>
      <c r="E1009" s="1219"/>
      <c r="F1009" s="1219"/>
      <c r="G1009" s="1222">
        <f>SUM(G1007:G1008)</f>
        <v>13962</v>
      </c>
      <c r="H1009" s="1165"/>
      <c r="I1009" s="1165"/>
      <c r="J1009" s="1165"/>
    </row>
    <row r="1010" spans="1:10" s="1167" customFormat="1" ht="96">
      <c r="A1010" s="1215"/>
      <c r="B1010" s="1217">
        <v>27</v>
      </c>
      <c r="C1010" s="1223" t="s">
        <v>2015</v>
      </c>
      <c r="D1010" s="1223"/>
      <c r="E1010" s="1223"/>
      <c r="F1010" s="1223"/>
      <c r="G1010" s="1223"/>
      <c r="H1010" s="1166"/>
      <c r="I1010" s="1166"/>
      <c r="J1010" s="1166"/>
    </row>
    <row r="1011" spans="1:10" s="1167" customFormat="1" ht="12.75">
      <c r="A1011" s="1224"/>
      <c r="B1011" s="1217"/>
      <c r="C1011" s="1225" t="s">
        <v>2016</v>
      </c>
      <c r="D1011" s="1223"/>
      <c r="E1011" s="1223"/>
      <c r="F1011" s="1223"/>
      <c r="G1011" s="1223"/>
      <c r="H1011" s="1166"/>
      <c r="I1011" s="1166"/>
      <c r="J1011" s="1166"/>
    </row>
    <row r="1012" spans="1:10" s="1167" customFormat="1" ht="12.75">
      <c r="A1012" s="1224"/>
      <c r="B1012" s="1217"/>
      <c r="C1012" s="1226" t="s">
        <v>2017</v>
      </c>
      <c r="D1012" s="1217" t="s">
        <v>103</v>
      </c>
      <c r="E1012" s="1227">
        <v>0.9</v>
      </c>
      <c r="F1012" s="1227">
        <v>0.1</v>
      </c>
      <c r="G1012" s="1227">
        <v>7.4999999999999997E-2</v>
      </c>
      <c r="H1012" s="1166"/>
      <c r="I1012" s="1166"/>
      <c r="J1012" s="1166"/>
    </row>
    <row r="1013" spans="1:10" s="1167" customFormat="1" ht="12.75">
      <c r="A1013" s="1224"/>
      <c r="B1013" s="1217"/>
      <c r="C1013" s="1223"/>
      <c r="D1013" s="1217"/>
      <c r="E1013" s="1228"/>
      <c r="F1013" s="1222" t="s">
        <v>2018</v>
      </c>
      <c r="G1013" s="1229">
        <f>ROUND(E1012*F1012*G1012*1*1,3)</f>
        <v>7.0000000000000001E-3</v>
      </c>
      <c r="H1013" s="1166"/>
      <c r="I1013" s="1166"/>
      <c r="J1013" s="1166"/>
    </row>
    <row r="1014" spans="1:10" s="1167" customFormat="1" ht="12.75">
      <c r="A1014" s="1224"/>
      <c r="B1014" s="1217"/>
      <c r="C1014" s="1226" t="s">
        <v>2019</v>
      </c>
      <c r="D1014" s="1217" t="s">
        <v>103</v>
      </c>
      <c r="E1014" s="1227">
        <v>0.9</v>
      </c>
      <c r="F1014" s="1227">
        <v>7.4999999999999997E-2</v>
      </c>
      <c r="G1014" s="1227">
        <v>0.03</v>
      </c>
      <c r="H1014" s="1166"/>
      <c r="I1014" s="1166"/>
      <c r="J1014" s="1166"/>
    </row>
    <row r="1015" spans="1:10" s="1167" customFormat="1" ht="12.75">
      <c r="A1015" s="1224"/>
      <c r="B1015" s="1217"/>
      <c r="C1015" s="1223"/>
      <c r="D1015" s="1217"/>
      <c r="E1015" s="1228"/>
      <c r="F1015" s="1222" t="s">
        <v>2018</v>
      </c>
      <c r="G1015" s="1229">
        <f>ROUND(E1014*F1014*G1014*1*1,3)</f>
        <v>2E-3</v>
      </c>
      <c r="H1015" s="1166"/>
      <c r="I1015" s="1166"/>
      <c r="J1015" s="1166"/>
    </row>
    <row r="1016" spans="1:10" s="1167" customFormat="1" ht="12.75">
      <c r="A1016" s="1224"/>
      <c r="B1016" s="1217"/>
      <c r="C1016" s="1226" t="s">
        <v>2020</v>
      </c>
      <c r="D1016" s="1217" t="s">
        <v>2021</v>
      </c>
      <c r="E1016" s="1227">
        <v>2.1</v>
      </c>
      <c r="F1016" s="1227">
        <v>0.1</v>
      </c>
      <c r="G1016" s="1227">
        <v>7.4999999999999997E-2</v>
      </c>
      <c r="H1016" s="1166"/>
      <c r="I1016" s="1166"/>
      <c r="J1016" s="1166"/>
    </row>
    <row r="1017" spans="1:10" s="1167" customFormat="1" ht="12.75">
      <c r="A1017" s="1224"/>
      <c r="B1017" s="1217"/>
      <c r="C1017" s="1223"/>
      <c r="D1017" s="1217"/>
      <c r="E1017" s="1228"/>
      <c r="F1017" s="1222" t="s">
        <v>2018</v>
      </c>
      <c r="G1017" s="1229">
        <f>ROUND(E1016*F1016*G1016*1*2,3)</f>
        <v>3.2000000000000001E-2</v>
      </c>
      <c r="H1017" s="1166"/>
      <c r="I1017" s="1166"/>
      <c r="J1017" s="1166"/>
    </row>
    <row r="1018" spans="1:10" s="1167" customFormat="1" ht="12.75">
      <c r="A1018" s="1224"/>
      <c r="B1018" s="1217"/>
      <c r="C1018" s="1223"/>
      <c r="D1018" s="1217"/>
      <c r="E1018" s="1230" t="s">
        <v>2022</v>
      </c>
      <c r="F1018" s="1231"/>
      <c r="G1018" s="1229">
        <f>G1013+G1015+G1017</f>
        <v>4.1000000000000002E-2</v>
      </c>
      <c r="H1018" s="1166"/>
      <c r="I1018" s="1166"/>
      <c r="J1018" s="1166"/>
    </row>
    <row r="1019" spans="1:10" s="1167" customFormat="1" ht="12.75">
      <c r="A1019" s="1224"/>
      <c r="B1019" s="1217"/>
      <c r="C1019" s="1223"/>
      <c r="D1019" s="1217"/>
      <c r="E1019" s="1230"/>
      <c r="F1019" s="1231"/>
      <c r="G1019" s="1229"/>
      <c r="H1019" s="1166"/>
      <c r="I1019" s="1166"/>
      <c r="J1019" s="1166"/>
    </row>
    <row r="1020" spans="1:10" s="1167" customFormat="1" ht="12.75">
      <c r="A1020" s="1224"/>
      <c r="B1020" s="1217"/>
      <c r="C1020" s="1223" t="s">
        <v>2023</v>
      </c>
      <c r="D1020" s="1217" t="s">
        <v>112</v>
      </c>
      <c r="E1020" s="1228">
        <f>G1018</f>
        <v>4.1000000000000002E-2</v>
      </c>
      <c r="F1020" s="1219">
        <v>46217</v>
      </c>
      <c r="G1020" s="1220">
        <f>ROUND(E1020*F1020,2)</f>
        <v>1894.9</v>
      </c>
      <c r="H1020" s="1166"/>
      <c r="I1020" s="1166"/>
      <c r="J1020" s="1166"/>
    </row>
    <row r="1021" spans="1:10" s="1167" customFormat="1" ht="12.75">
      <c r="A1021" s="1224"/>
      <c r="B1021" s="1217"/>
      <c r="C1021" s="1223" t="s">
        <v>2024</v>
      </c>
      <c r="D1021" s="1219" t="s">
        <v>559</v>
      </c>
      <c r="E1021" s="1232">
        <v>6</v>
      </c>
      <c r="F1021" s="1219">
        <v>30</v>
      </c>
      <c r="G1021" s="1220">
        <f t="shared" ref="G1021:G1022" si="110">E1021*F1021</f>
        <v>180</v>
      </c>
      <c r="H1021" s="1166"/>
      <c r="I1021" s="1166"/>
      <c r="J1021" s="1166"/>
    </row>
    <row r="1022" spans="1:10" s="1167" customFormat="1" ht="12.75">
      <c r="A1022" s="1224"/>
      <c r="B1022" s="1217"/>
      <c r="C1022" s="1223" t="s">
        <v>169</v>
      </c>
      <c r="D1022" s="1219" t="s">
        <v>161</v>
      </c>
      <c r="E1022" s="1233">
        <f>E1020</f>
        <v>4.1000000000000002E-2</v>
      </c>
      <c r="F1022" s="1219">
        <f>G1009</f>
        <v>13962</v>
      </c>
      <c r="G1022" s="1220">
        <f t="shared" si="110"/>
        <v>572.44200000000001</v>
      </c>
      <c r="H1022" s="1166"/>
      <c r="I1022" s="1166"/>
      <c r="J1022" s="1166"/>
    </row>
    <row r="1023" spans="1:10" s="1167" customFormat="1" ht="12.75">
      <c r="A1023" s="1224"/>
      <c r="B1023" s="1217"/>
      <c r="C1023" s="1234" t="s">
        <v>2025</v>
      </c>
      <c r="D1023" s="1219"/>
      <c r="E1023" s="1235"/>
      <c r="F1023" s="1219"/>
      <c r="G1023" s="1222">
        <f>SUM(G1020:G1022)</f>
        <v>2647.3420000000001</v>
      </c>
      <c r="H1023" s="1166"/>
      <c r="I1023" s="1166"/>
      <c r="J1023" s="1166"/>
    </row>
    <row r="1024" spans="1:10" s="1167" customFormat="1" ht="12.75">
      <c r="A1024" s="1224"/>
      <c r="B1024" s="1217"/>
      <c r="C1024" s="1225" t="s">
        <v>2026</v>
      </c>
      <c r="D1024" s="1223"/>
      <c r="E1024" s="1223"/>
      <c r="F1024" s="1223"/>
      <c r="G1024" s="1223"/>
    </row>
    <row r="1025" spans="1:10" s="1167" customFormat="1" ht="12.75">
      <c r="A1025" s="1224"/>
      <c r="B1025" s="1217"/>
      <c r="C1025" s="1226" t="s">
        <v>2020</v>
      </c>
      <c r="D1025" s="1217" t="s">
        <v>2021</v>
      </c>
      <c r="E1025" s="1227">
        <v>1.9950000000000001</v>
      </c>
      <c r="F1025" s="1227">
        <v>0.125</v>
      </c>
      <c r="G1025" s="1227">
        <v>0.03</v>
      </c>
      <c r="H1025" s="1166"/>
      <c r="I1025" s="1166"/>
      <c r="J1025" s="1166"/>
    </row>
    <row r="1026" spans="1:10" s="1167" customFormat="1" ht="12.75">
      <c r="A1026" s="1224"/>
      <c r="B1026" s="1217"/>
      <c r="C1026" s="1223"/>
      <c r="D1026" s="1217"/>
      <c r="E1026" s="1228"/>
      <c r="F1026" s="1222" t="s">
        <v>2018</v>
      </c>
      <c r="G1026" s="1229">
        <f>ROUND(E1025*F1025*G1025*1*2,3)</f>
        <v>1.4999999999999999E-2</v>
      </c>
    </row>
    <row r="1027" spans="1:10" s="1167" customFormat="1" ht="12.75">
      <c r="A1027" s="1224"/>
      <c r="B1027" s="1217"/>
      <c r="C1027" s="1226" t="s">
        <v>2027</v>
      </c>
      <c r="D1027" s="1217" t="s">
        <v>2028</v>
      </c>
      <c r="E1027" s="1227">
        <v>0.35</v>
      </c>
      <c r="F1027" s="1227">
        <v>0.125</v>
      </c>
      <c r="G1027" s="1227">
        <v>0.03</v>
      </c>
      <c r="H1027" s="1166"/>
      <c r="I1027" s="1166"/>
      <c r="J1027" s="1166"/>
    </row>
    <row r="1028" spans="1:10" s="1167" customFormat="1" ht="12.75">
      <c r="A1028" s="1224"/>
      <c r="B1028" s="1217"/>
      <c r="C1028" s="1223"/>
      <c r="D1028" s="1217"/>
      <c r="E1028" s="1228"/>
      <c r="F1028" s="1222" t="s">
        <v>2018</v>
      </c>
      <c r="G1028" s="1229">
        <f>ROUND(E1027*F1027*G1027*1*5,3)</f>
        <v>7.0000000000000001E-3</v>
      </c>
      <c r="H1028" s="1166"/>
      <c r="I1028" s="1166"/>
      <c r="J1028" s="1166"/>
    </row>
    <row r="1029" spans="1:10" s="1167" customFormat="1" ht="12.75">
      <c r="A1029" s="1224"/>
      <c r="B1029" s="1217"/>
      <c r="C1029" s="1226" t="s">
        <v>56</v>
      </c>
      <c r="D1029" s="1217" t="s">
        <v>2029</v>
      </c>
      <c r="E1029" s="1228">
        <v>0.34250000000000003</v>
      </c>
      <c r="F1029" s="1227">
        <v>0.35</v>
      </c>
      <c r="G1029" s="1227">
        <v>2.5000000000000001E-2</v>
      </c>
      <c r="H1029" s="1166"/>
      <c r="I1029" s="1166"/>
      <c r="J1029" s="1166"/>
    </row>
    <row r="1030" spans="1:10" s="1167" customFormat="1" ht="12.75">
      <c r="A1030" s="1224"/>
      <c r="B1030" s="1217"/>
      <c r="C1030" s="1223"/>
      <c r="D1030" s="1217"/>
      <c r="E1030" s="1228"/>
      <c r="F1030" s="1222" t="s">
        <v>2018</v>
      </c>
      <c r="G1030" s="1229">
        <f>ROUND(E1029*F1029*G1029*1*4,3)</f>
        <v>1.2E-2</v>
      </c>
      <c r="H1030" s="1166"/>
      <c r="I1030" s="1166"/>
      <c r="J1030" s="1166"/>
    </row>
    <row r="1031" spans="1:10" s="1167" customFormat="1" ht="12.75">
      <c r="A1031" s="1224"/>
      <c r="B1031" s="1217"/>
      <c r="C1031" s="1223"/>
      <c r="D1031" s="1217"/>
      <c r="E1031" s="1230" t="s">
        <v>2030</v>
      </c>
      <c r="F1031" s="1231"/>
      <c r="G1031" s="1229">
        <f>G1026+G1028+G1030</f>
        <v>3.4000000000000002E-2</v>
      </c>
      <c r="H1031" s="1166"/>
      <c r="I1031" s="1166"/>
      <c r="J1031" s="1166"/>
    </row>
    <row r="1032" spans="1:10" s="1167" customFormat="1" ht="12.75">
      <c r="A1032" s="1224"/>
      <c r="B1032" s="1217"/>
      <c r="C1032" s="1223"/>
      <c r="D1032" s="1217"/>
      <c r="E1032" s="1228"/>
      <c r="F1032" s="1222"/>
      <c r="G1032" s="1229"/>
      <c r="H1032" s="1166"/>
      <c r="I1032" s="1166"/>
      <c r="J1032" s="1166"/>
    </row>
    <row r="1033" spans="1:10" s="1167" customFormat="1" ht="12.75">
      <c r="A1033" s="1224"/>
      <c r="B1033" s="1217"/>
      <c r="C1033" s="1223" t="s">
        <v>2031</v>
      </c>
      <c r="D1033" s="1217" t="s">
        <v>112</v>
      </c>
      <c r="E1033" s="1228">
        <f>G1031</f>
        <v>3.4000000000000002E-2</v>
      </c>
      <c r="F1033" s="1219">
        <v>58690</v>
      </c>
      <c r="G1033" s="1220">
        <f>ROUND(E1033*F1033,2)</f>
        <v>1995.46</v>
      </c>
      <c r="H1033" s="1166"/>
      <c r="I1033" s="1166"/>
      <c r="J1033" s="1166"/>
    </row>
    <row r="1034" spans="1:10" s="1167" customFormat="1" ht="12.75">
      <c r="A1034" s="1224"/>
      <c r="B1034" s="1217"/>
      <c r="C1034" s="1221" t="s">
        <v>169</v>
      </c>
      <c r="D1034" s="1219" t="s">
        <v>161</v>
      </c>
      <c r="E1034" s="1235">
        <f>SUM(E1033:E1033)</f>
        <v>3.4000000000000002E-2</v>
      </c>
      <c r="F1034" s="1219">
        <f>G1009</f>
        <v>13962</v>
      </c>
      <c r="G1034" s="1220">
        <f>E1034*F1034</f>
        <v>474.70800000000003</v>
      </c>
      <c r="H1034" s="1168">
        <f>SUM(G1034:G1040)+G1021+G1022</f>
        <v>2344.15</v>
      </c>
      <c r="I1034" s="1166"/>
      <c r="J1034" s="1166"/>
    </row>
    <row r="1035" spans="1:10" s="1167" customFormat="1" ht="12.75">
      <c r="A1035" s="1224"/>
      <c r="B1035" s="1217"/>
      <c r="C1035" s="1223" t="s">
        <v>2032</v>
      </c>
      <c r="D1035" s="1219" t="s">
        <v>559</v>
      </c>
      <c r="E1035" s="1232">
        <v>1</v>
      </c>
      <c r="F1035" s="1219">
        <v>308</v>
      </c>
      <c r="G1035" s="1220">
        <f t="shared" ref="G1035:G1040" si="111">E1035*F1035</f>
        <v>308</v>
      </c>
      <c r="H1035" s="1166"/>
      <c r="I1035" s="1166"/>
      <c r="J1035" s="1166"/>
    </row>
    <row r="1036" spans="1:10" s="1167" customFormat="1" ht="12.75">
      <c r="A1036" s="1224"/>
      <c r="B1036" s="1217"/>
      <c r="C1036" s="1223" t="s">
        <v>2033</v>
      </c>
      <c r="D1036" s="1219" t="s">
        <v>559</v>
      </c>
      <c r="E1036" s="1232">
        <v>1</v>
      </c>
      <c r="F1036" s="1219">
        <v>103</v>
      </c>
      <c r="G1036" s="1220">
        <f t="shared" si="111"/>
        <v>103</v>
      </c>
      <c r="H1036" s="1166"/>
      <c r="I1036" s="1166"/>
      <c r="J1036" s="1166"/>
    </row>
    <row r="1037" spans="1:10" s="1167" customFormat="1" ht="12.75">
      <c r="A1037" s="1224"/>
      <c r="B1037" s="1217"/>
      <c r="C1037" s="1223" t="s">
        <v>2034</v>
      </c>
      <c r="D1037" s="1219" t="s">
        <v>559</v>
      </c>
      <c r="E1037" s="1232">
        <v>1</v>
      </c>
      <c r="F1037" s="1219">
        <v>84</v>
      </c>
      <c r="G1037" s="1220">
        <f t="shared" si="111"/>
        <v>84</v>
      </c>
      <c r="H1037" s="1166"/>
      <c r="I1037" s="1166"/>
      <c r="J1037" s="1166"/>
    </row>
    <row r="1038" spans="1:10" s="1167" customFormat="1" ht="12.75">
      <c r="A1038" s="1224"/>
      <c r="B1038" s="1217"/>
      <c r="C1038" s="1223" t="s">
        <v>2035</v>
      </c>
      <c r="D1038" s="1219" t="s">
        <v>559</v>
      </c>
      <c r="E1038" s="1232">
        <v>3</v>
      </c>
      <c r="F1038" s="1219">
        <v>117</v>
      </c>
      <c r="G1038" s="1220">
        <f t="shared" si="111"/>
        <v>351</v>
      </c>
      <c r="H1038" s="1166"/>
      <c r="I1038" s="1166"/>
      <c r="J1038" s="1166"/>
    </row>
    <row r="1039" spans="1:10" s="1167" customFormat="1" ht="12.75">
      <c r="A1039" s="1224"/>
      <c r="B1039" s="1217"/>
      <c r="C1039" s="1223" t="s">
        <v>2036</v>
      </c>
      <c r="D1039" s="1219" t="s">
        <v>559</v>
      </c>
      <c r="E1039" s="1232">
        <v>1</v>
      </c>
      <c r="F1039" s="1219">
        <v>168</v>
      </c>
      <c r="G1039" s="1220">
        <f t="shared" si="111"/>
        <v>168</v>
      </c>
      <c r="H1039" s="1166"/>
      <c r="I1039" s="1166"/>
      <c r="J1039" s="1166"/>
    </row>
    <row r="1040" spans="1:10" s="1167" customFormat="1" ht="12.75">
      <c r="A1040" s="1224"/>
      <c r="B1040" s="1217"/>
      <c r="C1040" s="1223" t="s">
        <v>2037</v>
      </c>
      <c r="D1040" s="1219" t="s">
        <v>559</v>
      </c>
      <c r="E1040" s="1232">
        <v>1</v>
      </c>
      <c r="F1040" s="1219">
        <v>103</v>
      </c>
      <c r="G1040" s="1220">
        <f t="shared" si="111"/>
        <v>103</v>
      </c>
      <c r="H1040" s="1166"/>
      <c r="I1040" s="1166"/>
      <c r="J1040" s="1166"/>
    </row>
    <row r="1041" spans="1:10" s="1167" customFormat="1" ht="12.75">
      <c r="A1041" s="1224"/>
      <c r="B1041" s="1217"/>
      <c r="C1041" s="1234" t="s">
        <v>2038</v>
      </c>
      <c r="D1041" s="1219"/>
      <c r="E1041" s="1235"/>
      <c r="F1041" s="1219"/>
      <c r="G1041" s="1222">
        <f>SUM(G1033:G1040)</f>
        <v>3587.1680000000001</v>
      </c>
      <c r="H1041" s="1166"/>
      <c r="I1041" s="1166"/>
      <c r="J1041" s="1166"/>
    </row>
    <row r="1042" spans="1:10" s="876" customFormat="1" ht="12.75">
      <c r="A1042" s="1215"/>
      <c r="B1042" s="1217"/>
      <c r="C1042" s="1221" t="s">
        <v>2039</v>
      </c>
      <c r="D1042" s="1219"/>
      <c r="E1042" s="1219"/>
      <c r="F1042" s="1219"/>
      <c r="G1042" s="1222">
        <f>G1041+G1023</f>
        <v>6234.51</v>
      </c>
      <c r="H1042" s="1165"/>
      <c r="I1042" s="1165"/>
      <c r="J1042" s="1165"/>
    </row>
    <row r="1043" spans="1:10" s="1167" customFormat="1" ht="96">
      <c r="A1043" s="1215"/>
      <c r="B1043" s="1217">
        <v>28</v>
      </c>
      <c r="C1043" s="1223" t="s">
        <v>2040</v>
      </c>
      <c r="D1043" s="1223"/>
      <c r="E1043" s="1223"/>
      <c r="F1043" s="1223"/>
      <c r="G1043" s="1223"/>
      <c r="H1043" s="1166"/>
      <c r="I1043" s="1166"/>
      <c r="J1043" s="1166"/>
    </row>
    <row r="1044" spans="1:10" s="1167" customFormat="1" ht="12.75">
      <c r="A1044" s="1224"/>
      <c r="B1044" s="1217"/>
      <c r="C1044" s="1225" t="s">
        <v>2016</v>
      </c>
      <c r="D1044" s="1223"/>
      <c r="E1044" s="1223"/>
      <c r="F1044" s="1223"/>
      <c r="G1044" s="1223"/>
      <c r="H1044" s="1166"/>
      <c r="I1044" s="1166"/>
      <c r="J1044" s="1166"/>
    </row>
    <row r="1045" spans="1:10" s="1167" customFormat="1" ht="12.75">
      <c r="A1045" s="1224"/>
      <c r="B1045" s="1217"/>
      <c r="C1045" s="1226" t="s">
        <v>2017</v>
      </c>
      <c r="D1045" s="1217" t="s">
        <v>103</v>
      </c>
      <c r="E1045" s="1227">
        <v>1.2</v>
      </c>
      <c r="F1045" s="1227">
        <v>0.1</v>
      </c>
      <c r="G1045" s="1227">
        <v>7.4999999999999997E-2</v>
      </c>
      <c r="H1045" s="1166"/>
      <c r="I1045" s="1166"/>
      <c r="J1045" s="1166"/>
    </row>
    <row r="1046" spans="1:10" s="1167" customFormat="1" ht="12.75">
      <c r="A1046" s="1224"/>
      <c r="B1046" s="1217"/>
      <c r="C1046" s="1223"/>
      <c r="D1046" s="1217"/>
      <c r="E1046" s="1228"/>
      <c r="F1046" s="1222" t="s">
        <v>2018</v>
      </c>
      <c r="G1046" s="1229">
        <f>ROUND(E1045*F1045*G1045*1*1,3)</f>
        <v>8.9999999999999993E-3</v>
      </c>
      <c r="H1046" s="1166"/>
      <c r="I1046" s="1166"/>
      <c r="J1046" s="1166"/>
    </row>
    <row r="1047" spans="1:10" s="1167" customFormat="1" ht="12.75">
      <c r="A1047" s="1224"/>
      <c r="B1047" s="1217"/>
      <c r="C1047" s="1226" t="s">
        <v>2019</v>
      </c>
      <c r="D1047" s="1217" t="s">
        <v>103</v>
      </c>
      <c r="E1047" s="1227">
        <v>1.2</v>
      </c>
      <c r="F1047" s="1227">
        <v>7.4999999999999997E-2</v>
      </c>
      <c r="G1047" s="1227">
        <v>0.03</v>
      </c>
      <c r="H1047" s="1166"/>
      <c r="I1047" s="1166"/>
      <c r="J1047" s="1166"/>
    </row>
    <row r="1048" spans="1:10" s="1167" customFormat="1" ht="12.75">
      <c r="A1048" s="1224"/>
      <c r="B1048" s="1217"/>
      <c r="C1048" s="1223"/>
      <c r="D1048" s="1217"/>
      <c r="E1048" s="1228"/>
      <c r="F1048" s="1222" t="s">
        <v>2018</v>
      </c>
      <c r="G1048" s="1229">
        <f>ROUND(E1047*F1047*G1047*1*1,3)</f>
        <v>3.0000000000000001E-3</v>
      </c>
      <c r="H1048" s="1166"/>
      <c r="I1048" s="1166"/>
      <c r="J1048" s="1166"/>
    </row>
    <row r="1049" spans="1:10" s="1167" customFormat="1" ht="12.75">
      <c r="A1049" s="1224"/>
      <c r="B1049" s="1217"/>
      <c r="C1049" s="1226" t="s">
        <v>2020</v>
      </c>
      <c r="D1049" s="1217" t="s">
        <v>2021</v>
      </c>
      <c r="E1049" s="1227">
        <v>2.1</v>
      </c>
      <c r="F1049" s="1227">
        <v>0.1</v>
      </c>
      <c r="G1049" s="1227">
        <v>7.4999999999999997E-2</v>
      </c>
      <c r="H1049" s="1166"/>
      <c r="I1049" s="1166"/>
      <c r="J1049" s="1166"/>
    </row>
    <row r="1050" spans="1:10" s="1167" customFormat="1" ht="12.75">
      <c r="A1050" s="1224"/>
      <c r="B1050" s="1217"/>
      <c r="C1050" s="1223"/>
      <c r="D1050" s="1217"/>
      <c r="E1050" s="1228"/>
      <c r="F1050" s="1222" t="s">
        <v>2018</v>
      </c>
      <c r="G1050" s="1229">
        <f>ROUND(E1049*F1049*G1049*1*2,3)</f>
        <v>3.2000000000000001E-2</v>
      </c>
      <c r="H1050" s="1166"/>
      <c r="I1050" s="1166"/>
      <c r="J1050" s="1166"/>
    </row>
    <row r="1051" spans="1:10" s="1167" customFormat="1" ht="12.75">
      <c r="A1051" s="1224"/>
      <c r="B1051" s="1217"/>
      <c r="C1051" s="1223"/>
      <c r="D1051" s="1217"/>
      <c r="E1051" s="1230" t="s">
        <v>2022</v>
      </c>
      <c r="F1051" s="1231"/>
      <c r="G1051" s="1229">
        <f>G1046+G1048+G1050</f>
        <v>4.3999999999999997E-2</v>
      </c>
      <c r="H1051" s="1166"/>
      <c r="I1051" s="1166"/>
      <c r="J1051" s="1166"/>
    </row>
    <row r="1052" spans="1:10" s="1167" customFormat="1" ht="12.75">
      <c r="A1052" s="1224"/>
      <c r="B1052" s="1217"/>
      <c r="C1052" s="1223"/>
      <c r="D1052" s="1217"/>
      <c r="E1052" s="1230"/>
      <c r="F1052" s="1231"/>
      <c r="G1052" s="1229"/>
      <c r="H1052" s="1166"/>
      <c r="I1052" s="1166"/>
      <c r="J1052" s="1166"/>
    </row>
    <row r="1053" spans="1:10" s="1167" customFormat="1" ht="12.75">
      <c r="A1053" s="1224"/>
      <c r="B1053" s="1217"/>
      <c r="C1053" s="1223" t="s">
        <v>2023</v>
      </c>
      <c r="D1053" s="1217" t="s">
        <v>112</v>
      </c>
      <c r="E1053" s="1228">
        <f>G1051</f>
        <v>4.3999999999999997E-2</v>
      </c>
      <c r="F1053" s="1219">
        <v>46217</v>
      </c>
      <c r="G1053" s="1220">
        <f>ROUND(E1053*F1053,2)</f>
        <v>2033.55</v>
      </c>
      <c r="H1053" s="1166"/>
      <c r="I1053" s="1166"/>
      <c r="J1053" s="1166"/>
    </row>
    <row r="1054" spans="1:10" s="1167" customFormat="1" ht="12.75">
      <c r="A1054" s="1224"/>
      <c r="B1054" s="1217"/>
      <c r="C1054" s="1223" t="s">
        <v>2024</v>
      </c>
      <c r="D1054" s="1219" t="s">
        <v>559</v>
      </c>
      <c r="E1054" s="1232">
        <v>6</v>
      </c>
      <c r="F1054" s="1219">
        <v>30</v>
      </c>
      <c r="G1054" s="1220">
        <f t="shared" ref="G1054:G1055" si="112">E1054*F1054</f>
        <v>180</v>
      </c>
      <c r="H1054" s="1166"/>
      <c r="I1054" s="1166"/>
      <c r="J1054" s="1166"/>
    </row>
    <row r="1055" spans="1:10" s="1167" customFormat="1" ht="12.75">
      <c r="A1055" s="1224"/>
      <c r="B1055" s="1217"/>
      <c r="C1055" s="1223" t="s">
        <v>169</v>
      </c>
      <c r="D1055" s="1219" t="s">
        <v>161</v>
      </c>
      <c r="E1055" s="1233">
        <f>E1053</f>
        <v>4.3999999999999997E-2</v>
      </c>
      <c r="F1055" s="1219">
        <f>F1022</f>
        <v>13962</v>
      </c>
      <c r="G1055" s="1220">
        <f t="shared" si="112"/>
        <v>614.32799999999997</v>
      </c>
      <c r="H1055" s="1166"/>
      <c r="I1055" s="1166"/>
      <c r="J1055" s="1166"/>
    </row>
    <row r="1056" spans="1:10" s="1167" customFormat="1" ht="12.75">
      <c r="A1056" s="1224"/>
      <c r="B1056" s="1217"/>
      <c r="C1056" s="1234" t="s">
        <v>2041</v>
      </c>
      <c r="D1056" s="1219"/>
      <c r="E1056" s="1235"/>
      <c r="F1056" s="1219"/>
      <c r="G1056" s="1222">
        <f>SUM(G1053:G1055)</f>
        <v>2827.8780000000002</v>
      </c>
      <c r="H1056" s="1166"/>
      <c r="I1056" s="1166"/>
      <c r="J1056" s="1166"/>
    </row>
    <row r="1057" spans="1:17" s="1167" customFormat="1" ht="12.75">
      <c r="A1057" s="1224"/>
      <c r="B1057" s="1217"/>
      <c r="C1057" s="1225" t="s">
        <v>2026</v>
      </c>
      <c r="D1057" s="1223"/>
      <c r="E1057" s="1223"/>
      <c r="F1057" s="1223"/>
      <c r="G1057" s="1223"/>
    </row>
    <row r="1058" spans="1:17" s="1167" customFormat="1" ht="12.75">
      <c r="A1058" s="1224"/>
      <c r="B1058" s="1217"/>
      <c r="C1058" s="1226" t="s">
        <v>2020</v>
      </c>
      <c r="D1058" s="1217" t="s">
        <v>2029</v>
      </c>
      <c r="E1058" s="1227">
        <v>1.9950000000000001</v>
      </c>
      <c r="F1058" s="1227">
        <v>0.125</v>
      </c>
      <c r="G1058" s="1227">
        <v>0.03</v>
      </c>
      <c r="H1058" s="1166"/>
      <c r="I1058" s="1166"/>
      <c r="J1058" s="1166"/>
      <c r="Q1058" s="1167">
        <f>SUM(Q1057:Q1057)</f>
        <v>0</v>
      </c>
    </row>
    <row r="1059" spans="1:17" s="1167" customFormat="1" ht="12.75">
      <c r="A1059" s="1224"/>
      <c r="B1059" s="1217"/>
      <c r="C1059" s="1223"/>
      <c r="D1059" s="1217"/>
      <c r="E1059" s="1228"/>
      <c r="F1059" s="1222" t="s">
        <v>2018</v>
      </c>
      <c r="G1059" s="1229">
        <f>ROUND(E1058*F1058*G1058*1*4,3)</f>
        <v>0.03</v>
      </c>
    </row>
    <row r="1060" spans="1:17" s="1167" customFormat="1" ht="12.75">
      <c r="A1060" s="1224"/>
      <c r="B1060" s="1217"/>
      <c r="C1060" s="1226" t="s">
        <v>2027</v>
      </c>
      <c r="D1060" s="1217" t="s">
        <v>2042</v>
      </c>
      <c r="E1060" s="1227">
        <v>0.27500000000000002</v>
      </c>
      <c r="F1060" s="1227">
        <v>0.125</v>
      </c>
      <c r="G1060" s="1227">
        <v>0.03</v>
      </c>
      <c r="H1060" s="1166"/>
      <c r="I1060" s="1166"/>
      <c r="J1060" s="1166"/>
    </row>
    <row r="1061" spans="1:17" s="1167" customFormat="1" ht="12.75">
      <c r="A1061" s="1224"/>
      <c r="B1061" s="1217"/>
      <c r="C1061" s="1223"/>
      <c r="D1061" s="1217"/>
      <c r="E1061" s="1228"/>
      <c r="F1061" s="1222" t="s">
        <v>2018</v>
      </c>
      <c r="G1061" s="1229">
        <f>ROUND(E1060*F1060*G1060*1*10,3)</f>
        <v>0.01</v>
      </c>
      <c r="H1061" s="1166"/>
      <c r="I1061" s="1166"/>
      <c r="J1061" s="1166"/>
    </row>
    <row r="1062" spans="1:17" s="1167" customFormat="1" ht="12.75">
      <c r="A1062" s="1224"/>
      <c r="B1062" s="1217"/>
      <c r="C1062" s="1226" t="s">
        <v>56</v>
      </c>
      <c r="D1062" s="1217" t="s">
        <v>2043</v>
      </c>
      <c r="E1062" s="1228">
        <v>0.34250000000000003</v>
      </c>
      <c r="F1062" s="1227">
        <v>0.27500000000000002</v>
      </c>
      <c r="G1062" s="1227">
        <v>2.5000000000000001E-2</v>
      </c>
      <c r="H1062" s="1166"/>
      <c r="I1062" s="1166"/>
      <c r="J1062" s="1166"/>
    </row>
    <row r="1063" spans="1:17" s="1167" customFormat="1" ht="12.75">
      <c r="A1063" s="1224"/>
      <c r="B1063" s="1217"/>
      <c r="C1063" s="1223"/>
      <c r="D1063" s="1217"/>
      <c r="E1063" s="1228"/>
      <c r="F1063" s="1222" t="s">
        <v>2018</v>
      </c>
      <c r="G1063" s="1229">
        <f>ROUND(E1062*F1062*G1062*1*8,3)</f>
        <v>1.9E-2</v>
      </c>
      <c r="H1063" s="1166"/>
      <c r="I1063" s="1166"/>
      <c r="J1063" s="1166"/>
    </row>
    <row r="1064" spans="1:17" s="1167" customFormat="1" ht="12.75">
      <c r="A1064" s="1224"/>
      <c r="B1064" s="1217"/>
      <c r="C1064" s="1223"/>
      <c r="D1064" s="1217"/>
      <c r="E1064" s="1230" t="s">
        <v>2030</v>
      </c>
      <c r="F1064" s="1231"/>
      <c r="G1064" s="1229">
        <f>G1059+G1061+G1063</f>
        <v>5.8999999999999997E-2</v>
      </c>
      <c r="H1064" s="1166"/>
      <c r="I1064" s="1166"/>
      <c r="J1064" s="1166"/>
    </row>
    <row r="1065" spans="1:17" s="1167" customFormat="1" ht="12.75">
      <c r="A1065" s="1224"/>
      <c r="B1065" s="1217"/>
      <c r="C1065" s="1223"/>
      <c r="D1065" s="1217"/>
      <c r="E1065" s="1228"/>
      <c r="F1065" s="1222"/>
      <c r="G1065" s="1229"/>
      <c r="H1065" s="1166"/>
      <c r="I1065" s="1166"/>
      <c r="J1065" s="1166"/>
    </row>
    <row r="1066" spans="1:17" s="1167" customFormat="1" ht="12.75">
      <c r="A1066" s="1224"/>
      <c r="B1066" s="1217"/>
      <c r="C1066" s="1223" t="s">
        <v>2031</v>
      </c>
      <c r="D1066" s="1217" t="s">
        <v>112</v>
      </c>
      <c r="E1066" s="1228">
        <f>G1064</f>
        <v>5.8999999999999997E-2</v>
      </c>
      <c r="F1066" s="1219">
        <v>58690</v>
      </c>
      <c r="G1066" s="1220">
        <f>ROUND(E1066*F1066,2)</f>
        <v>3462.71</v>
      </c>
      <c r="H1066" s="1166"/>
      <c r="I1066" s="1166"/>
      <c r="J1066" s="1166"/>
    </row>
    <row r="1067" spans="1:17" s="1167" customFormat="1" ht="12.75">
      <c r="A1067" s="1224"/>
      <c r="B1067" s="1217"/>
      <c r="C1067" s="1221" t="s">
        <v>169</v>
      </c>
      <c r="D1067" s="1219" t="s">
        <v>161</v>
      </c>
      <c r="E1067" s="1235">
        <f>SUM(E1066:E1066)</f>
        <v>5.8999999999999997E-2</v>
      </c>
      <c r="F1067" s="1219">
        <f>G1009</f>
        <v>13962</v>
      </c>
      <c r="G1067" s="1220">
        <f>E1067*F1067</f>
        <v>823.75799999999992</v>
      </c>
      <c r="H1067" s="1168">
        <f>SUM(G1067:G1073)+G1054+G1055</f>
        <v>3376.0859999999998</v>
      </c>
      <c r="I1067" s="1166"/>
      <c r="J1067" s="1166"/>
    </row>
    <row r="1068" spans="1:17" s="1167" customFormat="1" ht="12.75">
      <c r="A1068" s="1224"/>
      <c r="B1068" s="1217"/>
      <c r="C1068" s="1223" t="s">
        <v>2032</v>
      </c>
      <c r="D1068" s="1219" t="s">
        <v>559</v>
      </c>
      <c r="E1068" s="1232">
        <v>1</v>
      </c>
      <c r="F1068" s="1219">
        <v>308</v>
      </c>
      <c r="G1068" s="1220">
        <f t="shared" ref="G1068:G1073" si="113">E1068*F1068</f>
        <v>308</v>
      </c>
      <c r="H1068" s="1166"/>
      <c r="I1068" s="1166"/>
      <c r="J1068" s="1166"/>
    </row>
    <row r="1069" spans="1:17" s="1167" customFormat="1" ht="12.75">
      <c r="A1069" s="1224"/>
      <c r="B1069" s="1217"/>
      <c r="C1069" s="1223" t="s">
        <v>2033</v>
      </c>
      <c r="D1069" s="1219" t="s">
        <v>559</v>
      </c>
      <c r="E1069" s="1232">
        <v>2</v>
      </c>
      <c r="F1069" s="1219">
        <v>103</v>
      </c>
      <c r="G1069" s="1220">
        <f t="shared" si="113"/>
        <v>206</v>
      </c>
      <c r="H1069" s="1166"/>
      <c r="I1069" s="1166"/>
      <c r="J1069" s="1166"/>
    </row>
    <row r="1070" spans="1:17" s="1167" customFormat="1" ht="12.75">
      <c r="A1070" s="1224"/>
      <c r="B1070" s="1217"/>
      <c r="C1070" s="1223" t="s">
        <v>2034</v>
      </c>
      <c r="D1070" s="1219" t="s">
        <v>559</v>
      </c>
      <c r="E1070" s="1232">
        <v>2</v>
      </c>
      <c r="F1070" s="1219">
        <v>84</v>
      </c>
      <c r="G1070" s="1220">
        <f t="shared" si="113"/>
        <v>168</v>
      </c>
      <c r="H1070" s="1166"/>
      <c r="I1070" s="1166"/>
      <c r="J1070" s="1166"/>
    </row>
    <row r="1071" spans="1:17" s="1167" customFormat="1" ht="12.75">
      <c r="A1071" s="1224"/>
      <c r="B1071" s="1217"/>
      <c r="C1071" s="1223" t="s">
        <v>2035</v>
      </c>
      <c r="D1071" s="1219" t="s">
        <v>559</v>
      </c>
      <c r="E1071" s="1232">
        <v>6</v>
      </c>
      <c r="F1071" s="1219">
        <v>117</v>
      </c>
      <c r="G1071" s="1220">
        <f t="shared" si="113"/>
        <v>702</v>
      </c>
      <c r="H1071" s="1166"/>
      <c r="I1071" s="1166"/>
      <c r="J1071" s="1166"/>
    </row>
    <row r="1072" spans="1:17" s="1167" customFormat="1" ht="12.75">
      <c r="A1072" s="1224"/>
      <c r="B1072" s="1217"/>
      <c r="C1072" s="1223" t="s">
        <v>2036</v>
      </c>
      <c r="D1072" s="1219" t="s">
        <v>559</v>
      </c>
      <c r="E1072" s="1232">
        <v>1</v>
      </c>
      <c r="F1072" s="1219">
        <v>168</v>
      </c>
      <c r="G1072" s="1220">
        <f t="shared" si="113"/>
        <v>168</v>
      </c>
      <c r="H1072" s="1166"/>
      <c r="I1072" s="1166"/>
      <c r="J1072" s="1166"/>
    </row>
    <row r="1073" spans="1:17" s="1167" customFormat="1" ht="12.75">
      <c r="A1073" s="1224"/>
      <c r="B1073" s="1217"/>
      <c r="C1073" s="1223" t="s">
        <v>2037</v>
      </c>
      <c r="D1073" s="1219" t="s">
        <v>559</v>
      </c>
      <c r="E1073" s="1232">
        <v>2</v>
      </c>
      <c r="F1073" s="1219">
        <v>103</v>
      </c>
      <c r="G1073" s="1220">
        <f t="shared" si="113"/>
        <v>206</v>
      </c>
      <c r="H1073" s="1166"/>
      <c r="I1073" s="1166"/>
      <c r="J1073" s="1166"/>
    </row>
    <row r="1074" spans="1:17" s="1167" customFormat="1" ht="12.75">
      <c r="A1074" s="1224"/>
      <c r="B1074" s="1217"/>
      <c r="C1074" s="1234" t="s">
        <v>2044</v>
      </c>
      <c r="D1074" s="1219"/>
      <c r="E1074" s="1235"/>
      <c r="F1074" s="1219"/>
      <c r="G1074" s="1222">
        <f>SUM(G1066:G1073)</f>
        <v>6044.4679999999998</v>
      </c>
      <c r="H1074" s="1166"/>
      <c r="I1074" s="1166"/>
      <c r="J1074" s="1166"/>
    </row>
    <row r="1075" spans="1:17" s="1167" customFormat="1" ht="12.75">
      <c r="A1075" s="1224"/>
      <c r="B1075" s="1217"/>
      <c r="C1075" s="1234" t="s">
        <v>2045</v>
      </c>
      <c r="D1075" s="1219"/>
      <c r="E1075" s="1235"/>
      <c r="F1075" s="1219"/>
      <c r="G1075" s="1222">
        <f>G1056+G1074</f>
        <v>8872.3459999999995</v>
      </c>
      <c r="H1075" s="1166"/>
      <c r="I1075" s="1166"/>
      <c r="J1075" s="1166"/>
    </row>
    <row r="1076" spans="1:17" s="1167" customFormat="1" ht="132">
      <c r="A1076" s="1215"/>
      <c r="B1076" s="1217">
        <v>29</v>
      </c>
      <c r="C1076" s="1223" t="s">
        <v>2046</v>
      </c>
      <c r="D1076" s="1223"/>
      <c r="E1076" s="1223"/>
      <c r="F1076" s="1223"/>
      <c r="G1076" s="1223"/>
      <c r="H1076" s="1169"/>
      <c r="I1076" s="1169"/>
      <c r="J1076" s="1169"/>
    </row>
    <row r="1077" spans="1:17" s="1167" customFormat="1" ht="12.75">
      <c r="A1077" s="1224"/>
      <c r="B1077" s="1217"/>
      <c r="C1077" s="1225" t="s">
        <v>2016</v>
      </c>
      <c r="D1077" s="1223"/>
      <c r="E1077" s="1223"/>
      <c r="F1077" s="1223"/>
      <c r="G1077" s="1223"/>
      <c r="H1077" s="1166"/>
      <c r="I1077" s="1166"/>
      <c r="J1077" s="1166"/>
    </row>
    <row r="1078" spans="1:17" s="1167" customFormat="1" ht="12.75">
      <c r="A1078" s="1224"/>
      <c r="B1078" s="1217"/>
      <c r="C1078" s="1226" t="s">
        <v>2017</v>
      </c>
      <c r="D1078" s="1217" t="s">
        <v>103</v>
      </c>
      <c r="E1078" s="1227">
        <v>0.75</v>
      </c>
      <c r="F1078" s="1227">
        <v>0.1</v>
      </c>
      <c r="G1078" s="1227">
        <v>7.4999999999999997E-2</v>
      </c>
      <c r="H1078" s="1166"/>
      <c r="I1078" s="1166"/>
      <c r="J1078" s="1166"/>
    </row>
    <row r="1079" spans="1:17" s="1167" customFormat="1" ht="12.75">
      <c r="A1079" s="1224"/>
      <c r="B1079" s="1217"/>
      <c r="C1079" s="1223"/>
      <c r="D1079" s="1217"/>
      <c r="E1079" s="1228"/>
      <c r="F1079" s="1222" t="s">
        <v>2018</v>
      </c>
      <c r="G1079" s="1229">
        <f>ROUND(E1078*F1078*G1078*1*1,3)</f>
        <v>6.0000000000000001E-3</v>
      </c>
      <c r="H1079" s="1166"/>
      <c r="I1079" s="1166"/>
      <c r="J1079" s="1166"/>
    </row>
    <row r="1080" spans="1:17" s="1167" customFormat="1" ht="12.75">
      <c r="A1080" s="1224"/>
      <c r="B1080" s="1217"/>
      <c r="C1080" s="1226" t="s">
        <v>2019</v>
      </c>
      <c r="D1080" s="1217" t="s">
        <v>103</v>
      </c>
      <c r="E1080" s="1227">
        <v>0.75</v>
      </c>
      <c r="F1080" s="1227">
        <v>7.4999999999999997E-2</v>
      </c>
      <c r="G1080" s="1227">
        <v>0.03</v>
      </c>
      <c r="H1080" s="1166"/>
      <c r="I1080" s="1166"/>
      <c r="J1080" s="1166"/>
    </row>
    <row r="1081" spans="1:17" s="1167" customFormat="1" ht="12.75">
      <c r="A1081" s="1224"/>
      <c r="B1081" s="1217"/>
      <c r="C1081" s="1223"/>
      <c r="D1081" s="1217"/>
      <c r="E1081" s="1228"/>
      <c r="F1081" s="1222" t="s">
        <v>2018</v>
      </c>
      <c r="G1081" s="1229">
        <f>ROUND(E1080*F1080*G1080*1*1,3)</f>
        <v>2E-3</v>
      </c>
    </row>
    <row r="1082" spans="1:17" s="1167" customFormat="1" ht="12.75">
      <c r="A1082" s="1224"/>
      <c r="B1082" s="1217"/>
      <c r="C1082" s="1226" t="s">
        <v>2020</v>
      </c>
      <c r="D1082" s="1217" t="s">
        <v>2021</v>
      </c>
      <c r="E1082" s="1227">
        <v>2.1</v>
      </c>
      <c r="F1082" s="1227">
        <v>0.1</v>
      </c>
      <c r="G1082" s="1227">
        <v>7.4999999999999997E-2</v>
      </c>
      <c r="H1082" s="1166"/>
      <c r="I1082" s="1166"/>
      <c r="J1082" s="1166"/>
      <c r="Q1082" s="1170"/>
    </row>
    <row r="1083" spans="1:17" s="1167" customFormat="1" ht="12.75">
      <c r="A1083" s="1224"/>
      <c r="B1083" s="1217"/>
      <c r="C1083" s="1223"/>
      <c r="D1083" s="1217"/>
      <c r="E1083" s="1228"/>
      <c r="F1083" s="1222" t="s">
        <v>2018</v>
      </c>
      <c r="G1083" s="1229">
        <f>ROUND(E1082*F1082*G1082*1*2,3)</f>
        <v>3.2000000000000001E-2</v>
      </c>
      <c r="H1083" s="1166"/>
      <c r="I1083" s="1166"/>
      <c r="J1083" s="1166"/>
      <c r="Q1083" s="1170"/>
    </row>
    <row r="1084" spans="1:17" s="1167" customFormat="1" ht="12.75">
      <c r="A1084" s="1224"/>
      <c r="B1084" s="1217"/>
      <c r="C1084" s="1223"/>
      <c r="D1084" s="1217"/>
      <c r="E1084" s="1230" t="s">
        <v>2022</v>
      </c>
      <c r="F1084" s="1231"/>
      <c r="G1084" s="1229">
        <f>G1079+G1081+G1083</f>
        <v>0.04</v>
      </c>
      <c r="H1084" s="1166"/>
      <c r="I1084" s="1166"/>
      <c r="J1084" s="1166"/>
      <c r="Q1084" s="1170"/>
    </row>
    <row r="1085" spans="1:17" s="1167" customFormat="1" ht="12.75">
      <c r="A1085" s="1224"/>
      <c r="B1085" s="1217"/>
      <c r="C1085" s="1225" t="s">
        <v>2026</v>
      </c>
      <c r="D1085" s="1223"/>
      <c r="E1085" s="1223"/>
      <c r="F1085" s="1223"/>
      <c r="G1085" s="1223"/>
    </row>
    <row r="1086" spans="1:17" s="1167" customFormat="1" ht="12.75">
      <c r="A1086" s="1224"/>
      <c r="B1086" s="1217"/>
      <c r="C1086" s="1226" t="s">
        <v>2020</v>
      </c>
      <c r="D1086" s="1217" t="s">
        <v>2021</v>
      </c>
      <c r="E1086" s="1227">
        <v>1.9950000000000001</v>
      </c>
      <c r="F1086" s="1227">
        <v>0.125</v>
      </c>
      <c r="G1086" s="1227">
        <v>0.03</v>
      </c>
      <c r="H1086" s="1166"/>
      <c r="I1086" s="1166"/>
      <c r="J1086" s="1166"/>
    </row>
    <row r="1087" spans="1:17" s="1167" customFormat="1" ht="12.75">
      <c r="A1087" s="1224"/>
      <c r="B1087" s="1217"/>
      <c r="C1087" s="1223"/>
      <c r="D1087" s="1217"/>
      <c r="E1087" s="1228"/>
      <c r="F1087" s="1222" t="s">
        <v>2018</v>
      </c>
      <c r="G1087" s="1229">
        <f>ROUND(E1086*F1086*G1086*1*2,3)</f>
        <v>1.4999999999999999E-2</v>
      </c>
    </row>
    <row r="1088" spans="1:17" s="1167" customFormat="1" ht="12.75">
      <c r="A1088" s="1224"/>
      <c r="B1088" s="1217"/>
      <c r="C1088" s="1226" t="s">
        <v>2027</v>
      </c>
      <c r="D1088" s="1217" t="s">
        <v>2028</v>
      </c>
      <c r="E1088" s="1227">
        <v>0.35</v>
      </c>
      <c r="F1088" s="1227">
        <v>0.125</v>
      </c>
      <c r="G1088" s="1227">
        <v>0.03</v>
      </c>
      <c r="H1088" s="1166"/>
      <c r="I1088" s="1166"/>
      <c r="J1088" s="1166"/>
    </row>
    <row r="1089" spans="1:10" s="1167" customFormat="1" ht="12.75">
      <c r="A1089" s="1224"/>
      <c r="B1089" s="1217"/>
      <c r="C1089" s="1223"/>
      <c r="D1089" s="1217"/>
      <c r="E1089" s="1228"/>
      <c r="F1089" s="1222" t="s">
        <v>2018</v>
      </c>
      <c r="G1089" s="1229">
        <f>ROUND(E1088*F1088*G1088*1*5,3)</f>
        <v>7.0000000000000001E-3</v>
      </c>
      <c r="H1089" s="1166"/>
      <c r="I1089" s="1166"/>
      <c r="J1089" s="1166"/>
    </row>
    <row r="1090" spans="1:10" s="1167" customFormat="1" ht="12.75">
      <c r="A1090" s="1224"/>
      <c r="B1090" s="1217"/>
      <c r="C1090" s="1226" t="s">
        <v>56</v>
      </c>
      <c r="D1090" s="1217" t="s">
        <v>2029</v>
      </c>
      <c r="E1090" s="1228">
        <v>0.34250000000000003</v>
      </c>
      <c r="F1090" s="1227">
        <v>0.35</v>
      </c>
      <c r="G1090" s="1227">
        <v>2.5000000000000001E-2</v>
      </c>
      <c r="H1090" s="1166"/>
      <c r="I1090" s="1166"/>
      <c r="J1090" s="1166"/>
    </row>
    <row r="1091" spans="1:10" s="1167" customFormat="1" ht="12.75">
      <c r="A1091" s="1224"/>
      <c r="B1091" s="1217"/>
      <c r="C1091" s="1223"/>
      <c r="D1091" s="1217"/>
      <c r="E1091" s="1228"/>
      <c r="F1091" s="1222" t="s">
        <v>2018</v>
      </c>
      <c r="G1091" s="1229">
        <f>ROUND(E1090*F1090*G1090*1*4,3)</f>
        <v>1.2E-2</v>
      </c>
      <c r="H1091" s="1166"/>
      <c r="I1091" s="1166"/>
      <c r="J1091" s="1166"/>
    </row>
    <row r="1092" spans="1:10" s="1167" customFormat="1" ht="12.75">
      <c r="A1092" s="1224"/>
      <c r="B1092" s="1217"/>
      <c r="C1092" s="1223"/>
      <c r="D1092" s="1217"/>
      <c r="E1092" s="1230" t="s">
        <v>2030</v>
      </c>
      <c r="F1092" s="1231"/>
      <c r="G1092" s="1229">
        <f>G1087+G1089+G1091</f>
        <v>3.4000000000000002E-2</v>
      </c>
      <c r="H1092" s="1166"/>
      <c r="I1092" s="1166"/>
      <c r="J1092" s="1166"/>
    </row>
    <row r="1093" spans="1:10" s="1167" customFormat="1" ht="12.75">
      <c r="A1093" s="1224"/>
      <c r="B1093" s="1217"/>
      <c r="C1093" s="1223"/>
      <c r="D1093" s="1217"/>
      <c r="E1093" s="1228"/>
      <c r="F1093" s="1222"/>
      <c r="G1093" s="1229"/>
      <c r="H1093" s="1166"/>
      <c r="I1093" s="1166"/>
      <c r="J1093" s="1166"/>
    </row>
    <row r="1094" spans="1:10" s="1167" customFormat="1" ht="12.75">
      <c r="A1094" s="1224"/>
      <c r="B1094" s="1217"/>
      <c r="C1094" s="1223" t="s">
        <v>2047</v>
      </c>
      <c r="D1094" s="1217" t="s">
        <v>112</v>
      </c>
      <c r="E1094" s="1228">
        <f>G1084</f>
        <v>0.04</v>
      </c>
      <c r="F1094" s="1219">
        <v>46217</v>
      </c>
      <c r="G1094" s="1220">
        <f>ROUND(E1094*F1094,2)</f>
        <v>1848.68</v>
      </c>
      <c r="H1094" s="1166"/>
      <c r="I1094" s="1166"/>
      <c r="J1094" s="1166"/>
    </row>
    <row r="1095" spans="1:10" s="1167" customFormat="1" ht="12.75">
      <c r="A1095" s="1224"/>
      <c r="B1095" s="1217"/>
      <c r="C1095" s="1223" t="s">
        <v>2031</v>
      </c>
      <c r="D1095" s="1217" t="s">
        <v>112</v>
      </c>
      <c r="E1095" s="1228">
        <f>G1092</f>
        <v>3.4000000000000002E-2</v>
      </c>
      <c r="F1095" s="1219">
        <v>58690</v>
      </c>
      <c r="G1095" s="1220">
        <f>ROUND(E1095*F1095,2)</f>
        <v>1995.46</v>
      </c>
      <c r="H1095" s="1166"/>
      <c r="I1095" s="1166"/>
      <c r="J1095" s="1166"/>
    </row>
    <row r="1096" spans="1:10" s="1167" customFormat="1" ht="12.75">
      <c r="A1096" s="1224"/>
      <c r="B1096" s="1217"/>
      <c r="C1096" s="1221" t="s">
        <v>169</v>
      </c>
      <c r="D1096" s="1219" t="s">
        <v>161</v>
      </c>
      <c r="E1096" s="1235">
        <f>SUM(E1094:E1095)</f>
        <v>7.400000000000001E-2</v>
      </c>
      <c r="F1096" s="1219">
        <f>F1067</f>
        <v>13962</v>
      </c>
      <c r="G1096" s="1220">
        <f>E1096*F1096</f>
        <v>1033.1880000000001</v>
      </c>
      <c r="H1096" s="1168">
        <f>SUM(G1096:G1103)</f>
        <v>2330.1880000000001</v>
      </c>
      <c r="I1096" s="1166"/>
      <c r="J1096" s="1166"/>
    </row>
    <row r="1097" spans="1:10" s="1167" customFormat="1" ht="12.75">
      <c r="A1097" s="1224"/>
      <c r="B1097" s="1217"/>
      <c r="C1097" s="1223" t="s">
        <v>2024</v>
      </c>
      <c r="D1097" s="1219" t="s">
        <v>559</v>
      </c>
      <c r="E1097" s="1232">
        <v>6</v>
      </c>
      <c r="F1097" s="1219">
        <v>30</v>
      </c>
      <c r="G1097" s="1220">
        <f t="shared" ref="G1097:G1103" si="114">E1097*F1097</f>
        <v>180</v>
      </c>
      <c r="H1097" s="1166"/>
      <c r="I1097" s="1166"/>
      <c r="J1097" s="1166"/>
    </row>
    <row r="1098" spans="1:10" s="1167" customFormat="1" ht="12.75">
      <c r="A1098" s="1224"/>
      <c r="B1098" s="1217"/>
      <c r="C1098" s="1223" t="s">
        <v>2032</v>
      </c>
      <c r="D1098" s="1219" t="s">
        <v>559</v>
      </c>
      <c r="E1098" s="1232">
        <v>1</v>
      </c>
      <c r="F1098" s="1219">
        <v>308</v>
      </c>
      <c r="G1098" s="1220">
        <f t="shared" si="114"/>
        <v>308</v>
      </c>
      <c r="H1098" s="1166"/>
      <c r="I1098" s="1166"/>
      <c r="J1098" s="1166"/>
    </row>
    <row r="1099" spans="1:10" s="1167" customFormat="1" ht="12.75">
      <c r="A1099" s="1224"/>
      <c r="B1099" s="1217"/>
      <c r="C1099" s="1223" t="s">
        <v>2033</v>
      </c>
      <c r="D1099" s="1219" t="s">
        <v>559</v>
      </c>
      <c r="E1099" s="1232">
        <v>1</v>
      </c>
      <c r="F1099" s="1219">
        <v>103</v>
      </c>
      <c r="G1099" s="1220">
        <f t="shared" si="114"/>
        <v>103</v>
      </c>
      <c r="H1099" s="1166"/>
      <c r="I1099" s="1166"/>
      <c r="J1099" s="1166"/>
    </row>
    <row r="1100" spans="1:10" s="1167" customFormat="1" ht="12.75">
      <c r="A1100" s="1224"/>
      <c r="B1100" s="1217"/>
      <c r="C1100" s="1223" t="s">
        <v>2034</v>
      </c>
      <c r="D1100" s="1219" t="s">
        <v>559</v>
      </c>
      <c r="E1100" s="1232">
        <v>1</v>
      </c>
      <c r="F1100" s="1219">
        <v>84</v>
      </c>
      <c r="G1100" s="1220">
        <f t="shared" si="114"/>
        <v>84</v>
      </c>
      <c r="H1100" s="1166"/>
      <c r="I1100" s="1166"/>
      <c r="J1100" s="1166"/>
    </row>
    <row r="1101" spans="1:10" s="1167" customFormat="1" ht="12.75">
      <c r="A1101" s="1224"/>
      <c r="B1101" s="1217"/>
      <c r="C1101" s="1223" t="s">
        <v>2035</v>
      </c>
      <c r="D1101" s="1219" t="s">
        <v>559</v>
      </c>
      <c r="E1101" s="1232">
        <v>3</v>
      </c>
      <c r="F1101" s="1219">
        <v>117</v>
      </c>
      <c r="G1101" s="1220">
        <f t="shared" si="114"/>
        <v>351</v>
      </c>
      <c r="H1101" s="1166"/>
      <c r="I1101" s="1166"/>
      <c r="J1101" s="1166"/>
    </row>
    <row r="1102" spans="1:10" s="1167" customFormat="1" ht="12.75">
      <c r="A1102" s="1224"/>
      <c r="B1102" s="1217"/>
      <c r="C1102" s="1223" t="s">
        <v>2036</v>
      </c>
      <c r="D1102" s="1219" t="s">
        <v>559</v>
      </c>
      <c r="E1102" s="1232">
        <v>1</v>
      </c>
      <c r="F1102" s="1219">
        <v>168</v>
      </c>
      <c r="G1102" s="1220">
        <f t="shared" si="114"/>
        <v>168</v>
      </c>
      <c r="H1102" s="1166"/>
      <c r="I1102" s="1166"/>
      <c r="J1102" s="1166"/>
    </row>
    <row r="1103" spans="1:10" s="1167" customFormat="1" ht="12.75">
      <c r="A1103" s="1224"/>
      <c r="B1103" s="1217"/>
      <c r="C1103" s="1223" t="s">
        <v>2037</v>
      </c>
      <c r="D1103" s="1219" t="s">
        <v>559</v>
      </c>
      <c r="E1103" s="1232">
        <v>1</v>
      </c>
      <c r="F1103" s="1219">
        <v>103</v>
      </c>
      <c r="G1103" s="1220">
        <f t="shared" si="114"/>
        <v>103</v>
      </c>
      <c r="H1103" s="1166"/>
      <c r="I1103" s="1166"/>
      <c r="J1103" s="1166"/>
    </row>
    <row r="1104" spans="1:10" s="1167" customFormat="1" ht="12.75">
      <c r="A1104" s="1224"/>
      <c r="B1104" s="1217"/>
      <c r="C1104" s="1234" t="s">
        <v>2038</v>
      </c>
      <c r="D1104" s="1219"/>
      <c r="E1104" s="1235"/>
      <c r="F1104" s="1219"/>
      <c r="G1104" s="1222">
        <f>SUM(G1094:G1103)</f>
        <v>6174.3280000000004</v>
      </c>
      <c r="H1104" s="1166"/>
      <c r="I1104" s="1166"/>
      <c r="J1104" s="1166"/>
    </row>
    <row r="1105" spans="1:17" s="908" customFormat="1" ht="45" customHeight="1">
      <c r="A1105" s="1217"/>
      <c r="B1105" s="1217">
        <v>30</v>
      </c>
      <c r="C1105" s="1218" t="s">
        <v>2048</v>
      </c>
      <c r="D1105" s="1223"/>
      <c r="E1105" s="1223"/>
      <c r="F1105" s="1223"/>
      <c r="G1105" s="1236"/>
      <c r="H1105" s="1213"/>
    </row>
    <row r="1106" spans="1:17" s="908" customFormat="1" ht="12">
      <c r="A1106" s="1217"/>
      <c r="B1106" s="1217"/>
      <c r="C1106" s="1218" t="s">
        <v>2049</v>
      </c>
      <c r="D1106" s="1237" t="s">
        <v>1045</v>
      </c>
      <c r="E1106" s="1238">
        <v>1</v>
      </c>
      <c r="F1106" s="1238">
        <f>'lead 1'!M10/1000</f>
        <v>40</v>
      </c>
      <c r="G1106" s="1236">
        <f>F1106*E1106</f>
        <v>40</v>
      </c>
      <c r="H1106" s="1213"/>
    </row>
    <row r="1107" spans="1:17" s="908" customFormat="1" ht="24">
      <c r="A1107" s="1217"/>
      <c r="B1107" s="1217"/>
      <c r="C1107" s="1218" t="s">
        <v>2050</v>
      </c>
      <c r="D1107" s="1237" t="s">
        <v>1045</v>
      </c>
      <c r="E1107" s="1238">
        <v>1</v>
      </c>
      <c r="F1107" s="1238">
        <v>27</v>
      </c>
      <c r="G1107" s="1236">
        <f>F1107*E1107</f>
        <v>27</v>
      </c>
      <c r="H1107" s="1213"/>
    </row>
    <row r="1108" spans="1:17" s="908" customFormat="1" ht="12">
      <c r="A1108" s="1217"/>
      <c r="B1108" s="1217"/>
      <c r="C1108" s="1218" t="s">
        <v>2051</v>
      </c>
      <c r="D1108" s="1237" t="s">
        <v>1045</v>
      </c>
      <c r="E1108" s="1238">
        <v>1</v>
      </c>
      <c r="F1108" s="1238">
        <v>5</v>
      </c>
      <c r="G1108" s="1236">
        <f>F1108*E1108</f>
        <v>5</v>
      </c>
      <c r="H1108" s="1213"/>
    </row>
    <row r="1109" spans="1:17" s="908" customFormat="1" ht="12">
      <c r="A1109" s="1217"/>
      <c r="B1109" s="1217"/>
      <c r="C1109" s="1218" t="s">
        <v>2059</v>
      </c>
      <c r="D1109" s="1237"/>
      <c r="E1109" s="1239"/>
      <c r="F1109" s="1238"/>
      <c r="G1109" s="1240">
        <f>SUM(G1106:G1108)</f>
        <v>72</v>
      </c>
      <c r="H1109" s="1214">
        <f>G1109</f>
        <v>72</v>
      </c>
    </row>
    <row r="1110" spans="1:17" s="1167" customFormat="1" ht="135" customHeight="1">
      <c r="A1110" s="1215"/>
      <c r="B1110" s="1217">
        <v>31</v>
      </c>
      <c r="C1110" s="1223" t="s">
        <v>2052</v>
      </c>
      <c r="D1110" s="1223"/>
      <c r="E1110" s="1223"/>
      <c r="F1110" s="1223"/>
      <c r="G1110" s="1223"/>
      <c r="H1110" s="1169"/>
      <c r="I1110" s="1169"/>
      <c r="J1110" s="1169"/>
    </row>
    <row r="1111" spans="1:17" s="1167" customFormat="1" ht="12.75">
      <c r="A1111" s="1224"/>
      <c r="B1111" s="1217"/>
      <c r="C1111" s="1225" t="s">
        <v>2016</v>
      </c>
      <c r="D1111" s="1223"/>
      <c r="E1111" s="1223"/>
      <c r="F1111" s="1223"/>
      <c r="G1111" s="1223"/>
      <c r="H1111" s="1166"/>
      <c r="I1111" s="1166"/>
      <c r="J1111" s="1166"/>
    </row>
    <row r="1112" spans="1:17" s="1167" customFormat="1" ht="12.75">
      <c r="A1112" s="1224"/>
      <c r="B1112" s="1217"/>
      <c r="C1112" s="1226" t="s">
        <v>2017</v>
      </c>
      <c r="D1112" s="1217" t="s">
        <v>2021</v>
      </c>
      <c r="E1112" s="1227">
        <v>0.9</v>
      </c>
      <c r="F1112" s="1227">
        <v>0.1</v>
      </c>
      <c r="G1112" s="1227">
        <v>7.4999999999999997E-2</v>
      </c>
      <c r="H1112" s="1171"/>
      <c r="I1112" s="1172"/>
      <c r="J1112" s="1172"/>
      <c r="K1112" s="1172"/>
      <c r="L1112" s="1173"/>
      <c r="M1112" s="1173"/>
      <c r="N1112" s="1173"/>
    </row>
    <row r="1113" spans="1:17" s="1167" customFormat="1" ht="12.75">
      <c r="A1113" s="1224"/>
      <c r="B1113" s="1217"/>
      <c r="C1113" s="1223"/>
      <c r="D1113" s="1217"/>
      <c r="E1113" s="1228"/>
      <c r="F1113" s="1222" t="s">
        <v>2018</v>
      </c>
      <c r="G1113" s="1229">
        <f>ROUND(E1112*F1112*G1112*1*2,3)</f>
        <v>1.4E-2</v>
      </c>
      <c r="H1113" s="1171"/>
      <c r="I1113" s="1172"/>
      <c r="J1113" s="1172"/>
      <c r="K1113" s="1172"/>
      <c r="L1113" s="1173"/>
      <c r="M1113" s="1173"/>
      <c r="N1113" s="1173"/>
    </row>
    <row r="1114" spans="1:17" s="1167" customFormat="1" ht="12.75">
      <c r="A1114" s="1224"/>
      <c r="B1114" s="1217"/>
      <c r="C1114" s="1223"/>
      <c r="D1114" s="1217"/>
      <c r="E1114" s="1228"/>
      <c r="F1114" s="1222"/>
      <c r="G1114" s="1229"/>
    </row>
    <row r="1115" spans="1:17" s="1167" customFormat="1" ht="12.75">
      <c r="A1115" s="1224"/>
      <c r="B1115" s="1217"/>
      <c r="C1115" s="1226" t="s">
        <v>2020</v>
      </c>
      <c r="D1115" s="1217" t="s">
        <v>2053</v>
      </c>
      <c r="E1115" s="1227">
        <v>1.35</v>
      </c>
      <c r="F1115" s="1227">
        <v>0.1</v>
      </c>
      <c r="G1115" s="1227">
        <v>7.4999999999999997E-2</v>
      </c>
      <c r="H1115" s="1174"/>
      <c r="I1115" s="1172"/>
      <c r="J1115" s="1172"/>
      <c r="K1115" s="1172"/>
      <c r="L1115" s="1173"/>
      <c r="M1115" s="1173"/>
      <c r="N1115" s="1173"/>
      <c r="Q1115" s="1170"/>
    </row>
    <row r="1116" spans="1:17" s="1167" customFormat="1" ht="12.75">
      <c r="A1116" s="1224"/>
      <c r="B1116" s="1217"/>
      <c r="C1116" s="1223"/>
      <c r="D1116" s="1217"/>
      <c r="E1116" s="1228"/>
      <c r="F1116" s="1222" t="s">
        <v>2018</v>
      </c>
      <c r="G1116" s="1229">
        <f>ROUND(E1115*F1115*G1115*1*3,3)</f>
        <v>0.03</v>
      </c>
      <c r="H1116" s="1174"/>
      <c r="I1116" s="1172"/>
      <c r="J1116" s="1172"/>
      <c r="K1116" s="1172"/>
      <c r="L1116" s="1173"/>
      <c r="M1116" s="1173"/>
      <c r="N1116" s="1173"/>
      <c r="Q1116" s="1170"/>
    </row>
    <row r="1117" spans="1:17" s="1167" customFormat="1" ht="12.75">
      <c r="A1117" s="1224"/>
      <c r="B1117" s="1217"/>
      <c r="C1117" s="1223"/>
      <c r="D1117" s="1217"/>
      <c r="E1117" s="1230" t="s">
        <v>2022</v>
      </c>
      <c r="F1117" s="1231"/>
      <c r="G1117" s="1229">
        <f>G1113+G1114+G1116</f>
        <v>4.3999999999999997E-2</v>
      </c>
      <c r="H1117" s="1174"/>
      <c r="I1117" s="1172"/>
      <c r="J1117" s="1172"/>
      <c r="K1117" s="1172"/>
      <c r="L1117" s="1173"/>
      <c r="M1117" s="1173"/>
      <c r="N1117" s="1173"/>
      <c r="Q1117" s="1170"/>
    </row>
    <row r="1118" spans="1:17" s="1167" customFormat="1" ht="12.75">
      <c r="A1118" s="1224"/>
      <c r="B1118" s="1217"/>
      <c r="C1118" s="1225" t="s">
        <v>2026</v>
      </c>
      <c r="D1118" s="1223"/>
      <c r="E1118" s="1223"/>
      <c r="F1118" s="1223"/>
      <c r="G1118" s="1223"/>
      <c r="H1118" s="1166"/>
      <c r="I1118" s="1166"/>
      <c r="J1118" s="1166"/>
      <c r="Q1118" s="1170"/>
    </row>
    <row r="1119" spans="1:17" s="1167" customFormat="1" ht="12.75">
      <c r="A1119" s="1224"/>
      <c r="B1119" s="1217"/>
      <c r="C1119" s="1226" t="s">
        <v>2020</v>
      </c>
      <c r="D1119" s="1217" t="s">
        <v>2029</v>
      </c>
      <c r="E1119" s="1227">
        <v>1.2</v>
      </c>
      <c r="F1119" s="1227">
        <v>0.05</v>
      </c>
      <c r="G1119" s="1227">
        <v>0.03</v>
      </c>
    </row>
    <row r="1120" spans="1:17" s="1167" customFormat="1" ht="12.75">
      <c r="A1120" s="1224"/>
      <c r="B1120" s="1217"/>
      <c r="C1120" s="1223"/>
      <c r="D1120" s="1217"/>
      <c r="E1120" s="1228"/>
      <c r="F1120" s="1222" t="s">
        <v>2018</v>
      </c>
      <c r="G1120" s="1229">
        <f>ROUND(E1119*F1119*G1119*1*4,3)</f>
        <v>7.0000000000000001E-3</v>
      </c>
      <c r="H1120" s="1166"/>
      <c r="I1120" s="1166"/>
      <c r="J1120" s="1166"/>
    </row>
    <row r="1121" spans="1:17" s="1167" customFormat="1" ht="12.75">
      <c r="A1121" s="1224"/>
      <c r="B1121" s="1217"/>
      <c r="C1121" s="1226" t="s">
        <v>2027</v>
      </c>
      <c r="D1121" s="1217" t="s">
        <v>2043</v>
      </c>
      <c r="E1121" s="1227">
        <v>0.17499999999999999</v>
      </c>
      <c r="F1121" s="1227">
        <v>0.05</v>
      </c>
      <c r="G1121" s="1227">
        <v>0.03</v>
      </c>
      <c r="H1121" s="1166"/>
      <c r="I1121" s="1166"/>
      <c r="J1121" s="1166"/>
    </row>
    <row r="1122" spans="1:17" s="1167" customFormat="1" ht="12.75">
      <c r="A1122" s="1224"/>
      <c r="B1122" s="1217"/>
      <c r="C1122" s="1223"/>
      <c r="D1122" s="1217"/>
      <c r="E1122" s="1228"/>
      <c r="F1122" s="1222" t="s">
        <v>2018</v>
      </c>
      <c r="G1122" s="1229">
        <f>ROUND(E1121*F1121*G1121*1*8,3)</f>
        <v>2E-3</v>
      </c>
      <c r="H1122" s="1166"/>
      <c r="I1122" s="1166"/>
      <c r="J1122" s="1166"/>
    </row>
    <row r="1123" spans="1:17" s="1167" customFormat="1" ht="12.75">
      <c r="A1123" s="1224"/>
      <c r="B1123" s="1217"/>
      <c r="C1123" s="1226" t="s">
        <v>56</v>
      </c>
      <c r="D1123" s="1217" t="s">
        <v>2029</v>
      </c>
      <c r="E1123" s="1228">
        <v>0.5</v>
      </c>
      <c r="F1123" s="1227">
        <v>0.17499999999999999</v>
      </c>
      <c r="G1123" s="1227">
        <v>2.5000000000000001E-2</v>
      </c>
      <c r="H1123" s="1166"/>
      <c r="I1123" s="1166"/>
      <c r="J1123" s="1166"/>
    </row>
    <row r="1124" spans="1:17" s="1167" customFormat="1" ht="12.75">
      <c r="A1124" s="1224"/>
      <c r="B1124" s="1217"/>
      <c r="C1124" s="1223"/>
      <c r="D1124" s="1217"/>
      <c r="E1124" s="1228"/>
      <c r="F1124" s="1222" t="s">
        <v>2018</v>
      </c>
      <c r="G1124" s="1229">
        <f>ROUND(E1123*F1123*G1123*1*4,3)</f>
        <v>8.9999999999999993E-3</v>
      </c>
      <c r="H1124" s="1166"/>
      <c r="I1124" s="1166"/>
      <c r="J1124" s="1166"/>
    </row>
    <row r="1125" spans="1:17" s="1167" customFormat="1" ht="12.75">
      <c r="A1125" s="1224"/>
      <c r="B1125" s="1217"/>
      <c r="C1125" s="1223"/>
      <c r="D1125" s="1217"/>
      <c r="E1125" s="1230" t="s">
        <v>2030</v>
      </c>
      <c r="F1125" s="1231"/>
      <c r="G1125" s="1229">
        <f>G1120+G1122+G1124</f>
        <v>1.8000000000000002E-2</v>
      </c>
      <c r="H1125" s="1166"/>
      <c r="I1125" s="1166"/>
      <c r="J1125" s="1166"/>
    </row>
    <row r="1126" spans="1:17" s="1167" customFormat="1" ht="12.75">
      <c r="A1126" s="1224"/>
      <c r="B1126" s="1217"/>
      <c r="C1126" s="1223" t="s">
        <v>2047</v>
      </c>
      <c r="D1126" s="1217" t="s">
        <v>112</v>
      </c>
      <c r="E1126" s="1228">
        <f>G1117</f>
        <v>4.3999999999999997E-2</v>
      </c>
      <c r="F1126" s="1219">
        <v>46217</v>
      </c>
      <c r="G1126" s="1220">
        <f>ROUND(E1126*F1126,2)</f>
        <v>2033.55</v>
      </c>
      <c r="H1126" s="1166"/>
      <c r="I1126" s="1166"/>
      <c r="J1126" s="1166"/>
    </row>
    <row r="1127" spans="1:17" s="1167" customFormat="1" ht="12.75">
      <c r="A1127" s="1224"/>
      <c r="B1127" s="1217"/>
      <c r="C1127" s="1223" t="s">
        <v>2031</v>
      </c>
      <c r="D1127" s="1217" t="s">
        <v>112</v>
      </c>
      <c r="E1127" s="1228">
        <f>G1125</f>
        <v>1.8000000000000002E-2</v>
      </c>
      <c r="F1127" s="1219">
        <v>58690</v>
      </c>
      <c r="G1127" s="1220">
        <f>ROUND(E1127*F1127,2)</f>
        <v>1056.42</v>
      </c>
      <c r="H1127" s="1166"/>
      <c r="I1127" s="1166"/>
      <c r="J1127" s="1166"/>
    </row>
    <row r="1128" spans="1:17" s="1167" customFormat="1" ht="12.75">
      <c r="A1128" s="1224"/>
      <c r="B1128" s="1217"/>
      <c r="C1128" s="1221" t="s">
        <v>169</v>
      </c>
      <c r="D1128" s="1219" t="s">
        <v>161</v>
      </c>
      <c r="E1128" s="1241">
        <f>SUM(E1126:E1127)</f>
        <v>6.2E-2</v>
      </c>
      <c r="F1128" s="1219">
        <f>G1009</f>
        <v>13962</v>
      </c>
      <c r="G1128" s="1220">
        <f>E1128*F1128</f>
        <v>865.64400000000001</v>
      </c>
      <c r="H1128" s="1168">
        <f>SUM(G1128:G1134)</f>
        <v>3841.6440000000002</v>
      </c>
      <c r="I1128" s="1166"/>
      <c r="J1128" s="1166"/>
    </row>
    <row r="1129" spans="1:17" s="1167" customFormat="1" ht="12.75">
      <c r="A1129" s="1224"/>
      <c r="B1129" s="1217"/>
      <c r="C1129" s="1223" t="s">
        <v>38</v>
      </c>
      <c r="D1129" s="1217" t="s">
        <v>39</v>
      </c>
      <c r="E1129" s="1219">
        <v>4</v>
      </c>
      <c r="F1129" s="1242">
        <v>30</v>
      </c>
      <c r="G1129" s="1220">
        <f t="shared" ref="G1129:G1134" si="115">F1129*E1129</f>
        <v>120</v>
      </c>
      <c r="H1129" s="1166"/>
      <c r="I1129" s="1166"/>
      <c r="J1129" s="1166"/>
    </row>
    <row r="1130" spans="1:17" s="1167" customFormat="1" ht="12.75">
      <c r="A1130" s="1224"/>
      <c r="B1130" s="1217"/>
      <c r="C1130" s="1223" t="s">
        <v>2054</v>
      </c>
      <c r="D1130" s="1217" t="s">
        <v>39</v>
      </c>
      <c r="E1130" s="1219">
        <v>4</v>
      </c>
      <c r="F1130" s="1242">
        <v>69</v>
      </c>
      <c r="G1130" s="1220">
        <f t="shared" si="115"/>
        <v>276</v>
      </c>
      <c r="H1130" s="1166"/>
      <c r="I1130" s="1166"/>
      <c r="J1130" s="1166"/>
    </row>
    <row r="1131" spans="1:17" s="1167" customFormat="1" ht="12.75">
      <c r="A1131" s="1224"/>
      <c r="B1131" s="1217"/>
      <c r="C1131" s="1223" t="s">
        <v>2055</v>
      </c>
      <c r="D1131" s="1217" t="s">
        <v>39</v>
      </c>
      <c r="E1131" s="1219">
        <v>8</v>
      </c>
      <c r="F1131" s="1242">
        <v>81</v>
      </c>
      <c r="G1131" s="1220">
        <f t="shared" si="115"/>
        <v>648</v>
      </c>
      <c r="H1131" s="1166"/>
      <c r="I1131" s="1166"/>
      <c r="J1131" s="1166"/>
    </row>
    <row r="1132" spans="1:17" s="1167" customFormat="1" ht="12.75">
      <c r="A1132" s="1224"/>
      <c r="B1132" s="1217"/>
      <c r="C1132" s="1223" t="s">
        <v>2056</v>
      </c>
      <c r="D1132" s="1217" t="s">
        <v>39</v>
      </c>
      <c r="E1132" s="1219">
        <v>4</v>
      </c>
      <c r="F1132" s="1242">
        <v>54</v>
      </c>
      <c r="G1132" s="1220">
        <f t="shared" si="115"/>
        <v>216</v>
      </c>
      <c r="H1132" s="1166"/>
      <c r="I1132" s="1166"/>
      <c r="J1132" s="1166"/>
    </row>
    <row r="1133" spans="1:17" s="1167" customFormat="1" ht="12.75">
      <c r="A1133" s="1224"/>
      <c r="B1133" s="1217"/>
      <c r="C1133" s="1218" t="s">
        <v>2057</v>
      </c>
      <c r="D1133" s="1217" t="s">
        <v>39</v>
      </c>
      <c r="E1133" s="1219">
        <v>4</v>
      </c>
      <c r="F1133" s="1219">
        <v>15</v>
      </c>
      <c r="G1133" s="1220">
        <f t="shared" si="115"/>
        <v>60</v>
      </c>
      <c r="H1133" s="1166"/>
      <c r="I1133" s="1166"/>
      <c r="J1133" s="1166"/>
    </row>
    <row r="1134" spans="1:17" s="1167" customFormat="1" ht="12.75">
      <c r="A1134" s="1224"/>
      <c r="B1134" s="1217"/>
      <c r="C1134" s="1218" t="s">
        <v>2058</v>
      </c>
      <c r="D1134" s="1217" t="s">
        <v>280</v>
      </c>
      <c r="E1134" s="1219">
        <v>23</v>
      </c>
      <c r="F1134" s="1219">
        <f>G1109</f>
        <v>72</v>
      </c>
      <c r="G1134" s="1220">
        <f t="shared" si="115"/>
        <v>1656</v>
      </c>
      <c r="H1134" s="1166"/>
      <c r="I1134" s="1166"/>
      <c r="J1134" s="1166"/>
    </row>
    <row r="1135" spans="1:17" s="1167" customFormat="1" ht="12.75">
      <c r="A1135" s="1224"/>
      <c r="B1135" s="1217"/>
      <c r="C1135" s="1234" t="s">
        <v>46</v>
      </c>
      <c r="D1135" s="1219"/>
      <c r="E1135" s="1235"/>
      <c r="F1135" s="1219"/>
      <c r="G1135" s="1222">
        <f>SUM(G1126:G1134)</f>
        <v>6931.6140000000005</v>
      </c>
      <c r="H1135" s="1166"/>
      <c r="I1135" s="1166"/>
      <c r="J1135" s="1166"/>
    </row>
    <row r="1136" spans="1:17" s="1059" customFormat="1">
      <c r="A1136" s="325"/>
      <c r="B1136" s="326"/>
      <c r="C1136" s="1077"/>
      <c r="D1136" s="227"/>
      <c r="E1136" s="327"/>
      <c r="F1136" s="227"/>
      <c r="G1136" s="328"/>
      <c r="H1136" s="381"/>
      <c r="I1136" s="381"/>
      <c r="J1136" s="381"/>
      <c r="K1136" s="381"/>
      <c r="L1136" s="381"/>
      <c r="M1136" s="381"/>
      <c r="N1136" s="381"/>
      <c r="O1136" s="381"/>
      <c r="P1136" s="381"/>
      <c r="Q1136" s="381"/>
    </row>
    <row r="1137" spans="1:17" s="1059" customFormat="1">
      <c r="A1137" s="325"/>
      <c r="B1137" s="326"/>
      <c r="C1137" s="1077"/>
      <c r="D1137" s="227"/>
      <c r="E1137" s="327"/>
      <c r="F1137" s="227"/>
      <c r="G1137" s="328"/>
      <c r="H1137" s="381"/>
      <c r="I1137" s="381"/>
      <c r="J1137" s="381"/>
      <c r="K1137" s="381"/>
      <c r="L1137" s="381"/>
      <c r="M1137" s="381"/>
      <c r="N1137" s="381"/>
      <c r="O1137" s="381"/>
      <c r="P1137" s="381"/>
      <c r="Q1137" s="381"/>
    </row>
    <row r="1138" spans="1:17" s="1059" customFormat="1">
      <c r="A1138" s="325"/>
      <c r="B1138" s="326"/>
      <c r="C1138" s="189" t="str">
        <f>'lead 1'!I37</f>
        <v>Deputy Executive Engineer</v>
      </c>
      <c r="D1138" s="227"/>
      <c r="E1138" s="327"/>
      <c r="F1138" s="227" t="str">
        <f>'lead 1'!L37</f>
        <v>Assistant Engineer</v>
      </c>
      <c r="G1138" s="328"/>
      <c r="H1138" s="381"/>
      <c r="I1138" s="381"/>
      <c r="J1138" s="381"/>
      <c r="K1138" s="381"/>
      <c r="L1138" s="381"/>
      <c r="M1138" s="381"/>
      <c r="N1138" s="381"/>
      <c r="O1138" s="381"/>
      <c r="P1138" s="381"/>
      <c r="Q1138" s="381"/>
    </row>
    <row r="1139" spans="1:17" s="994" customFormat="1">
      <c r="B1139" s="1081"/>
      <c r="C1139" s="189" t="str">
        <f>'lead 1'!I38</f>
        <v>PRI Sub Division</v>
      </c>
      <c r="D1139" s="1002"/>
      <c r="E1139" s="1002"/>
      <c r="F1139" s="227" t="str">
        <f>'lead 1'!L38</f>
        <v>Mandal Praja parishad</v>
      </c>
      <c r="G1139" s="1002"/>
      <c r="H1139" s="381"/>
      <c r="I1139" s="381"/>
      <c r="J1139" s="381"/>
      <c r="K1139" s="381"/>
      <c r="L1139" s="381"/>
      <c r="M1139" s="381"/>
      <c r="N1139" s="381"/>
      <c r="O1139" s="381"/>
      <c r="P1139" s="381"/>
      <c r="Q1139" s="381"/>
    </row>
    <row r="1140" spans="1:17" s="994" customFormat="1">
      <c r="B1140" s="1081"/>
      <c r="C1140" s="189" t="str">
        <f>'lead 1'!I39</f>
        <v>Kanigiri</v>
      </c>
      <c r="D1140" s="1002"/>
      <c r="E1140" s="1002"/>
      <c r="F1140" s="227" t="str">
        <f>'lead 1'!L39</f>
        <v>H.M.Padu</v>
      </c>
      <c r="G1140" s="1002"/>
      <c r="H1140" s="381"/>
      <c r="I1140" s="381"/>
      <c r="J1140" s="381"/>
      <c r="K1140" s="381"/>
      <c r="L1140" s="381"/>
      <c r="M1140" s="381"/>
      <c r="N1140" s="381"/>
      <c r="O1140" s="381"/>
      <c r="P1140" s="381"/>
      <c r="Q1140" s="381"/>
    </row>
  </sheetData>
  <protectedRanges>
    <protectedRange sqref="H202:Q202 H648:Q648 Q448 Q155 H400:Q400 H187:Q187 H197:Q197 H220:Q220 H590:Q590 H526:Q526 H447:Q447 H423:Q423 H537:Q538 H724:Q724 H519:Q519 H761:Q761 H513:Q513 H611:Q611 Q681 K714:L715 H508:Q508 H743:Q743 H631:Q631 H500:Q500 H492:Q492 H697:O697 Q665 H680:Q680 H664:Q664 H117:Q117 H205:Q205 Q388 Q401 Q424 H213:Q213 H352:Q353 H23:R23 J41 H70:I78 Q70:Q80 H272:Q272 H387:Q387 H468:Q468 M481:Q481 H507 J507:Q507 H567:Q567 H481:J481 H532:K532 M532:Q532 I40:J40 H9:Q22 K40:Q44 H40:H44 I42:J44 H45:Q50 H53:Q69 H80:P80 H79:Q79 H81:Q98 H103:Q103 H115:Q115 H127:Q127 H139:Q139 H151:Q152 H166:Q168 H191:Q191 H199:Q199 H207:Q207 H215:Q215 H234:Q234 H242:Q242 H253:Q253 P269:P271 H256:Q268 H279:Q280 H292:Q293 H304:Q305 H316:Q316 H328:Q328 H342:Q342 H361:Q361 H372:Q372 H406:Q406 H431:Q431 H458:Q458 H486:Q487 H712:Q713 P633:P634 Q697 H24:Q39" name="Range1_3"/>
    <protectedRange sqref="H155:P155 H153:Q154 H465:Q465 H612:Q630 H666:Q679 H714:J715 H591:Q591 H665:P665 H632:Q632 M714:Q715 H725:Q725 H681:P681 H698:Q698 H744:Q744 M309:Q309 H208:O208 Q208 H211 H206:Q206 H388:P388 H401:P401 H424:P424 H448:P448 H594:Q594 H216:Q219 H337:Q337 M339:Q339 H339:J339 H338:P338 Q338:Q341 H102:Q102 H118:Q126 H140:Q150 H169 Q169 H189:Q190 H188 Q188 H201:Q201 H200 Q200 H170:Q186 H209:Q210 H198:Q198 Q235 H273:Q278 L354:P354 M355:P355 L359:O359 P359:P360 H375:Q375 Q376 P389 H429:O429 Q429 P429:P430 H454:H457 H593:O593 Q593 P592:P593 Q595 P716:P717 H236:Q241 H310:Q315 H281:Q291 H377:Q386 H469:Q471 H568:Q569 H340:P341 H306:Q308 H294:Q303 H394:Q395 H363:Q363 H364:K370 Q364:Q370 L364:P364 L366:P369 M365:P365 L370:O370 P370:P371 P417 H156:Q165 H104:Q114 H116:Q116 H128:Q138 H192:Q196 H203:Q204 H212:Q212 H214:Q214 H221:Q233 H243:Q252 H254:Q255 Q269:Q271 H269:O271 H317:Q327 H329:Q333 H343:Q351 L356:P358 Q354:Q359 H354:K359 H391:Q391 H402:Q405 H407:Q416 H425:Q428 H438:Q438 H449:Q453 H493:Q493 H649:Q663 H702:Q711 H762:Q770 H570:P584 H635:Q642 H633:O634 Q633:Q634 H643:O645 Q643:Q645 P643:P646 H685:Q696 P697 H596:Q610" name="Range1_2_1"/>
    <protectedRange sqref="H511:O512 H514:Q514 H585:Q586 H490:Q491 Q511:Q512 Q515 H516:Q518 H527:Q531 H533:Q536 Q539 H496:Q499 H520:Q525 K553 H540:J556 M540:Q556 K540:L552 K554:L556 Q570:Q584" name="Range1_5_1"/>
    <protectedRange sqref="H557:Q560 Q561 H562:Q566 H587:Q589" name="Range1_6_1"/>
    <protectedRange sqref="K504 I507 H501:J506 M501:Q506 K501:L503 K505:L506" name="Range1_5_1_1"/>
    <protectedRange sqref="H647:Q647 H646:O646 Q646" name="Range1_2"/>
  </protectedRanges>
  <mergeCells count="54">
    <mergeCell ref="B335:B337"/>
    <mergeCell ref="C351:G351"/>
    <mergeCell ref="C987:G987"/>
    <mergeCell ref="B1:F1"/>
    <mergeCell ref="C14:G14"/>
    <mergeCell ref="C25:G25"/>
    <mergeCell ref="C35:G35"/>
    <mergeCell ref="C47:G47"/>
    <mergeCell ref="C970:G970"/>
    <mergeCell ref="C923:G923"/>
    <mergeCell ref="C58:F58"/>
    <mergeCell ref="C59:G59"/>
    <mergeCell ref="C153:G153"/>
    <mergeCell ref="C171:G171"/>
    <mergeCell ref="C625:G625"/>
    <mergeCell ref="C571:G571"/>
    <mergeCell ref="C549:G549"/>
    <mergeCell ref="C585:G585"/>
    <mergeCell ref="C607:G607"/>
    <mergeCell ref="C218:G218"/>
    <mergeCell ref="C258:G258"/>
    <mergeCell ref="C321:G321"/>
    <mergeCell ref="C473:G473"/>
    <mergeCell ref="C396:G396"/>
    <mergeCell ref="C500:G500"/>
    <mergeCell ref="C626:G626"/>
    <mergeCell ref="C899:G899"/>
    <mergeCell ref="C650:G650"/>
    <mergeCell ref="C662:G662"/>
    <mergeCell ref="C334:G334"/>
    <mergeCell ref="C663:G663"/>
    <mergeCell ref="C684:G684"/>
    <mergeCell ref="C418:G418"/>
    <mergeCell ref="C445:G445"/>
    <mergeCell ref="C709:G709"/>
    <mergeCell ref="C363:G363"/>
    <mergeCell ref="C731:G731"/>
    <mergeCell ref="C739:G739"/>
    <mergeCell ref="C750:G750"/>
    <mergeCell ref="C765:G765"/>
    <mergeCell ref="C525:G525"/>
    <mergeCell ref="C999:G999"/>
    <mergeCell ref="C1003:G1003"/>
    <mergeCell ref="C995:G995"/>
    <mergeCell ref="C780:G780"/>
    <mergeCell ref="C806:G806"/>
    <mergeCell ref="D900:F900"/>
    <mergeCell ref="C844:G844"/>
    <mergeCell ref="C837:G837"/>
    <mergeCell ref="C940:G940"/>
    <mergeCell ref="C850:G850"/>
    <mergeCell ref="C873:G873"/>
    <mergeCell ref="C830:G830"/>
    <mergeCell ref="C991:G991"/>
  </mergeCells>
  <printOptions horizontalCentered="1" gridLines="1"/>
  <pageMargins left="0.2" right="0.2" top="0.25" bottom="0.25" header="0.3" footer="0.3"/>
  <pageSetup paperSize="9" orientation="portrait" verticalDpi="300" r:id="rId1"/>
</worksheet>
</file>

<file path=xl/worksheets/sheet22.xml><?xml version="1.0" encoding="utf-8"?>
<worksheet xmlns="http://schemas.openxmlformats.org/spreadsheetml/2006/main" xmlns:r="http://schemas.openxmlformats.org/officeDocument/2006/relationships">
  <sheetPr>
    <tabColor rgb="FF00B0F0"/>
  </sheetPr>
  <dimension ref="A1:I397"/>
  <sheetViews>
    <sheetView view="pageBreakPreview" topLeftCell="A259" zoomScale="115" zoomScaleSheetLayoutView="115" workbookViewId="0">
      <selection activeCell="B32" sqref="B32"/>
    </sheetView>
  </sheetViews>
  <sheetFormatPr defaultRowHeight="12.75"/>
  <cols>
    <col min="1" max="1" width="9.140625" style="732"/>
    <col min="2" max="2" width="5.140625" style="794" customWidth="1"/>
    <col min="3" max="3" width="45.5703125" style="732" customWidth="1"/>
    <col min="4" max="4" width="9.140625" style="732"/>
    <col min="5" max="5" width="4.7109375" style="783" customWidth="1"/>
    <col min="6" max="6" width="3.28515625" style="732" customWidth="1"/>
    <col min="7" max="7" width="5" style="783" customWidth="1"/>
    <col min="8" max="8" width="9.5703125" style="732" bestFit="1" customWidth="1"/>
    <col min="9" max="9" width="9.140625" style="732"/>
  </cols>
  <sheetData>
    <row r="1" spans="1:9" ht="18">
      <c r="A1" s="1404" t="s">
        <v>1836</v>
      </c>
      <c r="B1" s="1404"/>
      <c r="C1" s="1404"/>
      <c r="D1" s="1404"/>
      <c r="E1" s="1404"/>
      <c r="F1" s="1404"/>
      <c r="G1" s="1404"/>
      <c r="H1" s="1404"/>
      <c r="I1" s="1404"/>
    </row>
    <row r="2" spans="1:9" ht="32.25" customHeight="1">
      <c r="A2" s="788" t="s">
        <v>152</v>
      </c>
      <c r="B2" s="788" t="s">
        <v>425</v>
      </c>
      <c r="C2" s="788" t="s">
        <v>426</v>
      </c>
      <c r="D2" s="1406" t="s">
        <v>156</v>
      </c>
      <c r="E2" s="1406"/>
      <c r="F2" s="1405" t="s">
        <v>1835</v>
      </c>
      <c r="G2" s="1405"/>
      <c r="H2" s="789" t="s">
        <v>157</v>
      </c>
      <c r="I2" s="789" t="s">
        <v>633</v>
      </c>
    </row>
    <row r="3" spans="1:9" s="543" customFormat="1" ht="18" customHeight="1">
      <c r="A3" s="788">
        <v>1</v>
      </c>
      <c r="B3" s="788">
        <v>2</v>
      </c>
      <c r="C3" s="788">
        <v>3</v>
      </c>
      <c r="D3" s="1406">
        <v>4</v>
      </c>
      <c r="E3" s="1406"/>
      <c r="F3" s="1407">
        <v>5</v>
      </c>
      <c r="G3" s="1407"/>
      <c r="H3" s="790">
        <v>6</v>
      </c>
      <c r="I3" s="790">
        <v>7</v>
      </c>
    </row>
    <row r="4" spans="1:9" ht="67.5">
      <c r="A4" s="697" t="s">
        <v>1657</v>
      </c>
      <c r="B4" s="698">
        <v>1</v>
      </c>
      <c r="C4" s="699" t="s">
        <v>1658</v>
      </c>
      <c r="D4" s="749"/>
      <c r="E4" s="772"/>
      <c r="F4" s="749"/>
      <c r="G4" s="772"/>
      <c r="H4" s="700"/>
      <c r="I4" s="700"/>
    </row>
    <row r="5" spans="1:9">
      <c r="A5" s="701"/>
      <c r="B5" s="698"/>
      <c r="C5" s="699" t="s">
        <v>1659</v>
      </c>
      <c r="D5" s="750"/>
      <c r="E5" s="773"/>
      <c r="F5" s="750"/>
      <c r="G5" s="773"/>
      <c r="H5" s="699"/>
      <c r="I5" s="699"/>
    </row>
    <row r="6" spans="1:9">
      <c r="A6" s="701"/>
      <c r="B6" s="698"/>
      <c r="C6" s="702" t="s">
        <v>1660</v>
      </c>
      <c r="D6" s="761"/>
      <c r="E6" s="784"/>
      <c r="F6" s="751"/>
      <c r="G6" s="774"/>
      <c r="H6" s="697"/>
      <c r="I6" s="704"/>
    </row>
    <row r="7" spans="1:9">
      <c r="A7" s="701"/>
      <c r="B7" s="698">
        <v>1</v>
      </c>
      <c r="C7" s="705" t="s">
        <v>1661</v>
      </c>
      <c r="D7" s="762">
        <v>2</v>
      </c>
      <c r="E7" s="775" t="s">
        <v>186</v>
      </c>
      <c r="F7" s="752">
        <v>1</v>
      </c>
      <c r="G7" s="775" t="s">
        <v>186</v>
      </c>
      <c r="H7" s="697">
        <v>575</v>
      </c>
      <c r="I7" s="704">
        <f>SUM(D7*H7/F7)</f>
        <v>1150</v>
      </c>
    </row>
    <row r="8" spans="1:9">
      <c r="A8" s="701"/>
      <c r="B8" s="698">
        <v>2</v>
      </c>
      <c r="C8" s="707" t="s">
        <v>1662</v>
      </c>
      <c r="D8" s="762">
        <v>2</v>
      </c>
      <c r="E8" s="775" t="s">
        <v>186</v>
      </c>
      <c r="F8" s="752">
        <v>1</v>
      </c>
      <c r="G8" s="775" t="s">
        <v>186</v>
      </c>
      <c r="H8" s="697">
        <v>471</v>
      </c>
      <c r="I8" s="704">
        <f>SUM(D8*H8/F8)</f>
        <v>942</v>
      </c>
    </row>
    <row r="9" spans="1:9">
      <c r="A9" s="701"/>
      <c r="B9" s="698">
        <v>3</v>
      </c>
      <c r="C9" s="705" t="s">
        <v>1663</v>
      </c>
      <c r="D9" s="762">
        <v>2</v>
      </c>
      <c r="E9" s="775" t="s">
        <v>186</v>
      </c>
      <c r="F9" s="752">
        <v>1</v>
      </c>
      <c r="G9" s="775" t="s">
        <v>186</v>
      </c>
      <c r="H9" s="697">
        <v>420</v>
      </c>
      <c r="I9" s="704">
        <f>SUM(D9*H9/F9)</f>
        <v>840</v>
      </c>
    </row>
    <row r="10" spans="1:9">
      <c r="A10" s="701"/>
      <c r="B10" s="708"/>
      <c r="C10" s="709" t="s">
        <v>1664</v>
      </c>
      <c r="D10" s="762"/>
      <c r="E10" s="776"/>
      <c r="F10" s="753"/>
      <c r="G10" s="776"/>
      <c r="H10" s="710"/>
      <c r="I10" s="711">
        <f>SUM(I7:I9)</f>
        <v>2932</v>
      </c>
    </row>
    <row r="11" spans="1:9">
      <c r="A11" s="701"/>
      <c r="B11" s="708"/>
      <c r="C11" s="709" t="s">
        <v>1665</v>
      </c>
      <c r="D11" s="763"/>
      <c r="E11" s="776"/>
      <c r="F11" s="753"/>
      <c r="G11" s="776"/>
      <c r="H11" s="697"/>
      <c r="I11" s="711">
        <f>SUM(I10/100)</f>
        <v>29.32</v>
      </c>
    </row>
    <row r="12" spans="1:9">
      <c r="A12" s="701"/>
      <c r="B12" s="698"/>
      <c r="C12" s="713" t="s">
        <v>573</v>
      </c>
      <c r="D12" s="762"/>
      <c r="E12" s="776"/>
      <c r="F12" s="753"/>
      <c r="G12" s="776"/>
      <c r="H12" s="697"/>
      <c r="I12" s="711"/>
    </row>
    <row r="13" spans="1:9" ht="22.5">
      <c r="A13" s="701"/>
      <c r="B13" s="698">
        <v>4</v>
      </c>
      <c r="C13" s="714" t="s">
        <v>1666</v>
      </c>
      <c r="D13" s="762">
        <v>12</v>
      </c>
      <c r="E13" s="775" t="s">
        <v>95</v>
      </c>
      <c r="F13" s="752">
        <v>1</v>
      </c>
      <c r="G13" s="775" t="s">
        <v>1667</v>
      </c>
      <c r="H13" s="697">
        <v>20</v>
      </c>
      <c r="I13" s="704">
        <f>SUM(D13*H13/F13)</f>
        <v>240</v>
      </c>
    </row>
    <row r="14" spans="1:9" ht="22.5">
      <c r="A14" s="701"/>
      <c r="B14" s="698">
        <v>5</v>
      </c>
      <c r="C14" s="714" t="s">
        <v>1668</v>
      </c>
      <c r="D14" s="762">
        <v>12</v>
      </c>
      <c r="E14" s="775" t="s">
        <v>95</v>
      </c>
      <c r="F14" s="752">
        <v>1</v>
      </c>
      <c r="G14" s="775" t="s">
        <v>1667</v>
      </c>
      <c r="H14" s="697">
        <v>8</v>
      </c>
      <c r="I14" s="704">
        <f>SUM(D14*H14/F14)</f>
        <v>96</v>
      </c>
    </row>
    <row r="15" spans="1:9" ht="33.75">
      <c r="A15" s="701"/>
      <c r="B15" s="698">
        <v>6</v>
      </c>
      <c r="C15" s="714" t="s">
        <v>1669</v>
      </c>
      <c r="D15" s="762">
        <v>100</v>
      </c>
      <c r="E15" s="775" t="s">
        <v>1670</v>
      </c>
      <c r="F15" s="752">
        <v>1</v>
      </c>
      <c r="G15" s="775" t="s">
        <v>1670</v>
      </c>
      <c r="H15" s="697">
        <v>25</v>
      </c>
      <c r="I15" s="704">
        <f>SUM(D15*H15/F15)</f>
        <v>2500</v>
      </c>
    </row>
    <row r="16" spans="1:9">
      <c r="A16" s="701"/>
      <c r="B16" s="708"/>
      <c r="C16" s="709" t="s">
        <v>1671</v>
      </c>
      <c r="D16" s="762"/>
      <c r="E16" s="775"/>
      <c r="F16" s="752"/>
      <c r="G16" s="775"/>
      <c r="H16" s="697"/>
      <c r="I16" s="711">
        <f>SUM(I13:I15)</f>
        <v>2836</v>
      </c>
    </row>
    <row r="17" spans="1:9">
      <c r="A17" s="701"/>
      <c r="B17" s="698"/>
      <c r="C17" s="709" t="s">
        <v>1672</v>
      </c>
      <c r="D17" s="763"/>
      <c r="E17" s="775"/>
      <c r="F17" s="752"/>
      <c r="G17" s="775"/>
      <c r="H17" s="712"/>
      <c r="I17" s="711">
        <f>SUM(I16/100)</f>
        <v>28.36</v>
      </c>
    </row>
    <row r="18" spans="1:9">
      <c r="A18" s="701"/>
      <c r="B18" s="698"/>
      <c r="C18" s="702" t="s">
        <v>1673</v>
      </c>
      <c r="D18" s="762"/>
      <c r="E18" s="775"/>
      <c r="F18" s="752"/>
      <c r="G18" s="775"/>
      <c r="H18" s="715">
        <f>+I17+I11</f>
        <v>57.68</v>
      </c>
      <c r="I18" s="716"/>
    </row>
    <row r="19" spans="1:9">
      <c r="A19" s="717"/>
      <c r="B19" s="793"/>
      <c r="C19" s="718" t="s">
        <v>1674</v>
      </c>
      <c r="D19" s="754"/>
      <c r="E19" s="777"/>
      <c r="F19" s="754"/>
      <c r="G19" s="777"/>
      <c r="H19" s="719">
        <v>0</v>
      </c>
      <c r="I19" s="719"/>
    </row>
    <row r="20" spans="1:9">
      <c r="A20" s="717"/>
      <c r="B20" s="793"/>
      <c r="C20" s="702" t="s">
        <v>1675</v>
      </c>
      <c r="D20" s="754"/>
      <c r="E20" s="777"/>
      <c r="F20" s="754"/>
      <c r="G20" s="777"/>
      <c r="H20" s="719"/>
      <c r="I20" s="719">
        <f>ROUND(H18+H19,1)</f>
        <v>57.7</v>
      </c>
    </row>
    <row r="21" spans="1:9" s="819" customFormat="1">
      <c r="A21" s="717"/>
      <c r="B21" s="793"/>
      <c r="C21" s="702"/>
      <c r="D21" s="754"/>
      <c r="E21" s="777"/>
      <c r="F21" s="754"/>
      <c r="G21" s="777"/>
      <c r="H21" s="719"/>
      <c r="I21" s="719"/>
    </row>
    <row r="22" spans="1:9">
      <c r="A22" s="717"/>
      <c r="B22" s="793">
        <v>2</v>
      </c>
      <c r="C22" s="699" t="s">
        <v>1933</v>
      </c>
      <c r="D22" s="749"/>
      <c r="E22" s="772"/>
      <c r="F22" s="749"/>
      <c r="G22" s="772"/>
      <c r="H22" s="700"/>
      <c r="I22" s="700"/>
    </row>
    <row r="23" spans="1:9" s="819" customFormat="1">
      <c r="A23" s="717"/>
      <c r="B23" s="793"/>
      <c r="C23" s="705" t="s">
        <v>1934</v>
      </c>
      <c r="D23" s="762">
        <v>1</v>
      </c>
      <c r="E23" s="775" t="s">
        <v>369</v>
      </c>
      <c r="F23" s="752">
        <v>1</v>
      </c>
      <c r="G23" s="775" t="s">
        <v>369</v>
      </c>
      <c r="H23" s="697">
        <v>55</v>
      </c>
      <c r="I23" s="704">
        <f>SUM(D23*H23/F23)</f>
        <v>55</v>
      </c>
    </row>
    <row r="24" spans="1:9" s="819" customFormat="1">
      <c r="A24" s="717"/>
      <c r="B24" s="793"/>
      <c r="C24" s="707"/>
      <c r="D24" s="762"/>
      <c r="E24" s="775"/>
      <c r="F24" s="752"/>
      <c r="G24" s="775"/>
      <c r="H24" s="697"/>
      <c r="I24" s="704">
        <f>SUM(I23)</f>
        <v>55</v>
      </c>
    </row>
    <row r="25" spans="1:9" ht="78.75">
      <c r="A25" s="697" t="s">
        <v>1676</v>
      </c>
      <c r="B25" s="698">
        <v>3</v>
      </c>
      <c r="C25" s="699" t="s">
        <v>1677</v>
      </c>
      <c r="D25" s="750"/>
      <c r="E25" s="773"/>
      <c r="F25" s="750"/>
      <c r="G25" s="773"/>
      <c r="H25" s="699"/>
      <c r="I25" s="699"/>
    </row>
    <row r="26" spans="1:9">
      <c r="A26" s="701"/>
      <c r="B26" s="698"/>
      <c r="C26" s="699" t="s">
        <v>1659</v>
      </c>
      <c r="D26" s="750"/>
      <c r="E26" s="773"/>
      <c r="F26" s="750"/>
      <c r="G26" s="773"/>
      <c r="H26" s="699"/>
      <c r="I26" s="699"/>
    </row>
    <row r="27" spans="1:9">
      <c r="A27" s="701"/>
      <c r="B27" s="698"/>
      <c r="C27" s="702" t="s">
        <v>1660</v>
      </c>
      <c r="D27" s="762"/>
      <c r="E27" s="775"/>
      <c r="F27" s="753"/>
      <c r="G27" s="775"/>
      <c r="H27" s="697"/>
      <c r="I27" s="704"/>
    </row>
    <row r="28" spans="1:9">
      <c r="A28" s="701"/>
      <c r="B28" s="698">
        <v>1</v>
      </c>
      <c r="C28" s="705" t="s">
        <v>1661</v>
      </c>
      <c r="D28" s="762">
        <v>2</v>
      </c>
      <c r="E28" s="775" t="s">
        <v>186</v>
      </c>
      <c r="F28" s="752">
        <v>1</v>
      </c>
      <c r="G28" s="775" t="s">
        <v>186</v>
      </c>
      <c r="H28" s="697">
        <v>575</v>
      </c>
      <c r="I28" s="704">
        <f>SUM(D28*H28/F28)</f>
        <v>1150</v>
      </c>
    </row>
    <row r="29" spans="1:9">
      <c r="A29" s="701"/>
      <c r="B29" s="698">
        <v>2</v>
      </c>
      <c r="C29" s="707" t="s">
        <v>1662</v>
      </c>
      <c r="D29" s="762">
        <v>2</v>
      </c>
      <c r="E29" s="775" t="s">
        <v>186</v>
      </c>
      <c r="F29" s="752">
        <v>1</v>
      </c>
      <c r="G29" s="775" t="s">
        <v>186</v>
      </c>
      <c r="H29" s="697">
        <v>471</v>
      </c>
      <c r="I29" s="704">
        <f>SUM(D29*H29/F29)</f>
        <v>942</v>
      </c>
    </row>
    <row r="30" spans="1:9">
      <c r="A30" s="701"/>
      <c r="B30" s="698">
        <v>3</v>
      </c>
      <c r="C30" s="705" t="s">
        <v>1663</v>
      </c>
      <c r="D30" s="762">
        <v>2</v>
      </c>
      <c r="E30" s="775" t="s">
        <v>186</v>
      </c>
      <c r="F30" s="752">
        <v>1</v>
      </c>
      <c r="G30" s="775" t="s">
        <v>186</v>
      </c>
      <c r="H30" s="697">
        <v>420</v>
      </c>
      <c r="I30" s="704">
        <f>SUM(D30*H30/F30)</f>
        <v>840</v>
      </c>
    </row>
    <row r="31" spans="1:9">
      <c r="A31" s="701"/>
      <c r="B31" s="698">
        <v>4</v>
      </c>
      <c r="C31" s="714" t="s">
        <v>1678</v>
      </c>
      <c r="D31" s="762">
        <v>2</v>
      </c>
      <c r="E31" s="775" t="s">
        <v>186</v>
      </c>
      <c r="F31" s="752">
        <v>1</v>
      </c>
      <c r="G31" s="775" t="s">
        <v>186</v>
      </c>
      <c r="H31" s="697">
        <v>500</v>
      </c>
      <c r="I31" s="704">
        <f>SUM(D31*H31/F31)</f>
        <v>1000</v>
      </c>
    </row>
    <row r="32" spans="1:9">
      <c r="A32" s="701"/>
      <c r="B32" s="708"/>
      <c r="C32" s="709" t="s">
        <v>1664</v>
      </c>
      <c r="D32" s="762"/>
      <c r="E32" s="776"/>
      <c r="F32" s="753"/>
      <c r="G32" s="776"/>
      <c r="H32" s="710"/>
      <c r="I32" s="711">
        <f>SUM(I28:I31)</f>
        <v>3932</v>
      </c>
    </row>
    <row r="33" spans="1:9">
      <c r="A33" s="701"/>
      <c r="B33" s="698"/>
      <c r="C33" s="709" t="s">
        <v>1665</v>
      </c>
      <c r="D33" s="763"/>
      <c r="E33" s="776"/>
      <c r="F33" s="753"/>
      <c r="G33" s="776"/>
      <c r="H33" s="697"/>
      <c r="I33" s="711">
        <f>SUM(I32/100)</f>
        <v>39.32</v>
      </c>
    </row>
    <row r="34" spans="1:9">
      <c r="A34" s="701"/>
      <c r="B34" s="698"/>
      <c r="C34" s="713" t="s">
        <v>573</v>
      </c>
      <c r="D34" s="762"/>
      <c r="E34" s="776"/>
      <c r="F34" s="753"/>
      <c r="G34" s="776"/>
      <c r="H34" s="697"/>
      <c r="I34" s="711"/>
    </row>
    <row r="35" spans="1:9">
      <c r="A35" s="701"/>
      <c r="B35" s="698">
        <v>5</v>
      </c>
      <c r="C35" s="714" t="s">
        <v>1679</v>
      </c>
      <c r="D35" s="762">
        <v>50</v>
      </c>
      <c r="E35" s="775" t="s">
        <v>116</v>
      </c>
      <c r="F35" s="752">
        <v>1</v>
      </c>
      <c r="G35" s="775" t="s">
        <v>206</v>
      </c>
      <c r="H35" s="697">
        <v>8</v>
      </c>
      <c r="I35" s="704">
        <f>SUM(D35*H35/F35)</f>
        <v>400</v>
      </c>
    </row>
    <row r="36" spans="1:9">
      <c r="A36" s="701"/>
      <c r="B36" s="698">
        <v>6</v>
      </c>
      <c r="C36" s="714" t="s">
        <v>1680</v>
      </c>
      <c r="D36" s="762">
        <v>200</v>
      </c>
      <c r="E36" s="775" t="s">
        <v>95</v>
      </c>
      <c r="F36" s="752">
        <v>100</v>
      </c>
      <c r="G36" s="775" t="s">
        <v>95</v>
      </c>
      <c r="H36" s="697">
        <v>30</v>
      </c>
      <c r="I36" s="704">
        <f>SUM(D36*H36/F36)</f>
        <v>60</v>
      </c>
    </row>
    <row r="37" spans="1:9" ht="22.5">
      <c r="A37" s="701"/>
      <c r="B37" s="698">
        <v>7</v>
      </c>
      <c r="C37" s="714" t="s">
        <v>1666</v>
      </c>
      <c r="D37" s="762">
        <v>12</v>
      </c>
      <c r="E37" s="775" t="s">
        <v>95</v>
      </c>
      <c r="F37" s="752">
        <v>1</v>
      </c>
      <c r="G37" s="775" t="s">
        <v>95</v>
      </c>
      <c r="H37" s="697">
        <v>20</v>
      </c>
      <c r="I37" s="704">
        <f>SUM(D37*H37/F37)</f>
        <v>240</v>
      </c>
    </row>
    <row r="38" spans="1:9" ht="22.5">
      <c r="A38" s="701"/>
      <c r="B38" s="698">
        <v>8</v>
      </c>
      <c r="C38" s="714" t="s">
        <v>1668</v>
      </c>
      <c r="D38" s="762">
        <v>12</v>
      </c>
      <c r="E38" s="775" t="s">
        <v>95</v>
      </c>
      <c r="F38" s="752">
        <v>1</v>
      </c>
      <c r="G38" s="775" t="s">
        <v>95</v>
      </c>
      <c r="H38" s="697">
        <v>8</v>
      </c>
      <c r="I38" s="704">
        <f>SUM(D38*H38/F38)</f>
        <v>96</v>
      </c>
    </row>
    <row r="39" spans="1:9" ht="33.75">
      <c r="A39" s="701"/>
      <c r="B39" s="698">
        <v>9</v>
      </c>
      <c r="C39" s="714" t="s">
        <v>1669</v>
      </c>
      <c r="D39" s="762">
        <v>100</v>
      </c>
      <c r="E39" s="775" t="s">
        <v>1670</v>
      </c>
      <c r="F39" s="752">
        <v>1</v>
      </c>
      <c r="G39" s="775" t="s">
        <v>1670</v>
      </c>
      <c r="H39" s="697">
        <v>25</v>
      </c>
      <c r="I39" s="704">
        <f>SUM(D39*H39/F39)</f>
        <v>2500</v>
      </c>
    </row>
    <row r="40" spans="1:9">
      <c r="A40" s="701"/>
      <c r="B40" s="708"/>
      <c r="C40" s="709" t="s">
        <v>1671</v>
      </c>
      <c r="D40" s="762"/>
      <c r="E40" s="775"/>
      <c r="F40" s="752"/>
      <c r="G40" s="775"/>
      <c r="H40" s="697"/>
      <c r="I40" s="711">
        <f>SUM(I35:I39)</f>
        <v>3296</v>
      </c>
    </row>
    <row r="41" spans="1:9">
      <c r="A41" s="701"/>
      <c r="B41" s="698"/>
      <c r="C41" s="709" t="s">
        <v>1672</v>
      </c>
      <c r="D41" s="763"/>
      <c r="E41" s="775"/>
      <c r="F41" s="752"/>
      <c r="G41" s="775"/>
      <c r="H41" s="712"/>
      <c r="I41" s="711">
        <f>SUM(I40/100)</f>
        <v>32.96</v>
      </c>
    </row>
    <row r="42" spans="1:9">
      <c r="A42" s="701"/>
      <c r="B42" s="698"/>
      <c r="C42" s="702" t="s">
        <v>1673</v>
      </c>
      <c r="D42" s="762"/>
      <c r="E42" s="775"/>
      <c r="F42" s="752"/>
      <c r="G42" s="775"/>
      <c r="H42" s="712"/>
      <c r="I42" s="716">
        <f>I33+I41</f>
        <v>72.28</v>
      </c>
    </row>
    <row r="43" spans="1:9">
      <c r="A43" s="701"/>
      <c r="B43" s="698"/>
      <c r="C43" s="718" t="s">
        <v>1674</v>
      </c>
      <c r="D43" s="762"/>
      <c r="E43" s="775"/>
      <c r="F43" s="752"/>
      <c r="G43" s="775"/>
      <c r="H43" s="715">
        <v>0</v>
      </c>
      <c r="I43" s="716"/>
    </row>
    <row r="44" spans="1:9">
      <c r="A44" s="701"/>
      <c r="B44" s="698"/>
      <c r="C44" s="702" t="s">
        <v>1681</v>
      </c>
      <c r="D44" s="762"/>
      <c r="E44" s="775"/>
      <c r="F44" s="752"/>
      <c r="G44" s="775"/>
      <c r="H44" s="712"/>
      <c r="I44" s="716">
        <f>ROUNDDOWN(H43+I42,1)</f>
        <v>72.2</v>
      </c>
    </row>
    <row r="45" spans="1:9">
      <c r="A45" s="717"/>
      <c r="B45" s="793"/>
      <c r="C45" s="717"/>
      <c r="D45" s="754"/>
      <c r="E45" s="777"/>
      <c r="F45" s="754"/>
      <c r="G45" s="777"/>
      <c r="H45" s="717"/>
      <c r="I45" s="717"/>
    </row>
    <row r="46" spans="1:9" ht="90">
      <c r="A46" s="697" t="s">
        <v>1682</v>
      </c>
      <c r="B46" s="701">
        <v>3</v>
      </c>
      <c r="C46" s="699" t="s">
        <v>1683</v>
      </c>
      <c r="D46" s="750"/>
      <c r="E46" s="773"/>
      <c r="F46" s="750"/>
      <c r="G46" s="773"/>
      <c r="H46" s="699"/>
      <c r="I46" s="699"/>
    </row>
    <row r="47" spans="1:9" ht="22.5">
      <c r="A47" s="697"/>
      <c r="B47" s="698"/>
      <c r="C47" s="714" t="s">
        <v>1684</v>
      </c>
      <c r="D47" s="762"/>
      <c r="E47" s="776"/>
      <c r="F47" s="752"/>
      <c r="G47" s="776"/>
      <c r="H47" s="697"/>
      <c r="I47" s="715"/>
    </row>
    <row r="48" spans="1:9" ht="33.75">
      <c r="A48" s="697"/>
      <c r="B48" s="698"/>
      <c r="C48" s="699" t="s">
        <v>1685</v>
      </c>
      <c r="D48" s="750"/>
      <c r="E48" s="773"/>
      <c r="F48" s="750"/>
      <c r="G48" s="773"/>
      <c r="H48" s="699"/>
      <c r="I48" s="699"/>
    </row>
    <row r="49" spans="1:9">
      <c r="A49" s="697"/>
      <c r="B49" s="698"/>
      <c r="C49" s="714" t="s">
        <v>1660</v>
      </c>
      <c r="D49" s="762"/>
      <c r="E49" s="776"/>
      <c r="F49" s="752"/>
      <c r="G49" s="776"/>
      <c r="H49" s="697"/>
      <c r="I49" s="715"/>
    </row>
    <row r="50" spans="1:9">
      <c r="A50" s="697"/>
      <c r="B50" s="698">
        <v>1</v>
      </c>
      <c r="C50" s="714" t="s">
        <v>1661</v>
      </c>
      <c r="D50" s="762">
        <v>0.6</v>
      </c>
      <c r="E50" s="775" t="s">
        <v>186</v>
      </c>
      <c r="F50" s="752">
        <v>1</v>
      </c>
      <c r="G50" s="775" t="s">
        <v>186</v>
      </c>
      <c r="H50" s="697">
        <v>575</v>
      </c>
      <c r="I50" s="715">
        <f>SUM(D50*H50/F50)</f>
        <v>345</v>
      </c>
    </row>
    <row r="51" spans="1:9">
      <c r="A51" s="697"/>
      <c r="B51" s="698">
        <v>2</v>
      </c>
      <c r="C51" s="714" t="s">
        <v>1662</v>
      </c>
      <c r="D51" s="762">
        <v>1.2</v>
      </c>
      <c r="E51" s="775" t="s">
        <v>186</v>
      </c>
      <c r="F51" s="752">
        <v>1</v>
      </c>
      <c r="G51" s="775" t="s">
        <v>186</v>
      </c>
      <c r="H51" s="697">
        <v>471</v>
      </c>
      <c r="I51" s="704">
        <f>SUM(D51*H51/F51)</f>
        <v>565.19999999999993</v>
      </c>
    </row>
    <row r="52" spans="1:9">
      <c r="A52" s="697"/>
      <c r="B52" s="698">
        <v>3</v>
      </c>
      <c r="C52" s="714" t="s">
        <v>1663</v>
      </c>
      <c r="D52" s="762">
        <v>0.6</v>
      </c>
      <c r="E52" s="775" t="s">
        <v>186</v>
      </c>
      <c r="F52" s="752">
        <v>1</v>
      </c>
      <c r="G52" s="775" t="s">
        <v>186</v>
      </c>
      <c r="H52" s="697">
        <v>420</v>
      </c>
      <c r="I52" s="704">
        <f>SUM(D52*H52/F52)</f>
        <v>252</v>
      </c>
    </row>
    <row r="53" spans="1:9">
      <c r="A53" s="697"/>
      <c r="B53" s="698"/>
      <c r="C53" s="714" t="s">
        <v>1686</v>
      </c>
      <c r="D53" s="762"/>
      <c r="E53" s="775"/>
      <c r="F53" s="752"/>
      <c r="G53" s="775"/>
      <c r="H53" s="697"/>
      <c r="I53" s="715">
        <f>SUM(I50:I52)</f>
        <v>1162.1999999999998</v>
      </c>
    </row>
    <row r="54" spans="1:9">
      <c r="A54" s="697"/>
      <c r="B54" s="698"/>
      <c r="C54" s="714" t="s">
        <v>1687</v>
      </c>
      <c r="D54" s="764"/>
      <c r="E54" s="775"/>
      <c r="F54" s="752"/>
      <c r="G54" s="775"/>
      <c r="H54" s="697"/>
      <c r="I54" s="715">
        <f>SUM(I53/6)</f>
        <v>193.69999999999996</v>
      </c>
    </row>
    <row r="55" spans="1:9">
      <c r="A55" s="697"/>
      <c r="B55" s="698"/>
      <c r="C55" s="699" t="s">
        <v>573</v>
      </c>
      <c r="D55" s="762"/>
      <c r="E55" s="775"/>
      <c r="F55" s="752"/>
      <c r="G55" s="775"/>
      <c r="H55" s="697"/>
      <c r="I55" s="715"/>
    </row>
    <row r="56" spans="1:9">
      <c r="A56" s="697"/>
      <c r="B56" s="698">
        <v>4</v>
      </c>
      <c r="C56" s="720" t="s">
        <v>1688</v>
      </c>
      <c r="D56" s="764">
        <v>2</v>
      </c>
      <c r="E56" s="776" t="s">
        <v>95</v>
      </c>
      <c r="F56" s="752">
        <v>1</v>
      </c>
      <c r="G56" s="776" t="s">
        <v>1667</v>
      </c>
      <c r="H56" s="697">
        <v>80</v>
      </c>
      <c r="I56" s="715">
        <f>SUM(D56*H56/F56)</f>
        <v>160</v>
      </c>
    </row>
    <row r="57" spans="1:9" ht="45">
      <c r="A57" s="697"/>
      <c r="B57" s="698">
        <v>5</v>
      </c>
      <c r="C57" s="720" t="s">
        <v>1689</v>
      </c>
      <c r="D57" s="764">
        <v>6</v>
      </c>
      <c r="E57" s="776" t="s">
        <v>95</v>
      </c>
      <c r="F57" s="752">
        <v>1</v>
      </c>
      <c r="G57" s="776" t="s">
        <v>1667</v>
      </c>
      <c r="H57" s="697">
        <v>85</v>
      </c>
      <c r="I57" s="715">
        <f>SUM(D57*H57/F57)</f>
        <v>510</v>
      </c>
    </row>
    <row r="58" spans="1:9" ht="22.5">
      <c r="A58" s="697"/>
      <c r="B58" s="698">
        <v>6</v>
      </c>
      <c r="C58" s="720" t="s">
        <v>1690</v>
      </c>
      <c r="D58" s="764">
        <v>2</v>
      </c>
      <c r="E58" s="776" t="s">
        <v>95</v>
      </c>
      <c r="F58" s="752">
        <v>1</v>
      </c>
      <c r="G58" s="776" t="s">
        <v>1667</v>
      </c>
      <c r="H58" s="697">
        <v>70</v>
      </c>
      <c r="I58" s="715">
        <f>SUM(D58*H58/F58)</f>
        <v>140</v>
      </c>
    </row>
    <row r="59" spans="1:9" ht="22.5">
      <c r="A59" s="697"/>
      <c r="B59" s="698">
        <v>7</v>
      </c>
      <c r="C59" s="721" t="s">
        <v>1691</v>
      </c>
      <c r="D59" s="764">
        <v>6</v>
      </c>
      <c r="E59" s="776" t="s">
        <v>95</v>
      </c>
      <c r="F59" s="752">
        <v>1</v>
      </c>
      <c r="G59" s="776" t="s">
        <v>1667</v>
      </c>
      <c r="H59" s="697">
        <v>19</v>
      </c>
      <c r="I59" s="715">
        <f>SUM(D59*H59/F59)</f>
        <v>114</v>
      </c>
    </row>
    <row r="60" spans="1:9" ht="45">
      <c r="A60" s="697"/>
      <c r="B60" s="698">
        <v>8</v>
      </c>
      <c r="C60" s="720" t="s">
        <v>1692</v>
      </c>
      <c r="D60" s="762">
        <v>100</v>
      </c>
      <c r="E60" s="775" t="s">
        <v>1693</v>
      </c>
      <c r="F60" s="752">
        <v>100</v>
      </c>
      <c r="G60" s="775" t="s">
        <v>1693</v>
      </c>
      <c r="H60" s="697">
        <v>1050</v>
      </c>
      <c r="I60" s="715">
        <f>SUM(D60*H60/F60)</f>
        <v>1050</v>
      </c>
    </row>
    <row r="61" spans="1:9">
      <c r="A61" s="697"/>
      <c r="B61" s="698"/>
      <c r="C61" s="714" t="s">
        <v>1694</v>
      </c>
      <c r="D61" s="762"/>
      <c r="E61" s="776"/>
      <c r="F61" s="752"/>
      <c r="G61" s="776"/>
      <c r="H61" s="697"/>
      <c r="I61" s="715">
        <f>SUM(I56:I60)</f>
        <v>1974</v>
      </c>
    </row>
    <row r="62" spans="1:9">
      <c r="A62" s="697"/>
      <c r="B62" s="698"/>
      <c r="C62" s="714" t="s">
        <v>1695</v>
      </c>
      <c r="D62" s="762"/>
      <c r="E62" s="776"/>
      <c r="F62" s="752"/>
      <c r="G62" s="776"/>
      <c r="H62" s="697"/>
      <c r="I62" s="715">
        <f>SUM(I61/6)</f>
        <v>329</v>
      </c>
    </row>
    <row r="63" spans="1:9">
      <c r="A63" s="697"/>
      <c r="B63" s="698"/>
      <c r="C63" s="702" t="s">
        <v>1673</v>
      </c>
      <c r="D63" s="763"/>
      <c r="E63" s="776"/>
      <c r="F63" s="755"/>
      <c r="G63" s="778"/>
      <c r="H63" s="722">
        <f>ROUNDDOWN(I54+I62,0)</f>
        <v>522</v>
      </c>
      <c r="I63" s="715"/>
    </row>
    <row r="64" spans="1:9">
      <c r="A64" s="697"/>
      <c r="B64" s="698"/>
      <c r="C64" s="718" t="s">
        <v>1674</v>
      </c>
      <c r="D64" s="763"/>
      <c r="E64" s="776"/>
      <c r="F64" s="755"/>
      <c r="G64" s="778"/>
      <c r="H64" s="722">
        <v>0</v>
      </c>
      <c r="I64" s="715"/>
    </row>
    <row r="65" spans="1:9">
      <c r="A65" s="697"/>
      <c r="B65" s="698"/>
      <c r="C65" s="702" t="s">
        <v>1681</v>
      </c>
      <c r="D65" s="763"/>
      <c r="E65" s="776"/>
      <c r="F65" s="755"/>
      <c r="G65" s="778"/>
      <c r="H65" s="722"/>
      <c r="I65" s="715">
        <f>ROUNDDOWN(H63+H64,1)</f>
        <v>522</v>
      </c>
    </row>
    <row r="66" spans="1:9">
      <c r="A66" s="697"/>
      <c r="B66" s="698"/>
      <c r="C66" s="702"/>
      <c r="D66" s="763"/>
      <c r="E66" s="776"/>
      <c r="F66" s="755"/>
      <c r="G66" s="778"/>
      <c r="H66" s="722"/>
      <c r="I66" s="715"/>
    </row>
    <row r="67" spans="1:9" ht="56.25">
      <c r="A67" s="697" t="s">
        <v>1696</v>
      </c>
      <c r="B67" s="701">
        <v>4</v>
      </c>
      <c r="C67" s="699" t="s">
        <v>1697</v>
      </c>
      <c r="D67" s="750"/>
      <c r="E67" s="773"/>
      <c r="F67" s="750"/>
      <c r="G67" s="773"/>
      <c r="H67" s="699"/>
      <c r="I67" s="699"/>
    </row>
    <row r="68" spans="1:9" ht="33.75">
      <c r="A68" s="697"/>
      <c r="B68" s="698"/>
      <c r="C68" s="699" t="s">
        <v>1698</v>
      </c>
      <c r="D68" s="750"/>
      <c r="E68" s="773"/>
      <c r="F68" s="750"/>
      <c r="G68" s="773"/>
      <c r="H68" s="699"/>
      <c r="I68" s="699"/>
    </row>
    <row r="69" spans="1:9">
      <c r="A69" s="697"/>
      <c r="B69" s="698"/>
      <c r="C69" s="714" t="s">
        <v>1660</v>
      </c>
      <c r="D69" s="762"/>
      <c r="E69" s="776"/>
      <c r="F69" s="752"/>
      <c r="G69" s="776"/>
      <c r="H69" s="697"/>
      <c r="I69" s="715"/>
    </row>
    <row r="70" spans="1:9">
      <c r="A70" s="697"/>
      <c r="B70" s="698">
        <v>1</v>
      </c>
      <c r="C70" s="714" t="s">
        <v>1661</v>
      </c>
      <c r="D70" s="765">
        <v>6.7000000000000004E-2</v>
      </c>
      <c r="E70" s="775" t="s">
        <v>186</v>
      </c>
      <c r="F70" s="752">
        <v>1</v>
      </c>
      <c r="G70" s="775" t="s">
        <v>186</v>
      </c>
      <c r="H70" s="697">
        <v>575</v>
      </c>
      <c r="I70" s="715">
        <f>SUM(D70*H70/F70)</f>
        <v>38.525000000000006</v>
      </c>
    </row>
    <row r="71" spans="1:9">
      <c r="A71" s="697"/>
      <c r="B71" s="698">
        <v>2</v>
      </c>
      <c r="C71" s="714" t="s">
        <v>1663</v>
      </c>
      <c r="D71" s="765">
        <v>6.7000000000000004E-2</v>
      </c>
      <c r="E71" s="775" t="s">
        <v>186</v>
      </c>
      <c r="F71" s="752">
        <v>1</v>
      </c>
      <c r="G71" s="775" t="s">
        <v>186</v>
      </c>
      <c r="H71" s="697">
        <v>420</v>
      </c>
      <c r="I71" s="704">
        <f>SUM(D71*H71/F71)</f>
        <v>28.14</v>
      </c>
    </row>
    <row r="72" spans="1:9">
      <c r="A72" s="697"/>
      <c r="B72" s="698"/>
      <c r="C72" s="714" t="s">
        <v>1687</v>
      </c>
      <c r="D72" s="762"/>
      <c r="E72" s="775"/>
      <c r="F72" s="752"/>
      <c r="G72" s="775"/>
      <c r="H72" s="697"/>
      <c r="I72" s="715">
        <f>SUM(I70:I71)</f>
        <v>66.665000000000006</v>
      </c>
    </row>
    <row r="73" spans="1:9">
      <c r="A73" s="697"/>
      <c r="B73" s="698"/>
      <c r="C73" s="699" t="s">
        <v>573</v>
      </c>
      <c r="D73" s="762"/>
      <c r="E73" s="775"/>
      <c r="F73" s="752"/>
      <c r="G73" s="775"/>
      <c r="H73" s="697"/>
      <c r="I73" s="715"/>
    </row>
    <row r="74" spans="1:9" ht="45">
      <c r="A74" s="697"/>
      <c r="B74" s="698">
        <v>3</v>
      </c>
      <c r="C74" s="720" t="s">
        <v>1689</v>
      </c>
      <c r="D74" s="764">
        <v>1</v>
      </c>
      <c r="E74" s="776" t="s">
        <v>1667</v>
      </c>
      <c r="F74" s="752">
        <v>1</v>
      </c>
      <c r="G74" s="776" t="s">
        <v>1667</v>
      </c>
      <c r="H74" s="697">
        <v>85</v>
      </c>
      <c r="I74" s="715">
        <f>SUM(D74*H74/F74)</f>
        <v>85</v>
      </c>
    </row>
    <row r="75" spans="1:9" ht="45">
      <c r="A75" s="697"/>
      <c r="B75" s="698">
        <v>4</v>
      </c>
      <c r="C75" s="720" t="s">
        <v>1699</v>
      </c>
      <c r="D75" s="764">
        <v>1</v>
      </c>
      <c r="E75" s="776" t="s">
        <v>1667</v>
      </c>
      <c r="F75" s="752">
        <v>1</v>
      </c>
      <c r="G75" s="776" t="s">
        <v>1667</v>
      </c>
      <c r="H75" s="697">
        <v>130</v>
      </c>
      <c r="I75" s="715">
        <f>SUM(D75*H75/F75)</f>
        <v>130</v>
      </c>
    </row>
    <row r="76" spans="1:9">
      <c r="A76" s="697"/>
      <c r="B76" s="698">
        <v>5</v>
      </c>
      <c r="C76" s="720" t="s">
        <v>1688</v>
      </c>
      <c r="D76" s="764">
        <v>1</v>
      </c>
      <c r="E76" s="776" t="s">
        <v>1667</v>
      </c>
      <c r="F76" s="752">
        <v>1</v>
      </c>
      <c r="G76" s="776" t="s">
        <v>1667</v>
      </c>
      <c r="H76" s="697">
        <v>80</v>
      </c>
      <c r="I76" s="715">
        <f>SUM(D76*H76/F76)</f>
        <v>80</v>
      </c>
    </row>
    <row r="77" spans="1:9" ht="33.75">
      <c r="A77" s="697"/>
      <c r="B77" s="698">
        <v>6</v>
      </c>
      <c r="C77" s="720" t="s">
        <v>1700</v>
      </c>
      <c r="D77" s="764">
        <v>1</v>
      </c>
      <c r="E77" s="776" t="s">
        <v>1667</v>
      </c>
      <c r="F77" s="752">
        <v>1</v>
      </c>
      <c r="G77" s="776" t="s">
        <v>1667</v>
      </c>
      <c r="H77" s="697">
        <v>70</v>
      </c>
      <c r="I77" s="715">
        <f>SUM(D77*H77/F77)</f>
        <v>70</v>
      </c>
    </row>
    <row r="78" spans="1:9">
      <c r="A78" s="697"/>
      <c r="B78" s="698"/>
      <c r="C78" s="714" t="s">
        <v>1695</v>
      </c>
      <c r="D78" s="762"/>
      <c r="E78" s="776"/>
      <c r="F78" s="752"/>
      <c r="G78" s="776"/>
      <c r="H78" s="697"/>
      <c r="I78" s="715">
        <f>SUM(I74:I77)</f>
        <v>365</v>
      </c>
    </row>
    <row r="79" spans="1:9">
      <c r="A79" s="697"/>
      <c r="B79" s="698"/>
      <c r="C79" s="702" t="s">
        <v>1673</v>
      </c>
      <c r="D79" s="763"/>
      <c r="E79" s="776"/>
      <c r="F79" s="755"/>
      <c r="G79" s="778"/>
      <c r="H79" s="722">
        <f>ROUNDDOWN(I72+I78,0)</f>
        <v>431</v>
      </c>
      <c r="I79" s="715"/>
    </row>
    <row r="80" spans="1:9">
      <c r="A80" s="697"/>
      <c r="B80" s="698"/>
      <c r="C80" s="718" t="s">
        <v>1674</v>
      </c>
      <c r="D80" s="763"/>
      <c r="E80" s="776"/>
      <c r="F80" s="755"/>
      <c r="G80" s="778"/>
      <c r="H80" s="722">
        <v>0</v>
      </c>
      <c r="I80" s="715"/>
    </row>
    <row r="81" spans="1:9">
      <c r="A81" s="697"/>
      <c r="B81" s="698"/>
      <c r="C81" s="702" t="s">
        <v>1681</v>
      </c>
      <c r="D81" s="763"/>
      <c r="E81" s="776"/>
      <c r="F81" s="755"/>
      <c r="G81" s="778"/>
      <c r="H81" s="722"/>
      <c r="I81" s="715">
        <f>ROUNDUP(H79+H80,1)</f>
        <v>431</v>
      </c>
    </row>
    <row r="82" spans="1:9">
      <c r="A82" s="697"/>
      <c r="B82" s="698"/>
      <c r="C82" s="702"/>
      <c r="D82" s="763"/>
      <c r="E82" s="776"/>
      <c r="F82" s="755"/>
      <c r="G82" s="778"/>
      <c r="H82" s="722"/>
      <c r="I82" s="715"/>
    </row>
    <row r="83" spans="1:9">
      <c r="A83" s="697"/>
      <c r="B83" s="698"/>
      <c r="C83" s="702"/>
      <c r="D83" s="763"/>
      <c r="E83" s="776"/>
      <c r="F83" s="755"/>
      <c r="G83" s="778"/>
      <c r="H83" s="722"/>
      <c r="I83" s="715"/>
    </row>
    <row r="84" spans="1:9">
      <c r="A84" s="697"/>
      <c r="B84" s="698"/>
      <c r="C84" s="702"/>
      <c r="D84" s="763"/>
      <c r="E84" s="776"/>
      <c r="F84" s="755"/>
      <c r="G84" s="778"/>
      <c r="H84" s="722"/>
      <c r="I84" s="715"/>
    </row>
    <row r="85" spans="1:9" ht="90">
      <c r="A85" s="697" t="s">
        <v>1701</v>
      </c>
      <c r="B85" s="701">
        <v>5</v>
      </c>
      <c r="C85" s="714" t="s">
        <v>1702</v>
      </c>
      <c r="D85" s="756"/>
      <c r="E85" s="779"/>
      <c r="F85" s="756"/>
      <c r="G85" s="779"/>
      <c r="H85" s="714"/>
      <c r="I85" s="714"/>
    </row>
    <row r="86" spans="1:9" ht="22.5">
      <c r="A86" s="697"/>
      <c r="B86" s="698"/>
      <c r="C86" s="714" t="s">
        <v>1684</v>
      </c>
      <c r="D86" s="762"/>
      <c r="E86" s="776"/>
      <c r="F86" s="752"/>
      <c r="G86" s="776"/>
      <c r="H86" s="697"/>
      <c r="I86" s="715"/>
    </row>
    <row r="87" spans="1:9" ht="33.75">
      <c r="A87" s="697"/>
      <c r="B87" s="698"/>
      <c r="C87" s="699" t="s">
        <v>1698</v>
      </c>
      <c r="D87" s="750"/>
      <c r="E87" s="773"/>
      <c r="F87" s="750"/>
      <c r="G87" s="773"/>
      <c r="H87" s="699"/>
      <c r="I87" s="699"/>
    </row>
    <row r="88" spans="1:9">
      <c r="A88" s="697"/>
      <c r="B88" s="698"/>
      <c r="C88" s="714" t="s">
        <v>1660</v>
      </c>
      <c r="D88" s="762"/>
      <c r="E88" s="776"/>
      <c r="F88" s="752"/>
      <c r="G88" s="776"/>
      <c r="H88" s="697"/>
      <c r="I88" s="715"/>
    </row>
    <row r="89" spans="1:9">
      <c r="A89" s="697"/>
      <c r="B89" s="698">
        <v>1</v>
      </c>
      <c r="C89" s="714" t="s">
        <v>1661</v>
      </c>
      <c r="D89" s="762">
        <v>1.5</v>
      </c>
      <c r="E89" s="775" t="s">
        <v>186</v>
      </c>
      <c r="F89" s="752">
        <v>1</v>
      </c>
      <c r="G89" s="775" t="s">
        <v>186</v>
      </c>
      <c r="H89" s="697">
        <v>55</v>
      </c>
      <c r="I89" s="715">
        <f>SUM(D89*H89/F89)</f>
        <v>82.5</v>
      </c>
    </row>
    <row r="90" spans="1:9">
      <c r="A90" s="697"/>
      <c r="B90" s="698">
        <v>2</v>
      </c>
      <c r="C90" s="714" t="s">
        <v>1703</v>
      </c>
      <c r="D90" s="762">
        <v>1.5</v>
      </c>
      <c r="E90" s="775" t="s">
        <v>186</v>
      </c>
      <c r="F90" s="752">
        <v>1</v>
      </c>
      <c r="G90" s="775" t="s">
        <v>186</v>
      </c>
      <c r="H90" s="697">
        <v>471</v>
      </c>
      <c r="I90" s="704">
        <f>SUM(D90*H90/F90)</f>
        <v>706.5</v>
      </c>
    </row>
    <row r="91" spans="1:9">
      <c r="A91" s="697"/>
      <c r="B91" s="698">
        <v>3</v>
      </c>
      <c r="C91" s="714" t="s">
        <v>1663</v>
      </c>
      <c r="D91" s="762">
        <v>1.5</v>
      </c>
      <c r="E91" s="775" t="s">
        <v>186</v>
      </c>
      <c r="F91" s="752">
        <v>1</v>
      </c>
      <c r="G91" s="775" t="s">
        <v>186</v>
      </c>
      <c r="H91" s="697">
        <v>420</v>
      </c>
      <c r="I91" s="704">
        <f>SUM(D91*H91/F91)</f>
        <v>630</v>
      </c>
    </row>
    <row r="92" spans="1:9">
      <c r="A92" s="697"/>
      <c r="B92" s="698"/>
      <c r="C92" s="714" t="s">
        <v>1704</v>
      </c>
      <c r="D92" s="762"/>
      <c r="E92" s="775"/>
      <c r="F92" s="752"/>
      <c r="G92" s="775"/>
      <c r="H92" s="697"/>
      <c r="I92" s="715">
        <f>SUM(I89:I91)</f>
        <v>1419</v>
      </c>
    </row>
    <row r="93" spans="1:9">
      <c r="A93" s="697"/>
      <c r="B93" s="698"/>
      <c r="C93" s="714" t="s">
        <v>1687</v>
      </c>
      <c r="D93" s="764"/>
      <c r="E93" s="775"/>
      <c r="F93" s="752"/>
      <c r="G93" s="775"/>
      <c r="H93" s="697"/>
      <c r="I93" s="715">
        <f>SUM(I92/15)</f>
        <v>94.6</v>
      </c>
    </row>
    <row r="94" spans="1:9">
      <c r="A94" s="697"/>
      <c r="B94" s="698"/>
      <c r="C94" s="699" t="s">
        <v>573</v>
      </c>
      <c r="D94" s="762"/>
      <c r="E94" s="775"/>
      <c r="F94" s="752"/>
      <c r="G94" s="775"/>
      <c r="H94" s="697"/>
      <c r="I94" s="715"/>
    </row>
    <row r="95" spans="1:9">
      <c r="A95" s="697"/>
      <c r="B95" s="698">
        <v>4</v>
      </c>
      <c r="C95" s="720" t="s">
        <v>1688</v>
      </c>
      <c r="D95" s="764">
        <v>15</v>
      </c>
      <c r="E95" s="776" t="s">
        <v>95</v>
      </c>
      <c r="F95" s="752">
        <v>1</v>
      </c>
      <c r="G95" s="776" t="s">
        <v>1667</v>
      </c>
      <c r="H95" s="697">
        <v>80</v>
      </c>
      <c r="I95" s="715">
        <f>SUM(D95*H95/F95)</f>
        <v>1200</v>
      </c>
    </row>
    <row r="96" spans="1:9" ht="33.75">
      <c r="A96" s="697"/>
      <c r="B96" s="698">
        <v>5</v>
      </c>
      <c r="C96" s="720" t="s">
        <v>1700</v>
      </c>
      <c r="D96" s="764">
        <v>15</v>
      </c>
      <c r="E96" s="776" t="s">
        <v>95</v>
      </c>
      <c r="F96" s="752">
        <v>1</v>
      </c>
      <c r="G96" s="776" t="s">
        <v>1667</v>
      </c>
      <c r="H96" s="697">
        <v>70</v>
      </c>
      <c r="I96" s="715">
        <f>SUM(D96*H96/F96)</f>
        <v>1050</v>
      </c>
    </row>
    <row r="97" spans="1:9" ht="45">
      <c r="A97" s="697"/>
      <c r="B97" s="698">
        <v>6</v>
      </c>
      <c r="C97" s="720" t="s">
        <v>1689</v>
      </c>
      <c r="D97" s="764">
        <v>15</v>
      </c>
      <c r="E97" s="776" t="s">
        <v>95</v>
      </c>
      <c r="F97" s="752">
        <v>1</v>
      </c>
      <c r="G97" s="776" t="s">
        <v>1667</v>
      </c>
      <c r="H97" s="697">
        <v>85</v>
      </c>
      <c r="I97" s="715">
        <f>SUM(D97*H97/F97)</f>
        <v>1275</v>
      </c>
    </row>
    <row r="98" spans="1:9" ht="45">
      <c r="A98" s="697"/>
      <c r="B98" s="698">
        <v>7</v>
      </c>
      <c r="C98" s="720" t="s">
        <v>1699</v>
      </c>
      <c r="D98" s="764">
        <v>15</v>
      </c>
      <c r="E98" s="776" t="s">
        <v>95</v>
      </c>
      <c r="F98" s="752">
        <v>1</v>
      </c>
      <c r="G98" s="776" t="s">
        <v>1667</v>
      </c>
      <c r="H98" s="697">
        <v>130</v>
      </c>
      <c r="I98" s="715">
        <f>SUM(D98*H98/F98)</f>
        <v>1950</v>
      </c>
    </row>
    <row r="99" spans="1:9" ht="45">
      <c r="A99" s="697"/>
      <c r="B99" s="698">
        <v>8</v>
      </c>
      <c r="C99" s="720" t="s">
        <v>1692</v>
      </c>
      <c r="D99" s="762">
        <v>150</v>
      </c>
      <c r="E99" s="775" t="s">
        <v>1693</v>
      </c>
      <c r="F99" s="752">
        <v>100</v>
      </c>
      <c r="G99" s="775" t="s">
        <v>1693</v>
      </c>
      <c r="H99" s="697">
        <v>1050</v>
      </c>
      <c r="I99" s="715">
        <f>SUM(D99*H99/F99)</f>
        <v>1575</v>
      </c>
    </row>
    <row r="100" spans="1:9">
      <c r="A100" s="697"/>
      <c r="B100" s="698"/>
      <c r="C100" s="714" t="s">
        <v>1705</v>
      </c>
      <c r="D100" s="762"/>
      <c r="E100" s="776"/>
      <c r="F100" s="752"/>
      <c r="G100" s="776"/>
      <c r="H100" s="697"/>
      <c r="I100" s="715">
        <f>SUM(I95:I99)</f>
        <v>7050</v>
      </c>
    </row>
    <row r="101" spans="1:9">
      <c r="A101" s="697"/>
      <c r="B101" s="698"/>
      <c r="C101" s="714" t="s">
        <v>1695</v>
      </c>
      <c r="D101" s="762"/>
      <c r="E101" s="776"/>
      <c r="F101" s="752"/>
      <c r="G101" s="776"/>
      <c r="H101" s="697"/>
      <c r="I101" s="715">
        <f>SUM(I100/15)</f>
        <v>470</v>
      </c>
    </row>
    <row r="102" spans="1:9">
      <c r="A102" s="697"/>
      <c r="B102" s="698"/>
      <c r="C102" s="702" t="s">
        <v>1673</v>
      </c>
      <c r="D102" s="763"/>
      <c r="E102" s="776"/>
      <c r="F102" s="755"/>
      <c r="G102" s="778"/>
      <c r="H102" s="722">
        <f>ROUNDDOWN(I93+I101,0)</f>
        <v>564</v>
      </c>
      <c r="I102" s="715"/>
    </row>
    <row r="103" spans="1:9">
      <c r="A103" s="697"/>
      <c r="B103" s="698"/>
      <c r="C103" s="718" t="s">
        <v>1674</v>
      </c>
      <c r="D103" s="763"/>
      <c r="E103" s="776"/>
      <c r="F103" s="755"/>
      <c r="G103" s="778"/>
      <c r="H103" s="722">
        <v>0</v>
      </c>
      <c r="I103" s="715"/>
    </row>
    <row r="104" spans="1:9">
      <c r="A104" s="697"/>
      <c r="B104" s="698"/>
      <c r="C104" s="702" t="s">
        <v>1681</v>
      </c>
      <c r="D104" s="763"/>
      <c r="E104" s="776"/>
      <c r="F104" s="755"/>
      <c r="G104" s="778"/>
      <c r="H104" s="722"/>
      <c r="I104" s="715">
        <f>ROUNDUP(H102+H103,1)</f>
        <v>564</v>
      </c>
    </row>
    <row r="105" spans="1:9">
      <c r="A105" s="697"/>
      <c r="B105" s="698"/>
      <c r="C105" s="702"/>
      <c r="D105" s="763"/>
      <c r="E105" s="776"/>
      <c r="F105" s="755"/>
      <c r="G105" s="778"/>
      <c r="H105" s="722"/>
      <c r="I105" s="715"/>
    </row>
    <row r="106" spans="1:9">
      <c r="A106" s="697"/>
      <c r="B106" s="698"/>
      <c r="C106" s="702"/>
      <c r="D106" s="763"/>
      <c r="E106" s="776"/>
      <c r="F106" s="755"/>
      <c r="G106" s="778"/>
      <c r="H106" s="722"/>
      <c r="I106" s="715"/>
    </row>
    <row r="107" spans="1:9">
      <c r="A107" s="717"/>
      <c r="B107" s="793"/>
      <c r="C107" s="717"/>
      <c r="D107" s="754"/>
      <c r="E107" s="777"/>
      <c r="F107" s="754"/>
      <c r="G107" s="777"/>
      <c r="H107" s="717"/>
      <c r="I107" s="717"/>
    </row>
    <row r="108" spans="1:9" ht="45">
      <c r="A108" s="697" t="s">
        <v>1706</v>
      </c>
      <c r="B108" s="701">
        <v>6</v>
      </c>
      <c r="C108" s="699" t="s">
        <v>1707</v>
      </c>
      <c r="D108" s="749"/>
      <c r="E108" s="772"/>
      <c r="F108" s="749"/>
      <c r="G108" s="772"/>
      <c r="H108" s="723"/>
      <c r="I108" s="700"/>
    </row>
    <row r="109" spans="1:9" ht="22.5">
      <c r="A109" s="701"/>
      <c r="B109" s="698"/>
      <c r="C109" s="714" t="s">
        <v>1684</v>
      </c>
      <c r="D109" s="762"/>
      <c r="E109" s="776"/>
      <c r="F109" s="752"/>
      <c r="G109" s="776"/>
      <c r="H109" s="697"/>
      <c r="I109" s="715"/>
    </row>
    <row r="110" spans="1:9">
      <c r="A110" s="701"/>
      <c r="B110" s="698"/>
      <c r="C110" s="714" t="s">
        <v>1660</v>
      </c>
      <c r="D110" s="762"/>
      <c r="E110" s="776"/>
      <c r="F110" s="752"/>
      <c r="G110" s="776"/>
      <c r="H110" s="697"/>
      <c r="I110" s="715"/>
    </row>
    <row r="111" spans="1:9">
      <c r="A111" s="701"/>
      <c r="B111" s="698">
        <v>1</v>
      </c>
      <c r="C111" s="705" t="s">
        <v>1661</v>
      </c>
      <c r="D111" s="762">
        <v>1</v>
      </c>
      <c r="E111" s="775" t="s">
        <v>186</v>
      </c>
      <c r="F111" s="752">
        <v>1</v>
      </c>
      <c r="G111" s="775" t="s">
        <v>186</v>
      </c>
      <c r="H111" s="697">
        <v>575</v>
      </c>
      <c r="I111" s="715">
        <f>SUM(D111*H111/F111)</f>
        <v>575</v>
      </c>
    </row>
    <row r="112" spans="1:9">
      <c r="A112" s="701"/>
      <c r="B112" s="698">
        <v>2</v>
      </c>
      <c r="C112" s="705" t="s">
        <v>1662</v>
      </c>
      <c r="D112" s="762">
        <v>2.5</v>
      </c>
      <c r="E112" s="775" t="s">
        <v>186</v>
      </c>
      <c r="F112" s="752">
        <v>1</v>
      </c>
      <c r="G112" s="775" t="s">
        <v>186</v>
      </c>
      <c r="H112" s="697">
        <v>471</v>
      </c>
      <c r="I112" s="715">
        <f>SUM(D112*H112/F112)</f>
        <v>1177.5</v>
      </c>
    </row>
    <row r="113" spans="1:9">
      <c r="A113" s="701"/>
      <c r="B113" s="698">
        <v>3</v>
      </c>
      <c r="C113" s="705" t="s">
        <v>1663</v>
      </c>
      <c r="D113" s="762">
        <v>1</v>
      </c>
      <c r="E113" s="775" t="s">
        <v>186</v>
      </c>
      <c r="F113" s="752">
        <v>1</v>
      </c>
      <c r="G113" s="775" t="s">
        <v>186</v>
      </c>
      <c r="H113" s="697">
        <v>420</v>
      </c>
      <c r="I113" s="715">
        <f>SUM(D113*H113/F113)</f>
        <v>420</v>
      </c>
    </row>
    <row r="114" spans="1:9">
      <c r="A114" s="701"/>
      <c r="B114" s="698"/>
      <c r="C114" s="714" t="s">
        <v>1708</v>
      </c>
      <c r="D114" s="762"/>
      <c r="E114" s="775"/>
      <c r="F114" s="752"/>
      <c r="G114" s="775"/>
      <c r="H114" s="697"/>
      <c r="I114" s="715">
        <f>SUM(I111:I113)</f>
        <v>2172.5</v>
      </c>
    </row>
    <row r="115" spans="1:9">
      <c r="A115" s="701"/>
      <c r="B115" s="698"/>
      <c r="C115" s="714" t="s">
        <v>1709</v>
      </c>
      <c r="D115" s="764"/>
      <c r="E115" s="775"/>
      <c r="F115" s="752"/>
      <c r="G115" s="775"/>
      <c r="H115" s="697"/>
      <c r="I115" s="715">
        <f>SUM(I114/100)</f>
        <v>21.725000000000001</v>
      </c>
    </row>
    <row r="116" spans="1:9">
      <c r="A116" s="701"/>
      <c r="B116" s="698"/>
      <c r="C116" s="699" t="s">
        <v>573</v>
      </c>
      <c r="D116" s="762"/>
      <c r="E116" s="775"/>
      <c r="F116" s="752"/>
      <c r="G116" s="775"/>
      <c r="H116" s="697"/>
      <c r="I116" s="715"/>
    </row>
    <row r="117" spans="1:9" ht="33.75">
      <c r="A117" s="701"/>
      <c r="B117" s="698">
        <v>4</v>
      </c>
      <c r="C117" s="720" t="s">
        <v>1710</v>
      </c>
      <c r="D117" s="762">
        <v>300</v>
      </c>
      <c r="E117" s="776" t="s">
        <v>1693</v>
      </c>
      <c r="F117" s="752">
        <v>100</v>
      </c>
      <c r="G117" s="776" t="s">
        <v>1693</v>
      </c>
      <c r="H117" s="697">
        <v>1510</v>
      </c>
      <c r="I117" s="715">
        <f>SUM(D117*H117/F117)</f>
        <v>4530</v>
      </c>
    </row>
    <row r="118" spans="1:9">
      <c r="A118" s="701"/>
      <c r="B118" s="698"/>
      <c r="C118" s="714" t="s">
        <v>1711</v>
      </c>
      <c r="D118" s="762"/>
      <c r="E118" s="776"/>
      <c r="F118" s="752"/>
      <c r="G118" s="776"/>
      <c r="H118" s="697"/>
      <c r="I118" s="715">
        <f>SUM(I117:I117)</f>
        <v>4530</v>
      </c>
    </row>
    <row r="119" spans="1:9">
      <c r="A119" s="701"/>
      <c r="B119" s="698"/>
      <c r="C119" s="714" t="s">
        <v>1712</v>
      </c>
      <c r="D119" s="762"/>
      <c r="E119" s="776"/>
      <c r="F119" s="752"/>
      <c r="G119" s="776"/>
      <c r="H119" s="697"/>
      <c r="I119" s="715">
        <f>SUM(I118/100)</f>
        <v>45.3</v>
      </c>
    </row>
    <row r="120" spans="1:9">
      <c r="A120" s="701"/>
      <c r="B120" s="698"/>
      <c r="C120" s="702" t="s">
        <v>1673</v>
      </c>
      <c r="D120" s="762"/>
      <c r="E120" s="776"/>
      <c r="F120" s="752"/>
      <c r="G120" s="776"/>
      <c r="H120" s="722">
        <f>I115+I119</f>
        <v>67.025000000000006</v>
      </c>
      <c r="I120" s="715"/>
    </row>
    <row r="121" spans="1:9">
      <c r="A121" s="701"/>
      <c r="B121" s="698"/>
      <c r="C121" s="718" t="s">
        <v>1674</v>
      </c>
      <c r="D121" s="762"/>
      <c r="E121" s="776"/>
      <c r="F121" s="752"/>
      <c r="G121" s="776"/>
      <c r="H121" s="722">
        <v>0</v>
      </c>
      <c r="I121" s="715"/>
    </row>
    <row r="122" spans="1:9">
      <c r="A122" s="701"/>
      <c r="B122" s="698"/>
      <c r="C122" s="702" t="s">
        <v>1681</v>
      </c>
      <c r="D122" s="762"/>
      <c r="E122" s="776"/>
      <c r="F122" s="752"/>
      <c r="G122" s="776"/>
      <c r="H122" s="722"/>
      <c r="I122" s="715">
        <f>ROUNDDOWN(H120+H121,1)</f>
        <v>67</v>
      </c>
    </row>
    <row r="123" spans="1:9">
      <c r="A123" s="701"/>
      <c r="B123" s="698"/>
      <c r="C123" s="702"/>
      <c r="D123" s="762"/>
      <c r="E123" s="776"/>
      <c r="F123" s="752"/>
      <c r="G123" s="776"/>
      <c r="H123" s="722"/>
      <c r="I123" s="715"/>
    </row>
    <row r="124" spans="1:9">
      <c r="A124" s="701"/>
      <c r="B124" s="698"/>
      <c r="C124" s="702"/>
      <c r="D124" s="762"/>
      <c r="E124" s="776"/>
      <c r="F124" s="752"/>
      <c r="G124" s="776"/>
      <c r="H124" s="722"/>
      <c r="I124" s="715"/>
    </row>
    <row r="125" spans="1:9" ht="45" hidden="1">
      <c r="A125" s="697"/>
      <c r="B125" s="701">
        <v>7</v>
      </c>
      <c r="C125" s="699" t="s">
        <v>1713</v>
      </c>
      <c r="D125" s="749"/>
      <c r="E125" s="772"/>
      <c r="F125" s="749"/>
      <c r="G125" s="772"/>
      <c r="H125" s="723"/>
      <c r="I125" s="715"/>
    </row>
    <row r="126" spans="1:9" ht="22.5" hidden="1">
      <c r="A126" s="701"/>
      <c r="B126" s="698"/>
      <c r="C126" s="714" t="s">
        <v>1684</v>
      </c>
      <c r="D126" s="762"/>
      <c r="E126" s="776"/>
      <c r="F126" s="752"/>
      <c r="G126" s="776"/>
      <c r="H126" s="697"/>
      <c r="I126" s="715"/>
    </row>
    <row r="127" spans="1:9" hidden="1">
      <c r="A127" s="701"/>
      <c r="B127" s="698"/>
      <c r="C127" s="714" t="s">
        <v>1660</v>
      </c>
      <c r="D127" s="762"/>
      <c r="E127" s="776"/>
      <c r="F127" s="752"/>
      <c r="G127" s="776"/>
      <c r="H127" s="697"/>
      <c r="I127" s="715"/>
    </row>
    <row r="128" spans="1:9" hidden="1">
      <c r="A128" s="701"/>
      <c r="B128" s="698">
        <v>1</v>
      </c>
      <c r="C128" s="705" t="s">
        <v>1661</v>
      </c>
      <c r="D128" s="762">
        <v>1</v>
      </c>
      <c r="E128" s="775" t="s">
        <v>186</v>
      </c>
      <c r="F128" s="752">
        <v>1</v>
      </c>
      <c r="G128" s="775" t="s">
        <v>186</v>
      </c>
      <c r="H128" s="697">
        <v>575</v>
      </c>
      <c r="I128" s="715">
        <f>SUM(D128*H128/F128)</f>
        <v>575</v>
      </c>
    </row>
    <row r="129" spans="1:9" hidden="1">
      <c r="A129" s="701"/>
      <c r="B129" s="698">
        <v>2</v>
      </c>
      <c r="C129" s="705" t="s">
        <v>1662</v>
      </c>
      <c r="D129" s="762">
        <v>2.5</v>
      </c>
      <c r="E129" s="775" t="s">
        <v>186</v>
      </c>
      <c r="F129" s="752">
        <v>1</v>
      </c>
      <c r="G129" s="775" t="s">
        <v>186</v>
      </c>
      <c r="H129" s="697">
        <v>471</v>
      </c>
      <c r="I129" s="715">
        <f>SUM(D129*H129/F129)</f>
        <v>1177.5</v>
      </c>
    </row>
    <row r="130" spans="1:9" hidden="1">
      <c r="A130" s="701"/>
      <c r="B130" s="698">
        <v>3</v>
      </c>
      <c r="C130" s="705" t="s">
        <v>1663</v>
      </c>
      <c r="D130" s="762">
        <v>1</v>
      </c>
      <c r="E130" s="775" t="s">
        <v>186</v>
      </c>
      <c r="F130" s="752">
        <v>1</v>
      </c>
      <c r="G130" s="775" t="s">
        <v>186</v>
      </c>
      <c r="H130" s="697">
        <v>420</v>
      </c>
      <c r="I130" s="715">
        <f>SUM(D130*H130/F130)</f>
        <v>420</v>
      </c>
    </row>
    <row r="131" spans="1:9" hidden="1">
      <c r="A131" s="701"/>
      <c r="B131" s="698"/>
      <c r="C131" s="714" t="s">
        <v>1708</v>
      </c>
      <c r="D131" s="762"/>
      <c r="E131" s="775"/>
      <c r="F131" s="752"/>
      <c r="G131" s="775"/>
      <c r="H131" s="697"/>
      <c r="I131" s="715">
        <f>SUM(I128:I130)</f>
        <v>2172.5</v>
      </c>
    </row>
    <row r="132" spans="1:9" hidden="1">
      <c r="A132" s="701"/>
      <c r="B132" s="698"/>
      <c r="C132" s="714" t="s">
        <v>1709</v>
      </c>
      <c r="D132" s="764"/>
      <c r="E132" s="775"/>
      <c r="F132" s="752"/>
      <c r="G132" s="775"/>
      <c r="H132" s="697"/>
      <c r="I132" s="715">
        <f>SUM(I131/100)</f>
        <v>21.725000000000001</v>
      </c>
    </row>
    <row r="133" spans="1:9" hidden="1">
      <c r="A133" s="701"/>
      <c r="B133" s="698"/>
      <c r="C133" s="699" t="s">
        <v>573</v>
      </c>
      <c r="D133" s="762"/>
      <c r="E133" s="775"/>
      <c r="F133" s="752"/>
      <c r="G133" s="775"/>
      <c r="H133" s="697"/>
      <c r="I133" s="715"/>
    </row>
    <row r="134" spans="1:9" ht="45" hidden="1">
      <c r="A134" s="701"/>
      <c r="B134" s="698">
        <v>4</v>
      </c>
      <c r="C134" s="720" t="s">
        <v>1714</v>
      </c>
      <c r="D134" s="762">
        <v>200</v>
      </c>
      <c r="E134" s="776" t="s">
        <v>1693</v>
      </c>
      <c r="F134" s="752">
        <v>100</v>
      </c>
      <c r="G134" s="776" t="s">
        <v>1693</v>
      </c>
      <c r="H134" s="697">
        <v>2440</v>
      </c>
      <c r="I134" s="715">
        <f>SUM(D134*H134/F134)</f>
        <v>4880</v>
      </c>
    </row>
    <row r="135" spans="1:9" ht="33.75" hidden="1">
      <c r="A135" s="701"/>
      <c r="B135" s="698">
        <v>5</v>
      </c>
      <c r="C135" s="720" t="s">
        <v>1710</v>
      </c>
      <c r="D135" s="762">
        <v>100</v>
      </c>
      <c r="E135" s="776" t="s">
        <v>1693</v>
      </c>
      <c r="F135" s="752">
        <v>100</v>
      </c>
      <c r="G135" s="776" t="s">
        <v>1693</v>
      </c>
      <c r="H135" s="697">
        <v>1510</v>
      </c>
      <c r="I135" s="715">
        <f>SUM(D135*H135/F135)</f>
        <v>1510</v>
      </c>
    </row>
    <row r="136" spans="1:9" hidden="1">
      <c r="A136" s="701"/>
      <c r="B136" s="698"/>
      <c r="C136" s="714" t="s">
        <v>1711</v>
      </c>
      <c r="D136" s="762"/>
      <c r="E136" s="776"/>
      <c r="F136" s="752"/>
      <c r="G136" s="776"/>
      <c r="H136" s="697"/>
      <c r="I136" s="715">
        <f>SUM(I134:I135)</f>
        <v>6390</v>
      </c>
    </row>
    <row r="137" spans="1:9" hidden="1">
      <c r="A137" s="701"/>
      <c r="B137" s="698"/>
      <c r="C137" s="714" t="s">
        <v>1712</v>
      </c>
      <c r="D137" s="762"/>
      <c r="E137" s="776"/>
      <c r="F137" s="752"/>
      <c r="G137" s="776"/>
      <c r="H137" s="697"/>
      <c r="I137" s="715">
        <f>SUM(I136/100)</f>
        <v>63.9</v>
      </c>
    </row>
    <row r="138" spans="1:9" hidden="1">
      <c r="A138" s="701"/>
      <c r="B138" s="698"/>
      <c r="C138" s="702" t="s">
        <v>1673</v>
      </c>
      <c r="D138" s="762"/>
      <c r="E138" s="776"/>
      <c r="F138" s="752"/>
      <c r="G138" s="776"/>
      <c r="H138" s="722">
        <f>I132+I137</f>
        <v>85.625</v>
      </c>
      <c r="I138" s="715"/>
    </row>
    <row r="139" spans="1:9" hidden="1">
      <c r="A139" s="701"/>
      <c r="B139" s="698"/>
      <c r="C139" s="718" t="s">
        <v>1674</v>
      </c>
      <c r="D139" s="762"/>
      <c r="E139" s="776"/>
      <c r="F139" s="752"/>
      <c r="G139" s="776"/>
      <c r="H139" s="722">
        <v>0</v>
      </c>
      <c r="I139" s="715"/>
    </row>
    <row r="140" spans="1:9" hidden="1">
      <c r="A140" s="701"/>
      <c r="B140" s="698"/>
      <c r="C140" s="702" t="s">
        <v>1681</v>
      </c>
      <c r="D140" s="762"/>
      <c r="E140" s="776"/>
      <c r="F140" s="752"/>
      <c r="G140" s="776"/>
      <c r="H140" s="722"/>
      <c r="I140" s="715">
        <f>ROUNDDOWN(H138+H139,1)</f>
        <v>85.6</v>
      </c>
    </row>
    <row r="141" spans="1:9" hidden="1">
      <c r="A141" s="701"/>
      <c r="B141" s="698"/>
      <c r="C141" s="702"/>
      <c r="D141" s="762"/>
      <c r="E141" s="776"/>
      <c r="F141" s="752"/>
      <c r="G141" s="776"/>
      <c r="H141" s="722"/>
      <c r="I141" s="715"/>
    </row>
    <row r="142" spans="1:9">
      <c r="A142" s="701"/>
      <c r="B142" s="698"/>
      <c r="C142" s="702"/>
      <c r="D142" s="762"/>
      <c r="E142" s="776"/>
      <c r="F142" s="752"/>
      <c r="G142" s="776"/>
      <c r="H142" s="722"/>
      <c r="I142" s="715"/>
    </row>
    <row r="143" spans="1:9" ht="45" hidden="1">
      <c r="A143" s="697" t="s">
        <v>1715</v>
      </c>
      <c r="B143" s="701">
        <v>8</v>
      </c>
      <c r="C143" s="699" t="s">
        <v>1716</v>
      </c>
      <c r="D143" s="749"/>
      <c r="E143" s="772"/>
      <c r="F143" s="749"/>
      <c r="G143" s="772"/>
      <c r="H143" s="723"/>
      <c r="I143" s="715"/>
    </row>
    <row r="144" spans="1:9" ht="22.5" hidden="1">
      <c r="A144" s="697"/>
      <c r="B144" s="698"/>
      <c r="C144" s="714" t="s">
        <v>1717</v>
      </c>
      <c r="D144" s="762"/>
      <c r="E144" s="776"/>
      <c r="F144" s="752"/>
      <c r="G144" s="776"/>
      <c r="H144" s="697"/>
      <c r="I144" s="715"/>
    </row>
    <row r="145" spans="1:9" hidden="1">
      <c r="A145" s="697"/>
      <c r="B145" s="698"/>
      <c r="C145" s="714" t="s">
        <v>1660</v>
      </c>
      <c r="D145" s="762"/>
      <c r="E145" s="776"/>
      <c r="F145" s="752"/>
      <c r="G145" s="776"/>
      <c r="H145" s="697"/>
      <c r="I145" s="715"/>
    </row>
    <row r="146" spans="1:9" hidden="1">
      <c r="A146" s="697"/>
      <c r="B146" s="698">
        <v>1</v>
      </c>
      <c r="C146" s="705" t="s">
        <v>1661</v>
      </c>
      <c r="D146" s="762">
        <v>1</v>
      </c>
      <c r="E146" s="775" t="s">
        <v>186</v>
      </c>
      <c r="F146" s="752">
        <v>1</v>
      </c>
      <c r="G146" s="775" t="s">
        <v>186</v>
      </c>
      <c r="H146" s="697">
        <v>575</v>
      </c>
      <c r="I146" s="715">
        <f>SUM(D146*H146/F146)</f>
        <v>575</v>
      </c>
    </row>
    <row r="147" spans="1:9" hidden="1">
      <c r="A147" s="697"/>
      <c r="B147" s="698">
        <v>2</v>
      </c>
      <c r="C147" s="705" t="s">
        <v>1662</v>
      </c>
      <c r="D147" s="762">
        <v>3</v>
      </c>
      <c r="E147" s="775" t="s">
        <v>186</v>
      </c>
      <c r="F147" s="752">
        <v>1</v>
      </c>
      <c r="G147" s="775" t="s">
        <v>186</v>
      </c>
      <c r="H147" s="697">
        <v>471</v>
      </c>
      <c r="I147" s="715">
        <f>SUM(D147*H147/F147)</f>
        <v>1413</v>
      </c>
    </row>
    <row r="148" spans="1:9" hidden="1">
      <c r="A148" s="697"/>
      <c r="B148" s="698">
        <v>3</v>
      </c>
      <c r="C148" s="705" t="s">
        <v>1663</v>
      </c>
      <c r="D148" s="762">
        <v>1</v>
      </c>
      <c r="E148" s="775" t="s">
        <v>186</v>
      </c>
      <c r="F148" s="752">
        <v>1</v>
      </c>
      <c r="G148" s="775" t="s">
        <v>186</v>
      </c>
      <c r="H148" s="697">
        <v>420</v>
      </c>
      <c r="I148" s="715">
        <f>SUM(D148*H148/F148)</f>
        <v>420</v>
      </c>
    </row>
    <row r="149" spans="1:9" hidden="1">
      <c r="A149" s="697"/>
      <c r="B149" s="698"/>
      <c r="C149" s="714" t="s">
        <v>1708</v>
      </c>
      <c r="D149" s="762"/>
      <c r="E149" s="775"/>
      <c r="F149" s="752"/>
      <c r="G149" s="775"/>
      <c r="H149" s="697"/>
      <c r="I149" s="715">
        <f>SUM(I146:I148)</f>
        <v>2408</v>
      </c>
    </row>
    <row r="150" spans="1:9" hidden="1">
      <c r="A150" s="697"/>
      <c r="B150" s="698"/>
      <c r="C150" s="714" t="s">
        <v>1709</v>
      </c>
      <c r="D150" s="764"/>
      <c r="E150" s="775"/>
      <c r="F150" s="752"/>
      <c r="G150" s="775"/>
      <c r="H150" s="697"/>
      <c r="I150" s="715">
        <f>SUM(I149/100)</f>
        <v>24.08</v>
      </c>
    </row>
    <row r="151" spans="1:9" hidden="1">
      <c r="A151" s="697"/>
      <c r="B151" s="698"/>
      <c r="C151" s="699" t="s">
        <v>573</v>
      </c>
      <c r="D151" s="762"/>
      <c r="E151" s="775"/>
      <c r="F151" s="752"/>
      <c r="G151" s="775"/>
      <c r="H151" s="697"/>
      <c r="I151" s="715"/>
    </row>
    <row r="152" spans="1:9" ht="45" hidden="1">
      <c r="A152" s="697"/>
      <c r="B152" s="698">
        <v>4</v>
      </c>
      <c r="C152" s="720" t="s">
        <v>1718</v>
      </c>
      <c r="D152" s="762">
        <v>200</v>
      </c>
      <c r="E152" s="776" t="s">
        <v>1693</v>
      </c>
      <c r="F152" s="752">
        <v>100</v>
      </c>
      <c r="G152" s="776" t="s">
        <v>1693</v>
      </c>
      <c r="H152" s="697">
        <v>3725</v>
      </c>
      <c r="I152" s="715">
        <f>SUM(D152*H152/F152)</f>
        <v>7450</v>
      </c>
    </row>
    <row r="153" spans="1:9" ht="33.75" hidden="1">
      <c r="A153" s="697"/>
      <c r="B153" s="698">
        <v>5</v>
      </c>
      <c r="C153" s="720" t="s">
        <v>1710</v>
      </c>
      <c r="D153" s="762">
        <v>100</v>
      </c>
      <c r="E153" s="776" t="s">
        <v>1693</v>
      </c>
      <c r="F153" s="752">
        <v>100</v>
      </c>
      <c r="G153" s="776" t="s">
        <v>1693</v>
      </c>
      <c r="H153" s="697">
        <v>1510</v>
      </c>
      <c r="I153" s="715">
        <f>SUM(D153*H153/F153)</f>
        <v>1510</v>
      </c>
    </row>
    <row r="154" spans="1:9" hidden="1">
      <c r="A154" s="697"/>
      <c r="B154" s="698"/>
      <c r="C154" s="714" t="s">
        <v>1711</v>
      </c>
      <c r="D154" s="762"/>
      <c r="E154" s="776"/>
      <c r="F154" s="752"/>
      <c r="G154" s="776"/>
      <c r="H154" s="697"/>
      <c r="I154" s="715">
        <f>SUM(I152:I153)</f>
        <v>8960</v>
      </c>
    </row>
    <row r="155" spans="1:9" hidden="1">
      <c r="A155" s="697"/>
      <c r="B155" s="698"/>
      <c r="C155" s="714" t="s">
        <v>1712</v>
      </c>
      <c r="D155" s="762"/>
      <c r="E155" s="776"/>
      <c r="F155" s="752"/>
      <c r="G155" s="776"/>
      <c r="H155" s="697"/>
      <c r="I155" s="715">
        <f>SUM(I154/100)</f>
        <v>89.6</v>
      </c>
    </row>
    <row r="156" spans="1:9" hidden="1">
      <c r="A156" s="697"/>
      <c r="B156" s="698"/>
      <c r="C156" s="702" t="s">
        <v>1673</v>
      </c>
      <c r="D156" s="762"/>
      <c r="E156" s="776"/>
      <c r="F156" s="752"/>
      <c r="G156" s="776"/>
      <c r="H156" s="722">
        <f>I150+I155</f>
        <v>113.67999999999999</v>
      </c>
      <c r="I156" s="715"/>
    </row>
    <row r="157" spans="1:9" hidden="1">
      <c r="A157" s="697"/>
      <c r="B157" s="698"/>
      <c r="C157" s="718" t="s">
        <v>1674</v>
      </c>
      <c r="D157" s="762"/>
      <c r="E157" s="776"/>
      <c r="F157" s="752"/>
      <c r="G157" s="776"/>
      <c r="H157" s="722">
        <v>0</v>
      </c>
      <c r="I157" s="715"/>
    </row>
    <row r="158" spans="1:9" hidden="1">
      <c r="A158" s="697"/>
      <c r="B158" s="698"/>
      <c r="C158" s="702" t="s">
        <v>1681</v>
      </c>
      <c r="D158" s="762"/>
      <c r="E158" s="776"/>
      <c r="F158" s="752"/>
      <c r="G158" s="776"/>
      <c r="H158" s="722"/>
      <c r="I158" s="715">
        <f>ROUNDDOWN(H156+H157,0)</f>
        <v>113</v>
      </c>
    </row>
    <row r="159" spans="1:9" hidden="1">
      <c r="A159" s="697"/>
      <c r="B159" s="698"/>
      <c r="C159" s="702"/>
      <c r="D159" s="762"/>
      <c r="E159" s="776"/>
      <c r="F159" s="752"/>
      <c r="G159" s="776"/>
      <c r="H159" s="722"/>
      <c r="I159" s="715"/>
    </row>
    <row r="160" spans="1:9" hidden="1">
      <c r="A160" s="717"/>
      <c r="B160" s="793"/>
      <c r="C160" s="717"/>
      <c r="D160" s="754"/>
      <c r="E160" s="777"/>
      <c r="F160" s="754"/>
      <c r="G160" s="777"/>
      <c r="H160" s="717"/>
      <c r="I160" s="717"/>
    </row>
    <row r="161" spans="1:9" ht="33.75">
      <c r="A161" s="697" t="s">
        <v>1719</v>
      </c>
      <c r="B161" s="701">
        <v>9</v>
      </c>
      <c r="C161" s="699" t="s">
        <v>1720</v>
      </c>
      <c r="D161" s="750"/>
      <c r="E161" s="773"/>
      <c r="F161" s="750"/>
      <c r="G161" s="773"/>
      <c r="H161" s="699"/>
      <c r="I161" s="699"/>
    </row>
    <row r="162" spans="1:9" ht="22.5">
      <c r="A162" s="701"/>
      <c r="B162" s="698"/>
      <c r="C162" s="699" t="s">
        <v>1721</v>
      </c>
      <c r="D162" s="750"/>
      <c r="E162" s="773"/>
      <c r="F162" s="750"/>
      <c r="G162" s="773"/>
      <c r="H162" s="699"/>
      <c r="I162" s="699"/>
    </row>
    <row r="163" spans="1:9">
      <c r="A163" s="701"/>
      <c r="B163" s="698"/>
      <c r="C163" s="714" t="s">
        <v>1660</v>
      </c>
      <c r="D163" s="762"/>
      <c r="E163" s="776"/>
      <c r="F163" s="752"/>
      <c r="G163" s="776"/>
      <c r="H163" s="697"/>
      <c r="I163" s="715"/>
    </row>
    <row r="164" spans="1:9">
      <c r="A164" s="701"/>
      <c r="B164" s="698">
        <v>1</v>
      </c>
      <c r="C164" s="705" t="s">
        <v>1661</v>
      </c>
      <c r="D164" s="762">
        <v>0.05</v>
      </c>
      <c r="E164" s="775" t="s">
        <v>186</v>
      </c>
      <c r="F164" s="752">
        <v>1</v>
      </c>
      <c r="G164" s="775" t="s">
        <v>186</v>
      </c>
      <c r="H164" s="697">
        <v>575</v>
      </c>
      <c r="I164" s="715">
        <f>SUM(D164*H164/F164)</f>
        <v>28.75</v>
      </c>
    </row>
    <row r="165" spans="1:9">
      <c r="A165" s="701"/>
      <c r="B165" s="698">
        <v>2</v>
      </c>
      <c r="C165" s="705" t="s">
        <v>1663</v>
      </c>
      <c r="D165" s="762">
        <v>0.05</v>
      </c>
      <c r="E165" s="775" t="s">
        <v>186</v>
      </c>
      <c r="F165" s="752">
        <v>1</v>
      </c>
      <c r="G165" s="775" t="s">
        <v>186</v>
      </c>
      <c r="H165" s="697">
        <v>420</v>
      </c>
      <c r="I165" s="704">
        <f>SUM(D165*H165/F165)</f>
        <v>21</v>
      </c>
    </row>
    <row r="166" spans="1:9">
      <c r="A166" s="701"/>
      <c r="B166" s="698"/>
      <c r="C166" s="714" t="s">
        <v>1722</v>
      </c>
      <c r="D166" s="762"/>
      <c r="E166" s="775"/>
      <c r="F166" s="752"/>
      <c r="G166" s="775"/>
      <c r="H166" s="697"/>
      <c r="I166" s="715">
        <f>SUM(I164:I165)</f>
        <v>49.75</v>
      </c>
    </row>
    <row r="167" spans="1:9">
      <c r="A167" s="701"/>
      <c r="B167" s="698"/>
      <c r="C167" s="699" t="s">
        <v>573</v>
      </c>
      <c r="D167" s="762"/>
      <c r="E167" s="775"/>
      <c r="F167" s="752"/>
      <c r="G167" s="775"/>
      <c r="H167" s="697"/>
      <c r="I167" s="715"/>
    </row>
    <row r="168" spans="1:9" ht="33.75">
      <c r="A168" s="701"/>
      <c r="B168" s="698">
        <v>3</v>
      </c>
      <c r="C168" s="714" t="s">
        <v>1723</v>
      </c>
      <c r="D168" s="764">
        <v>1</v>
      </c>
      <c r="E168" s="776" t="s">
        <v>95</v>
      </c>
      <c r="F168" s="752">
        <v>1</v>
      </c>
      <c r="G168" s="776" t="s">
        <v>1667</v>
      </c>
      <c r="H168" s="697">
        <v>18</v>
      </c>
      <c r="I168" s="715">
        <f>SUM(D168*H168/F168)</f>
        <v>18</v>
      </c>
    </row>
    <row r="169" spans="1:9">
      <c r="A169" s="701"/>
      <c r="B169" s="698"/>
      <c r="C169" s="699" t="s">
        <v>1724</v>
      </c>
      <c r="D169" s="762"/>
      <c r="E169" s="775"/>
      <c r="F169" s="752"/>
      <c r="G169" s="775"/>
      <c r="H169" s="697"/>
      <c r="I169" s="715">
        <f>SUM(I168)</f>
        <v>18</v>
      </c>
    </row>
    <row r="170" spans="1:9">
      <c r="A170" s="701"/>
      <c r="B170" s="698"/>
      <c r="C170" s="702" t="s">
        <v>1673</v>
      </c>
      <c r="D170" s="762"/>
      <c r="E170" s="776"/>
      <c r="F170" s="755"/>
      <c r="G170" s="778"/>
      <c r="H170" s="722">
        <f>I166+I169</f>
        <v>67.75</v>
      </c>
      <c r="I170" s="715"/>
    </row>
    <row r="171" spans="1:9">
      <c r="A171" s="701"/>
      <c r="B171" s="698"/>
      <c r="C171" s="718" t="s">
        <v>1674</v>
      </c>
      <c r="D171" s="762"/>
      <c r="E171" s="776"/>
      <c r="F171" s="755"/>
      <c r="G171" s="778"/>
      <c r="H171" s="722">
        <v>0</v>
      </c>
      <c r="I171" s="715"/>
    </row>
    <row r="172" spans="1:9">
      <c r="A172" s="701"/>
      <c r="B172" s="698"/>
      <c r="C172" s="702" t="s">
        <v>1681</v>
      </c>
      <c r="D172" s="762"/>
      <c r="E172" s="776"/>
      <c r="F172" s="755"/>
      <c r="G172" s="778"/>
      <c r="H172" s="722"/>
      <c r="I172" s="715">
        <f>ROUNDDOWN(H170+H171,0)</f>
        <v>67</v>
      </c>
    </row>
    <row r="173" spans="1:9">
      <c r="A173" s="701"/>
      <c r="B173" s="698"/>
      <c r="C173" s="702"/>
      <c r="D173" s="762"/>
      <c r="E173" s="776"/>
      <c r="F173" s="755"/>
      <c r="G173" s="778"/>
      <c r="H173" s="722"/>
      <c r="I173" s="715"/>
    </row>
    <row r="174" spans="1:9">
      <c r="A174" s="717"/>
      <c r="B174" s="793"/>
      <c r="C174" s="717"/>
      <c r="D174" s="754"/>
      <c r="E174" s="777"/>
      <c r="F174" s="754"/>
      <c r="G174" s="777"/>
      <c r="H174" s="717"/>
      <c r="I174" s="717"/>
    </row>
    <row r="175" spans="1:9" ht="56.25" hidden="1">
      <c r="A175" s="697" t="s">
        <v>1725</v>
      </c>
      <c r="B175" s="701">
        <v>10</v>
      </c>
      <c r="C175" s="699" t="s">
        <v>1726</v>
      </c>
      <c r="D175" s="750"/>
      <c r="E175" s="773"/>
      <c r="F175" s="750"/>
      <c r="G175" s="773"/>
      <c r="H175" s="699"/>
      <c r="I175" s="699"/>
    </row>
    <row r="176" spans="1:9" ht="22.5" hidden="1">
      <c r="A176" s="697"/>
      <c r="B176" s="701"/>
      <c r="C176" s="709" t="s">
        <v>1727</v>
      </c>
      <c r="D176" s="750"/>
      <c r="E176" s="773"/>
      <c r="F176" s="750"/>
      <c r="G176" s="773"/>
      <c r="H176" s="699"/>
      <c r="I176" s="699"/>
    </row>
    <row r="177" spans="1:9" hidden="1">
      <c r="A177" s="701"/>
      <c r="B177" s="698">
        <v>1</v>
      </c>
      <c r="C177" s="714" t="s">
        <v>1660</v>
      </c>
      <c r="D177" s="762"/>
      <c r="E177" s="776"/>
      <c r="F177" s="752"/>
      <c r="G177" s="776"/>
      <c r="H177" s="697"/>
      <c r="I177" s="715"/>
    </row>
    <row r="178" spans="1:9" hidden="1">
      <c r="A178" s="701"/>
      <c r="B178" s="698">
        <v>2</v>
      </c>
      <c r="C178" s="705" t="s">
        <v>1662</v>
      </c>
      <c r="D178" s="765">
        <v>0.05</v>
      </c>
      <c r="E178" s="775" t="s">
        <v>186</v>
      </c>
      <c r="F178" s="752">
        <v>1</v>
      </c>
      <c r="G178" s="775" t="s">
        <v>186</v>
      </c>
      <c r="H178" s="697">
        <v>471</v>
      </c>
      <c r="I178" s="715">
        <f>SUM(D178*H178/F178)</f>
        <v>23.55</v>
      </c>
    </row>
    <row r="179" spans="1:9" hidden="1">
      <c r="A179" s="701"/>
      <c r="B179" s="698"/>
      <c r="C179" s="714" t="s">
        <v>1722</v>
      </c>
      <c r="D179" s="762"/>
      <c r="E179" s="775"/>
      <c r="F179" s="752"/>
      <c r="G179" s="775"/>
      <c r="H179" s="697"/>
      <c r="I179" s="715">
        <f>SUM(I178:I178)</f>
        <v>23.55</v>
      </c>
    </row>
    <row r="180" spans="1:9" hidden="1">
      <c r="A180" s="701"/>
      <c r="B180" s="698">
        <v>4</v>
      </c>
      <c r="C180" s="699" t="s">
        <v>573</v>
      </c>
      <c r="D180" s="762"/>
      <c r="E180" s="775"/>
      <c r="F180" s="752"/>
      <c r="G180" s="775"/>
      <c r="H180" s="697"/>
      <c r="I180" s="715"/>
    </row>
    <row r="181" spans="1:9" ht="45" hidden="1">
      <c r="A181" s="701"/>
      <c r="B181" s="698">
        <v>5</v>
      </c>
      <c r="C181" s="720" t="s">
        <v>1728</v>
      </c>
      <c r="D181" s="762">
        <v>1</v>
      </c>
      <c r="E181" s="776" t="s">
        <v>95</v>
      </c>
      <c r="F181" s="752">
        <v>1</v>
      </c>
      <c r="G181" s="776" t="s">
        <v>1667</v>
      </c>
      <c r="H181" s="697">
        <v>90</v>
      </c>
      <c r="I181" s="715">
        <f>SUM(D181*H181/F181)</f>
        <v>90</v>
      </c>
    </row>
    <row r="182" spans="1:9" hidden="1">
      <c r="A182" s="701"/>
      <c r="B182" s="698"/>
      <c r="C182" s="699" t="s">
        <v>1724</v>
      </c>
      <c r="D182" s="762"/>
      <c r="E182" s="775"/>
      <c r="F182" s="752"/>
      <c r="G182" s="775"/>
      <c r="H182" s="697"/>
      <c r="I182" s="715">
        <f>SUM(I181:I181)</f>
        <v>90</v>
      </c>
    </row>
    <row r="183" spans="1:9" hidden="1">
      <c r="A183" s="701"/>
      <c r="B183" s="698"/>
      <c r="C183" s="702" t="s">
        <v>1673</v>
      </c>
      <c r="D183" s="762"/>
      <c r="E183" s="775"/>
      <c r="F183" s="752"/>
      <c r="G183" s="775"/>
      <c r="H183" s="722">
        <f>I179+I182</f>
        <v>113.55</v>
      </c>
      <c r="I183" s="715"/>
    </row>
    <row r="184" spans="1:9" hidden="1">
      <c r="A184" s="701"/>
      <c r="B184" s="698"/>
      <c r="C184" s="718" t="s">
        <v>1674</v>
      </c>
      <c r="D184" s="762"/>
      <c r="E184" s="775"/>
      <c r="F184" s="752"/>
      <c r="G184" s="775"/>
      <c r="H184" s="722">
        <v>0</v>
      </c>
      <c r="I184" s="715"/>
    </row>
    <row r="185" spans="1:9" hidden="1">
      <c r="A185" s="701"/>
      <c r="B185" s="698"/>
      <c r="C185" s="702" t="s">
        <v>1681</v>
      </c>
      <c r="D185" s="762"/>
      <c r="E185" s="775"/>
      <c r="F185" s="752"/>
      <c r="G185" s="775"/>
      <c r="H185" s="722"/>
      <c r="I185" s="715">
        <f>ROUNDUP(H183+H184,1)</f>
        <v>113.6</v>
      </c>
    </row>
    <row r="186" spans="1:9" hidden="1">
      <c r="A186" s="717"/>
      <c r="B186" s="793"/>
      <c r="C186" s="717"/>
      <c r="D186" s="754"/>
      <c r="E186" s="777"/>
      <c r="F186" s="754"/>
      <c r="G186" s="777"/>
      <c r="H186" s="717"/>
      <c r="I186" s="717"/>
    </row>
    <row r="187" spans="1:9" ht="45">
      <c r="A187" s="697" t="s">
        <v>1729</v>
      </c>
      <c r="B187" s="701">
        <v>11</v>
      </c>
      <c r="C187" s="699" t="s">
        <v>1730</v>
      </c>
      <c r="D187" s="750"/>
      <c r="E187" s="773"/>
      <c r="F187" s="750"/>
      <c r="G187" s="773"/>
      <c r="H187" s="699"/>
      <c r="I187" s="699"/>
    </row>
    <row r="188" spans="1:9" ht="33.75">
      <c r="A188" s="701"/>
      <c r="B188" s="701"/>
      <c r="C188" s="714" t="s">
        <v>1731</v>
      </c>
      <c r="D188" s="766"/>
      <c r="E188" s="773"/>
      <c r="F188" s="750"/>
      <c r="G188" s="773"/>
      <c r="H188" s="699"/>
      <c r="I188" s="699"/>
    </row>
    <row r="189" spans="1:9" ht="33.75">
      <c r="A189" s="701"/>
      <c r="B189" s="701"/>
      <c r="C189" s="714" t="s">
        <v>1732</v>
      </c>
      <c r="D189" s="766"/>
      <c r="E189" s="773"/>
      <c r="F189" s="750"/>
      <c r="G189" s="773"/>
      <c r="H189" s="699"/>
      <c r="I189" s="699"/>
    </row>
    <row r="190" spans="1:9">
      <c r="A190" s="701"/>
      <c r="B190" s="698"/>
      <c r="C190" s="724" t="s">
        <v>1733</v>
      </c>
      <c r="D190" s="762"/>
      <c r="E190" s="776"/>
      <c r="F190" s="752"/>
      <c r="G190" s="776"/>
      <c r="H190" s="697"/>
      <c r="I190" s="715"/>
    </row>
    <row r="191" spans="1:9">
      <c r="A191" s="701"/>
      <c r="B191" s="698">
        <v>1</v>
      </c>
      <c r="C191" s="705" t="s">
        <v>1661</v>
      </c>
      <c r="D191" s="765">
        <v>0.125</v>
      </c>
      <c r="E191" s="775" t="s">
        <v>186</v>
      </c>
      <c r="F191" s="752">
        <v>1</v>
      </c>
      <c r="G191" s="775" t="s">
        <v>186</v>
      </c>
      <c r="H191" s="697">
        <v>575</v>
      </c>
      <c r="I191" s="715">
        <f>SUM(D191*H191/F191)</f>
        <v>71.875</v>
      </c>
    </row>
    <row r="192" spans="1:9">
      <c r="A192" s="701"/>
      <c r="B192" s="698">
        <v>2</v>
      </c>
      <c r="C192" s="705" t="s">
        <v>1663</v>
      </c>
      <c r="D192" s="765">
        <v>0.125</v>
      </c>
      <c r="E192" s="775" t="s">
        <v>186</v>
      </c>
      <c r="F192" s="752">
        <v>1</v>
      </c>
      <c r="G192" s="775" t="s">
        <v>186</v>
      </c>
      <c r="H192" s="697">
        <v>420</v>
      </c>
      <c r="I192" s="704">
        <f>SUM(D192*H192/F192)</f>
        <v>52.5</v>
      </c>
    </row>
    <row r="193" spans="1:9">
      <c r="A193" s="701"/>
      <c r="B193" s="698"/>
      <c r="C193" s="714" t="s">
        <v>1722</v>
      </c>
      <c r="D193" s="762"/>
      <c r="E193" s="775"/>
      <c r="F193" s="752"/>
      <c r="G193" s="775"/>
      <c r="H193" s="697"/>
      <c r="I193" s="715">
        <f>SUM(I191:I192)</f>
        <v>124.375</v>
      </c>
    </row>
    <row r="194" spans="1:9">
      <c r="A194" s="701"/>
      <c r="B194" s="698"/>
      <c r="C194" s="699" t="s">
        <v>1734</v>
      </c>
      <c r="D194" s="762"/>
      <c r="E194" s="775"/>
      <c r="F194" s="752"/>
      <c r="G194" s="775"/>
      <c r="H194" s="697"/>
      <c r="I194" s="715"/>
    </row>
    <row r="195" spans="1:9" ht="45">
      <c r="A195" s="701"/>
      <c r="B195" s="698">
        <v>3</v>
      </c>
      <c r="C195" s="720" t="s">
        <v>1735</v>
      </c>
      <c r="D195" s="762">
        <v>1</v>
      </c>
      <c r="E195" s="776" t="s">
        <v>1670</v>
      </c>
      <c r="F195" s="752">
        <v>100</v>
      </c>
      <c r="G195" s="776" t="s">
        <v>1693</v>
      </c>
      <c r="H195" s="697">
        <v>950</v>
      </c>
      <c r="I195" s="715">
        <f>SUM(D195*H195/F195)</f>
        <v>9.5</v>
      </c>
    </row>
    <row r="196" spans="1:9">
      <c r="A196" s="701"/>
      <c r="B196" s="698"/>
      <c r="C196" s="714" t="s">
        <v>1736</v>
      </c>
      <c r="D196" s="762"/>
      <c r="E196" s="775"/>
      <c r="F196" s="752"/>
      <c r="G196" s="775"/>
      <c r="H196" s="697"/>
      <c r="I196" s="715">
        <f>SUM(I195:I195)</f>
        <v>9.5</v>
      </c>
    </row>
    <row r="197" spans="1:9" ht="56.25">
      <c r="A197" s="701"/>
      <c r="B197" s="698">
        <v>4</v>
      </c>
      <c r="C197" s="720" t="s">
        <v>1737</v>
      </c>
      <c r="D197" s="762">
        <v>1</v>
      </c>
      <c r="E197" s="776" t="s">
        <v>95</v>
      </c>
      <c r="F197" s="752">
        <v>1</v>
      </c>
      <c r="G197" s="776" t="s">
        <v>95</v>
      </c>
      <c r="H197" s="697">
        <v>2300</v>
      </c>
      <c r="I197" s="715">
        <f>SUM(D197*H197/F197)</f>
        <v>2300</v>
      </c>
    </row>
    <row r="198" spans="1:9">
      <c r="A198" s="701"/>
      <c r="B198" s="698"/>
      <c r="C198" s="714" t="s">
        <v>1738</v>
      </c>
      <c r="D198" s="762"/>
      <c r="E198" s="776"/>
      <c r="F198" s="752"/>
      <c r="G198" s="776"/>
      <c r="H198" s="710">
        <v>0.01</v>
      </c>
      <c r="I198" s="715">
        <f>SUM(I197*H198)</f>
        <v>23</v>
      </c>
    </row>
    <row r="199" spans="1:9">
      <c r="A199" s="701"/>
      <c r="B199" s="698"/>
      <c r="C199" s="714" t="s">
        <v>1739</v>
      </c>
      <c r="D199" s="762"/>
      <c r="E199" s="776"/>
      <c r="F199" s="752"/>
      <c r="G199" s="776"/>
      <c r="H199" s="697"/>
      <c r="I199" s="715">
        <f>SUM(I196:I198)</f>
        <v>2332.5</v>
      </c>
    </row>
    <row r="200" spans="1:9">
      <c r="A200" s="701"/>
      <c r="B200" s="698"/>
      <c r="C200" s="702" t="s">
        <v>1673</v>
      </c>
      <c r="D200" s="757"/>
      <c r="E200" s="781"/>
      <c r="F200" s="757"/>
      <c r="G200" s="780"/>
      <c r="H200" s="722">
        <f>I193+I199</f>
        <v>2456.875</v>
      </c>
      <c r="I200" s="712"/>
    </row>
    <row r="201" spans="1:9">
      <c r="A201" s="701"/>
      <c r="B201" s="698"/>
      <c r="C201" s="718" t="s">
        <v>1674</v>
      </c>
      <c r="D201" s="757"/>
      <c r="E201" s="781"/>
      <c r="F201" s="757"/>
      <c r="G201" s="780"/>
      <c r="H201" s="722">
        <v>0</v>
      </c>
      <c r="I201" s="712"/>
    </row>
    <row r="202" spans="1:9">
      <c r="A202" s="701"/>
      <c r="B202" s="698"/>
      <c r="C202" s="702" t="s">
        <v>1681</v>
      </c>
      <c r="D202" s="757"/>
      <c r="E202" s="781"/>
      <c r="F202" s="757"/>
      <c r="G202" s="780"/>
      <c r="H202" s="722"/>
      <c r="I202" s="715">
        <f>ROUND(H200+H201,0)</f>
        <v>2457</v>
      </c>
    </row>
    <row r="203" spans="1:9">
      <c r="A203" s="701"/>
      <c r="B203" s="698"/>
      <c r="C203" s="702"/>
      <c r="D203" s="757"/>
      <c r="E203" s="781"/>
      <c r="F203" s="757"/>
      <c r="G203" s="780"/>
      <c r="H203" s="722"/>
      <c r="I203" s="712"/>
    </row>
    <row r="204" spans="1:9">
      <c r="A204" s="701"/>
      <c r="B204" s="698"/>
      <c r="C204" s="702"/>
      <c r="D204" s="757"/>
      <c r="E204" s="781"/>
      <c r="F204" s="757"/>
      <c r="G204" s="780"/>
      <c r="H204" s="722"/>
      <c r="I204" s="712"/>
    </row>
    <row r="205" spans="1:9">
      <c r="A205" s="717"/>
      <c r="B205" s="793"/>
      <c r="C205" s="717"/>
      <c r="D205" s="754"/>
      <c r="E205" s="777"/>
      <c r="F205" s="754"/>
      <c r="G205" s="777"/>
      <c r="H205" s="717"/>
      <c r="I205" s="717"/>
    </row>
    <row r="206" spans="1:9" ht="33.75">
      <c r="A206" s="697" t="s">
        <v>1740</v>
      </c>
      <c r="B206" s="701">
        <v>12</v>
      </c>
      <c r="C206" s="699" t="s">
        <v>1741</v>
      </c>
      <c r="D206" s="750"/>
      <c r="E206" s="773"/>
      <c r="F206" s="750"/>
      <c r="G206" s="773"/>
      <c r="H206" s="699"/>
      <c r="I206" s="699"/>
    </row>
    <row r="207" spans="1:9" ht="33.75">
      <c r="A207" s="701"/>
      <c r="B207" s="701"/>
      <c r="C207" s="714" t="s">
        <v>1742</v>
      </c>
      <c r="D207" s="766"/>
      <c r="E207" s="773"/>
      <c r="F207" s="750"/>
      <c r="G207" s="773"/>
      <c r="H207" s="699"/>
      <c r="I207" s="699"/>
    </row>
    <row r="208" spans="1:9">
      <c r="A208" s="701"/>
      <c r="B208" s="698"/>
      <c r="C208" s="724" t="s">
        <v>1733</v>
      </c>
      <c r="D208" s="762"/>
      <c r="E208" s="776"/>
      <c r="F208" s="752"/>
      <c r="G208" s="776"/>
      <c r="H208" s="697"/>
      <c r="I208" s="715"/>
    </row>
    <row r="209" spans="1:9">
      <c r="A209" s="701"/>
      <c r="B209" s="698">
        <v>1</v>
      </c>
      <c r="C209" s="705" t="s">
        <v>1662</v>
      </c>
      <c r="D209" s="762">
        <v>0.1</v>
      </c>
      <c r="E209" s="776" t="s">
        <v>95</v>
      </c>
      <c r="F209" s="752">
        <v>1</v>
      </c>
      <c r="G209" s="776" t="s">
        <v>95</v>
      </c>
      <c r="H209" s="697">
        <v>471</v>
      </c>
      <c r="I209" s="715">
        <f>SUM(D209*H209/F209)</f>
        <v>47.1</v>
      </c>
    </row>
    <row r="210" spans="1:9">
      <c r="A210" s="701"/>
      <c r="B210" s="698"/>
      <c r="C210" s="714" t="s">
        <v>1722</v>
      </c>
      <c r="D210" s="762"/>
      <c r="E210" s="775"/>
      <c r="F210" s="752"/>
      <c r="G210" s="775"/>
      <c r="H210" s="697"/>
      <c r="I210" s="715">
        <f>SUM(I209:I209)</f>
        <v>47.1</v>
      </c>
    </row>
    <row r="211" spans="1:9">
      <c r="A211" s="701"/>
      <c r="B211" s="698"/>
      <c r="C211" s="699" t="s">
        <v>1734</v>
      </c>
      <c r="D211" s="750"/>
      <c r="E211" s="773"/>
      <c r="F211" s="750"/>
      <c r="G211" s="773"/>
      <c r="H211" s="699"/>
      <c r="I211" s="699"/>
    </row>
    <row r="212" spans="1:9" ht="33.75">
      <c r="A212" s="701"/>
      <c r="B212" s="698">
        <v>2</v>
      </c>
      <c r="C212" s="720" t="s">
        <v>1743</v>
      </c>
      <c r="D212" s="764">
        <v>1</v>
      </c>
      <c r="E212" s="776" t="s">
        <v>95</v>
      </c>
      <c r="F212" s="752">
        <v>1</v>
      </c>
      <c r="G212" s="776" t="s">
        <v>95</v>
      </c>
      <c r="H212" s="697">
        <v>450</v>
      </c>
      <c r="I212" s="715">
        <f>SUM(D212*H212/F212)</f>
        <v>450</v>
      </c>
    </row>
    <row r="213" spans="1:9">
      <c r="A213" s="701"/>
      <c r="B213" s="698"/>
      <c r="C213" s="714" t="s">
        <v>1739</v>
      </c>
      <c r="D213" s="762"/>
      <c r="E213" s="776"/>
      <c r="F213" s="752"/>
      <c r="G213" s="776"/>
      <c r="H213" s="697"/>
      <c r="I213" s="715">
        <f>SUM(I212:I212)</f>
        <v>450</v>
      </c>
    </row>
    <row r="214" spans="1:9">
      <c r="A214" s="701"/>
      <c r="B214" s="698"/>
      <c r="C214" s="702" t="s">
        <v>1673</v>
      </c>
      <c r="D214" s="757"/>
      <c r="E214" s="781"/>
      <c r="F214" s="757"/>
      <c r="G214" s="781"/>
      <c r="H214" s="722">
        <f>I210+I213</f>
        <v>497.1</v>
      </c>
      <c r="I214" s="709"/>
    </row>
    <row r="215" spans="1:9">
      <c r="A215" s="701"/>
      <c r="B215" s="698"/>
      <c r="C215" s="718" t="s">
        <v>1674</v>
      </c>
      <c r="D215" s="757"/>
      <c r="E215" s="781"/>
      <c r="F215" s="757"/>
      <c r="G215" s="781"/>
      <c r="H215" s="722">
        <v>0</v>
      </c>
      <c r="I215" s="709"/>
    </row>
    <row r="216" spans="1:9">
      <c r="A216" s="701"/>
      <c r="B216" s="698"/>
      <c r="C216" s="702" t="s">
        <v>1681</v>
      </c>
      <c r="D216" s="757"/>
      <c r="E216" s="781"/>
      <c r="F216" s="757"/>
      <c r="G216" s="781"/>
      <c r="H216" s="722"/>
      <c r="I216" s="725">
        <f>ROUND(H214+H215,0)</f>
        <v>497</v>
      </c>
    </row>
    <row r="217" spans="1:9">
      <c r="A217" s="701"/>
      <c r="B217" s="698"/>
      <c r="C217" s="702"/>
      <c r="D217" s="757"/>
      <c r="E217" s="781"/>
      <c r="F217" s="757"/>
      <c r="G217" s="781"/>
      <c r="H217" s="722"/>
      <c r="I217" s="709"/>
    </row>
    <row r="218" spans="1:9">
      <c r="A218" s="717"/>
      <c r="B218" s="793"/>
      <c r="C218" s="717"/>
      <c r="D218" s="754"/>
      <c r="E218" s="777"/>
      <c r="F218" s="754"/>
      <c r="G218" s="777"/>
      <c r="H218" s="717"/>
      <c r="I218" s="717"/>
    </row>
    <row r="219" spans="1:9" ht="33.75">
      <c r="A219" s="697" t="s">
        <v>1744</v>
      </c>
      <c r="B219" s="701">
        <v>13</v>
      </c>
      <c r="C219" s="699" t="s">
        <v>1745</v>
      </c>
      <c r="D219" s="750"/>
      <c r="E219" s="773"/>
      <c r="F219" s="750"/>
      <c r="G219" s="773"/>
      <c r="H219" s="699"/>
      <c r="I219" s="699"/>
    </row>
    <row r="220" spans="1:9">
      <c r="A220" s="701"/>
      <c r="B220" s="698"/>
      <c r="C220" s="724" t="s">
        <v>1733</v>
      </c>
      <c r="D220" s="762"/>
      <c r="E220" s="776"/>
      <c r="F220" s="752"/>
      <c r="G220" s="776"/>
      <c r="H220" s="697"/>
      <c r="I220" s="715"/>
    </row>
    <row r="221" spans="1:9">
      <c r="A221" s="701"/>
      <c r="B221" s="698">
        <v>1</v>
      </c>
      <c r="C221" s="705" t="s">
        <v>1678</v>
      </c>
      <c r="D221" s="765">
        <v>0.16600000000000001</v>
      </c>
      <c r="E221" s="775" t="s">
        <v>186</v>
      </c>
      <c r="F221" s="752">
        <v>1</v>
      </c>
      <c r="G221" s="775" t="s">
        <v>186</v>
      </c>
      <c r="H221" s="697">
        <v>500</v>
      </c>
      <c r="I221" s="715">
        <f>SUM(D221*H221/F221)</f>
        <v>83</v>
      </c>
    </row>
    <row r="222" spans="1:9">
      <c r="A222" s="701"/>
      <c r="B222" s="698">
        <v>2</v>
      </c>
      <c r="C222" s="705" t="s">
        <v>1746</v>
      </c>
      <c r="D222" s="765">
        <v>0.16600000000000001</v>
      </c>
      <c r="E222" s="775" t="s">
        <v>186</v>
      </c>
      <c r="F222" s="752">
        <v>1</v>
      </c>
      <c r="G222" s="775" t="s">
        <v>186</v>
      </c>
      <c r="H222" s="697">
        <v>420</v>
      </c>
      <c r="I222" s="715">
        <f>SUM(D222*H222/F222)</f>
        <v>69.72</v>
      </c>
    </row>
    <row r="223" spans="1:9">
      <c r="A223" s="701"/>
      <c r="B223" s="698"/>
      <c r="C223" s="714" t="s">
        <v>1722</v>
      </c>
      <c r="D223" s="762"/>
      <c r="E223" s="775"/>
      <c r="F223" s="752"/>
      <c r="G223" s="775"/>
      <c r="H223" s="697"/>
      <c r="I223" s="715">
        <f>SUM(I221:I222)</f>
        <v>152.72</v>
      </c>
    </row>
    <row r="224" spans="1:9">
      <c r="A224" s="701"/>
      <c r="B224" s="698"/>
      <c r="C224" s="699" t="s">
        <v>1734</v>
      </c>
      <c r="D224" s="762"/>
      <c r="E224" s="775"/>
      <c r="F224" s="752"/>
      <c r="G224" s="775"/>
      <c r="H224" s="697"/>
      <c r="I224" s="715"/>
    </row>
    <row r="225" spans="1:9" ht="22.5">
      <c r="A225" s="701"/>
      <c r="B225" s="698">
        <v>3</v>
      </c>
      <c r="C225" s="720" t="s">
        <v>1747</v>
      </c>
      <c r="D225" s="762">
        <v>1</v>
      </c>
      <c r="E225" s="776" t="s">
        <v>1667</v>
      </c>
      <c r="F225" s="752">
        <v>1</v>
      </c>
      <c r="G225" s="776" t="s">
        <v>1667</v>
      </c>
      <c r="H225" s="697">
        <v>100</v>
      </c>
      <c r="I225" s="715">
        <f>SUM(D225*H225/F225)</f>
        <v>100</v>
      </c>
    </row>
    <row r="226" spans="1:9">
      <c r="A226" s="701"/>
      <c r="B226" s="698">
        <v>4</v>
      </c>
      <c r="C226" s="714" t="s">
        <v>1748</v>
      </c>
      <c r="D226" s="764">
        <v>1</v>
      </c>
      <c r="E226" s="776" t="s">
        <v>1749</v>
      </c>
      <c r="F226" s="752">
        <v>1</v>
      </c>
      <c r="G226" s="776" t="s">
        <v>1749</v>
      </c>
      <c r="H226" s="697">
        <v>20</v>
      </c>
      <c r="I226" s="715">
        <f>SUM(D226*H226/F226)</f>
        <v>20</v>
      </c>
    </row>
    <row r="227" spans="1:9">
      <c r="A227" s="701"/>
      <c r="B227" s="698"/>
      <c r="C227" s="714" t="s">
        <v>1739</v>
      </c>
      <c r="D227" s="762"/>
      <c r="E227" s="775"/>
      <c r="F227" s="752"/>
      <c r="G227" s="775"/>
      <c r="H227" s="697"/>
      <c r="I227" s="715">
        <f>SUM(I225:I226)</f>
        <v>120</v>
      </c>
    </row>
    <row r="228" spans="1:9">
      <c r="A228" s="701"/>
      <c r="B228" s="698"/>
      <c r="C228" s="702" t="s">
        <v>1673</v>
      </c>
      <c r="D228" s="757"/>
      <c r="E228" s="781"/>
      <c r="F228" s="757"/>
      <c r="G228" s="781"/>
      <c r="H228" s="722">
        <f>I223+I227</f>
        <v>272.72000000000003</v>
      </c>
      <c r="I228" s="709"/>
    </row>
    <row r="229" spans="1:9">
      <c r="A229" s="701"/>
      <c r="B229" s="698"/>
      <c r="C229" s="718" t="s">
        <v>1674</v>
      </c>
      <c r="D229" s="757"/>
      <c r="E229" s="781"/>
      <c r="F229" s="757"/>
      <c r="G229" s="781"/>
      <c r="H229" s="722">
        <v>0</v>
      </c>
      <c r="I229" s="709"/>
    </row>
    <row r="230" spans="1:9">
      <c r="A230" s="701"/>
      <c r="B230" s="698"/>
      <c r="C230" s="702" t="s">
        <v>1681</v>
      </c>
      <c r="D230" s="757"/>
      <c r="E230" s="781"/>
      <c r="F230" s="757"/>
      <c r="G230" s="781"/>
      <c r="H230" s="722"/>
      <c r="I230" s="725">
        <f>ROUNDUP(H228+H229,1)</f>
        <v>272.8</v>
      </c>
    </row>
    <row r="231" spans="1:9">
      <c r="A231" s="701"/>
      <c r="B231" s="698"/>
      <c r="C231" s="702"/>
      <c r="D231" s="757"/>
      <c r="E231" s="781"/>
      <c r="F231" s="757"/>
      <c r="G231" s="781"/>
      <c r="H231" s="722"/>
      <c r="I231" s="709"/>
    </row>
    <row r="232" spans="1:9">
      <c r="A232" s="717"/>
      <c r="B232" s="793"/>
      <c r="C232" s="717"/>
      <c r="D232" s="754"/>
      <c r="E232" s="777"/>
      <c r="F232" s="754"/>
      <c r="G232" s="777"/>
      <c r="H232" s="717"/>
      <c r="I232" s="717"/>
    </row>
    <row r="233" spans="1:9" ht="45">
      <c r="A233" s="697" t="s">
        <v>1750</v>
      </c>
      <c r="B233" s="701">
        <v>14</v>
      </c>
      <c r="C233" s="699" t="s">
        <v>1751</v>
      </c>
      <c r="D233" s="750"/>
      <c r="E233" s="773"/>
      <c r="F233" s="750"/>
      <c r="G233" s="773"/>
      <c r="H233" s="699"/>
      <c r="I233" s="699"/>
    </row>
    <row r="234" spans="1:9">
      <c r="A234" s="701"/>
      <c r="B234" s="698"/>
      <c r="C234" s="724" t="s">
        <v>1733</v>
      </c>
      <c r="D234" s="762"/>
      <c r="E234" s="776"/>
      <c r="F234" s="752"/>
      <c r="G234" s="776"/>
      <c r="H234" s="697"/>
      <c r="I234" s="715"/>
    </row>
    <row r="235" spans="1:9">
      <c r="A235" s="701"/>
      <c r="B235" s="698">
        <v>1</v>
      </c>
      <c r="C235" s="705" t="s">
        <v>1662</v>
      </c>
      <c r="D235" s="765">
        <v>0.1</v>
      </c>
      <c r="E235" s="775" t="s">
        <v>186</v>
      </c>
      <c r="F235" s="752">
        <v>1</v>
      </c>
      <c r="G235" s="775" t="s">
        <v>186</v>
      </c>
      <c r="H235" s="697">
        <v>471</v>
      </c>
      <c r="I235" s="715">
        <f>SUM(D235*H235/F235)</f>
        <v>47.1</v>
      </c>
    </row>
    <row r="236" spans="1:9">
      <c r="A236" s="701"/>
      <c r="B236" s="698"/>
      <c r="C236" s="714" t="s">
        <v>1722</v>
      </c>
      <c r="D236" s="762"/>
      <c r="E236" s="775"/>
      <c r="F236" s="752"/>
      <c r="G236" s="775"/>
      <c r="H236" s="697"/>
      <c r="I236" s="715">
        <f>SUM(I235)</f>
        <v>47.1</v>
      </c>
    </row>
    <row r="237" spans="1:9">
      <c r="A237" s="701"/>
      <c r="B237" s="698"/>
      <c r="C237" s="699" t="s">
        <v>1734</v>
      </c>
      <c r="D237" s="762"/>
      <c r="E237" s="775"/>
      <c r="F237" s="752"/>
      <c r="G237" s="775"/>
      <c r="H237" s="697"/>
      <c r="I237" s="715"/>
    </row>
    <row r="238" spans="1:9" ht="22.5">
      <c r="A238" s="701"/>
      <c r="B238" s="698">
        <v>2</v>
      </c>
      <c r="C238" s="720" t="s">
        <v>1752</v>
      </c>
      <c r="D238" s="762">
        <v>1</v>
      </c>
      <c r="E238" s="776" t="s">
        <v>1670</v>
      </c>
      <c r="F238" s="752">
        <v>1</v>
      </c>
      <c r="G238" s="776" t="s">
        <v>1670</v>
      </c>
      <c r="H238" s="697">
        <v>85</v>
      </c>
      <c r="I238" s="715">
        <f>SUM(D238*H238/F238)</f>
        <v>85</v>
      </c>
    </row>
    <row r="239" spans="1:9">
      <c r="A239" s="701"/>
      <c r="B239" s="698"/>
      <c r="C239" s="714" t="s">
        <v>1739</v>
      </c>
      <c r="D239" s="762"/>
      <c r="E239" s="775"/>
      <c r="F239" s="752"/>
      <c r="G239" s="775"/>
      <c r="H239" s="697"/>
      <c r="I239" s="715">
        <f>SUM(I238:I238)</f>
        <v>85</v>
      </c>
    </row>
    <row r="240" spans="1:9">
      <c r="A240" s="701"/>
      <c r="B240" s="698"/>
      <c r="C240" s="702" t="s">
        <v>1673</v>
      </c>
      <c r="D240" s="757"/>
      <c r="E240" s="781"/>
      <c r="F240" s="757"/>
      <c r="G240" s="781"/>
      <c r="H240" s="722">
        <f>I236+I239</f>
        <v>132.1</v>
      </c>
      <c r="I240" s="709"/>
    </row>
    <row r="241" spans="1:9">
      <c r="A241" s="701"/>
      <c r="B241" s="698"/>
      <c r="C241" s="718" t="s">
        <v>1674</v>
      </c>
      <c r="D241" s="757"/>
      <c r="E241" s="781"/>
      <c r="F241" s="757"/>
      <c r="G241" s="781"/>
      <c r="H241" s="722">
        <v>0</v>
      </c>
      <c r="I241" s="709"/>
    </row>
    <row r="242" spans="1:9">
      <c r="A242" s="701"/>
      <c r="B242" s="698"/>
      <c r="C242" s="702" t="s">
        <v>1681</v>
      </c>
      <c r="D242" s="757"/>
      <c r="E242" s="781"/>
      <c r="F242" s="757"/>
      <c r="G242" s="781"/>
      <c r="H242" s="722"/>
      <c r="I242" s="725">
        <f>ROUNDDOWN(H240+H241,0)</f>
        <v>132</v>
      </c>
    </row>
    <row r="243" spans="1:9">
      <c r="A243" s="701"/>
      <c r="B243" s="698"/>
      <c r="C243" s="702"/>
      <c r="D243" s="757"/>
      <c r="E243" s="781"/>
      <c r="F243" s="757"/>
      <c r="G243" s="781"/>
      <c r="H243" s="722"/>
      <c r="I243" s="709"/>
    </row>
    <row r="244" spans="1:9">
      <c r="A244" s="717"/>
      <c r="B244" s="793"/>
      <c r="C244" s="717"/>
      <c r="D244" s="754"/>
      <c r="E244" s="777"/>
      <c r="F244" s="754"/>
      <c r="G244" s="777"/>
      <c r="H244" s="717"/>
      <c r="I244" s="717"/>
    </row>
    <row r="245" spans="1:9" ht="45">
      <c r="A245" s="697" t="s">
        <v>1753</v>
      </c>
      <c r="B245" s="701">
        <v>15</v>
      </c>
      <c r="C245" s="699" t="s">
        <v>1754</v>
      </c>
      <c r="D245" s="750"/>
      <c r="E245" s="773"/>
      <c r="F245" s="750"/>
      <c r="G245" s="773"/>
      <c r="H245" s="699"/>
      <c r="I245" s="699"/>
    </row>
    <row r="246" spans="1:9" ht="33.75">
      <c r="A246" s="701"/>
      <c r="B246" s="701"/>
      <c r="C246" s="714" t="s">
        <v>1755</v>
      </c>
      <c r="D246" s="766"/>
      <c r="E246" s="773"/>
      <c r="F246" s="750"/>
      <c r="G246" s="773"/>
      <c r="H246" s="699"/>
      <c r="I246" s="699"/>
    </row>
    <row r="247" spans="1:9" ht="33.75">
      <c r="A247" s="701"/>
      <c r="B247" s="701"/>
      <c r="C247" s="714" t="s">
        <v>1756</v>
      </c>
      <c r="D247" s="766"/>
      <c r="E247" s="773"/>
      <c r="F247" s="750"/>
      <c r="G247" s="773"/>
      <c r="H247" s="699"/>
      <c r="I247" s="699"/>
    </row>
    <row r="248" spans="1:9">
      <c r="A248" s="701"/>
      <c r="B248" s="698"/>
      <c r="C248" s="724" t="s">
        <v>1733</v>
      </c>
      <c r="D248" s="762"/>
      <c r="E248" s="776"/>
      <c r="F248" s="752"/>
      <c r="G248" s="776"/>
      <c r="H248" s="697"/>
      <c r="I248" s="715"/>
    </row>
    <row r="249" spans="1:9">
      <c r="A249" s="701"/>
      <c r="B249" s="698">
        <v>1</v>
      </c>
      <c r="C249" s="705" t="s">
        <v>1661</v>
      </c>
      <c r="D249" s="765">
        <v>0.25</v>
      </c>
      <c r="E249" s="775" t="s">
        <v>186</v>
      </c>
      <c r="F249" s="752">
        <v>1</v>
      </c>
      <c r="G249" s="775" t="s">
        <v>186</v>
      </c>
      <c r="H249" s="697">
        <v>575</v>
      </c>
      <c r="I249" s="715">
        <f>SUM(D249*H249/F249)</f>
        <v>143.75</v>
      </c>
    </row>
    <row r="250" spans="1:9">
      <c r="A250" s="701"/>
      <c r="B250" s="698">
        <v>2</v>
      </c>
      <c r="C250" s="705" t="s">
        <v>1662</v>
      </c>
      <c r="D250" s="765">
        <v>0.25</v>
      </c>
      <c r="E250" s="775" t="s">
        <v>186</v>
      </c>
      <c r="F250" s="752">
        <v>1</v>
      </c>
      <c r="G250" s="775" t="s">
        <v>186</v>
      </c>
      <c r="H250" s="697">
        <v>471</v>
      </c>
      <c r="I250" s="715">
        <f>SUM(D250*H250/F250)</f>
        <v>117.75</v>
      </c>
    </row>
    <row r="251" spans="1:9">
      <c r="A251" s="701"/>
      <c r="B251" s="698">
        <v>3</v>
      </c>
      <c r="C251" s="705" t="s">
        <v>1678</v>
      </c>
      <c r="D251" s="765">
        <v>0.25</v>
      </c>
      <c r="E251" s="775" t="s">
        <v>186</v>
      </c>
      <c r="F251" s="752">
        <v>1</v>
      </c>
      <c r="G251" s="775" t="s">
        <v>186</v>
      </c>
      <c r="H251" s="697">
        <v>500</v>
      </c>
      <c r="I251" s="715">
        <f>SUM(D251*H251/F251)</f>
        <v>125</v>
      </c>
    </row>
    <row r="252" spans="1:9">
      <c r="A252" s="701"/>
      <c r="B252" s="698"/>
      <c r="C252" s="714" t="s">
        <v>1722</v>
      </c>
      <c r="D252" s="762"/>
      <c r="E252" s="775"/>
      <c r="F252" s="752"/>
      <c r="G252" s="775"/>
      <c r="H252" s="697"/>
      <c r="I252" s="715">
        <f>SUM(I249:I251)</f>
        <v>386.5</v>
      </c>
    </row>
    <row r="253" spans="1:9" ht="45">
      <c r="A253" s="701"/>
      <c r="B253" s="698">
        <v>4</v>
      </c>
      <c r="C253" s="720" t="s">
        <v>1757</v>
      </c>
      <c r="D253" s="762">
        <v>1</v>
      </c>
      <c r="E253" s="776" t="s">
        <v>1670</v>
      </c>
      <c r="F253" s="752">
        <v>100</v>
      </c>
      <c r="G253" s="776" t="s">
        <v>1693</v>
      </c>
      <c r="H253" s="697">
        <v>950</v>
      </c>
      <c r="I253" s="715">
        <f>SUM(D253*H253/F253)</f>
        <v>9.5</v>
      </c>
    </row>
    <row r="254" spans="1:9">
      <c r="A254" s="701"/>
      <c r="B254" s="698">
        <v>5</v>
      </c>
      <c r="C254" s="714" t="s">
        <v>1679</v>
      </c>
      <c r="D254" s="764">
        <v>25</v>
      </c>
      <c r="E254" s="776" t="s">
        <v>206</v>
      </c>
      <c r="F254" s="752">
        <v>1</v>
      </c>
      <c r="G254" s="776" t="s">
        <v>206</v>
      </c>
      <c r="H254" s="697">
        <v>8</v>
      </c>
      <c r="I254" s="715">
        <f>SUM(D254*H254/F254)</f>
        <v>200</v>
      </c>
    </row>
    <row r="255" spans="1:9">
      <c r="A255" s="701"/>
      <c r="B255" s="698">
        <v>6</v>
      </c>
      <c r="C255" s="714" t="s">
        <v>1758</v>
      </c>
      <c r="D255" s="764">
        <v>1</v>
      </c>
      <c r="E255" s="776" t="s">
        <v>1749</v>
      </c>
      <c r="F255" s="752">
        <v>1</v>
      </c>
      <c r="G255" s="776" t="s">
        <v>1749</v>
      </c>
      <c r="H255" s="697">
        <v>15</v>
      </c>
      <c r="I255" s="715">
        <f>SUM(D255*H255/F255)</f>
        <v>15</v>
      </c>
    </row>
    <row r="256" spans="1:9">
      <c r="A256" s="701"/>
      <c r="B256" s="698"/>
      <c r="C256" s="714" t="s">
        <v>1736</v>
      </c>
      <c r="D256" s="762"/>
      <c r="E256" s="775"/>
      <c r="F256" s="752"/>
      <c r="G256" s="775"/>
      <c r="H256" s="697"/>
      <c r="I256" s="715">
        <f>SUM(I253:I255)</f>
        <v>224.5</v>
      </c>
    </row>
    <row r="257" spans="1:9">
      <c r="A257" s="701"/>
      <c r="B257" s="698"/>
      <c r="C257" s="699" t="s">
        <v>1734</v>
      </c>
      <c r="D257" s="762"/>
      <c r="E257" s="775"/>
      <c r="F257" s="752"/>
      <c r="G257" s="775"/>
      <c r="H257" s="697"/>
      <c r="I257" s="715"/>
    </row>
    <row r="258" spans="1:9" ht="33.75">
      <c r="A258" s="701"/>
      <c r="B258" s="698">
        <v>7</v>
      </c>
      <c r="C258" s="720" t="s">
        <v>1759</v>
      </c>
      <c r="D258" s="764">
        <v>1</v>
      </c>
      <c r="E258" s="776" t="s">
        <v>1667</v>
      </c>
      <c r="F258" s="752">
        <v>1</v>
      </c>
      <c r="G258" s="776" t="s">
        <v>1667</v>
      </c>
      <c r="H258" s="697">
        <v>1450</v>
      </c>
      <c r="I258" s="715">
        <f>SUM(D258*H258/F258)</f>
        <v>1450</v>
      </c>
    </row>
    <row r="259" spans="1:9">
      <c r="A259" s="701"/>
      <c r="B259" s="698"/>
      <c r="C259" s="714" t="s">
        <v>1738</v>
      </c>
      <c r="D259" s="762"/>
      <c r="E259" s="776"/>
      <c r="F259" s="752"/>
      <c r="G259" s="776"/>
      <c r="H259" s="710">
        <v>0.01</v>
      </c>
      <c r="I259" s="715">
        <f>SUM(I258*H259)</f>
        <v>14.5</v>
      </c>
    </row>
    <row r="260" spans="1:9">
      <c r="A260" s="701"/>
      <c r="B260" s="698"/>
      <c r="C260" s="714" t="s">
        <v>1739</v>
      </c>
      <c r="D260" s="762"/>
      <c r="E260" s="775"/>
      <c r="F260" s="752"/>
      <c r="G260" s="775"/>
      <c r="H260" s="697"/>
      <c r="I260" s="715">
        <f>SUM(I256:I259)</f>
        <v>1689</v>
      </c>
    </row>
    <row r="261" spans="1:9">
      <c r="A261" s="701"/>
      <c r="B261" s="698"/>
      <c r="C261" s="702" t="s">
        <v>1673</v>
      </c>
      <c r="D261" s="757"/>
      <c r="E261" s="781"/>
      <c r="F261" s="757"/>
      <c r="G261" s="781"/>
      <c r="H261" s="722">
        <f>I252+I260</f>
        <v>2075.5</v>
      </c>
      <c r="I261" s="709"/>
    </row>
    <row r="262" spans="1:9">
      <c r="A262" s="701"/>
      <c r="B262" s="698"/>
      <c r="C262" s="718" t="s">
        <v>1674</v>
      </c>
      <c r="D262" s="757"/>
      <c r="E262" s="781"/>
      <c r="F262" s="757"/>
      <c r="G262" s="781"/>
      <c r="H262" s="722">
        <v>0</v>
      </c>
      <c r="I262" s="709"/>
    </row>
    <row r="263" spans="1:9">
      <c r="A263" s="701"/>
      <c r="B263" s="698"/>
      <c r="C263" s="702" t="s">
        <v>1681</v>
      </c>
      <c r="D263" s="757"/>
      <c r="E263" s="781"/>
      <c r="F263" s="757"/>
      <c r="G263" s="781"/>
      <c r="H263" s="722"/>
      <c r="I263" s="725">
        <f>ROUND(H261+H262,0)</f>
        <v>2076</v>
      </c>
    </row>
    <row r="264" spans="1:9">
      <c r="A264" s="701"/>
      <c r="B264" s="698"/>
      <c r="C264" s="702"/>
      <c r="D264" s="757"/>
      <c r="E264" s="781"/>
      <c r="F264" s="757"/>
      <c r="G264" s="781"/>
      <c r="H264" s="722"/>
      <c r="I264" s="709"/>
    </row>
    <row r="265" spans="1:9">
      <c r="A265" s="701"/>
      <c r="B265" s="698"/>
      <c r="C265" s="702"/>
      <c r="D265" s="757"/>
      <c r="E265" s="781"/>
      <c r="F265" s="757"/>
      <c r="G265" s="781"/>
      <c r="H265" s="722"/>
      <c r="I265" s="709"/>
    </row>
    <row r="266" spans="1:9">
      <c r="A266" s="717"/>
      <c r="B266" s="793"/>
      <c r="C266" s="726"/>
      <c r="D266" s="754"/>
      <c r="E266" s="777"/>
      <c r="F266" s="754"/>
      <c r="G266" s="777"/>
      <c r="H266" s="717"/>
      <c r="I266" s="717"/>
    </row>
    <row r="267" spans="1:9" ht="56.25">
      <c r="A267" s="697" t="s">
        <v>1760</v>
      </c>
      <c r="B267" s="701">
        <v>16</v>
      </c>
      <c r="C267" s="699" t="s">
        <v>1761</v>
      </c>
      <c r="D267" s="750"/>
      <c r="E267" s="773"/>
      <c r="F267" s="750"/>
      <c r="G267" s="773"/>
      <c r="H267" s="699"/>
      <c r="I267" s="699"/>
    </row>
    <row r="268" spans="1:9">
      <c r="A268" s="701"/>
      <c r="B268" s="698"/>
      <c r="C268" s="714" t="s">
        <v>1733</v>
      </c>
      <c r="D268" s="762"/>
      <c r="E268" s="776"/>
      <c r="F268" s="752"/>
      <c r="G268" s="776"/>
      <c r="H268" s="697"/>
      <c r="I268" s="715"/>
    </row>
    <row r="269" spans="1:9">
      <c r="A269" s="701"/>
      <c r="B269" s="698">
        <v>1</v>
      </c>
      <c r="C269" s="705" t="s">
        <v>1661</v>
      </c>
      <c r="D269" s="762">
        <v>0.1</v>
      </c>
      <c r="E269" s="775" t="s">
        <v>186</v>
      </c>
      <c r="F269" s="752">
        <v>1</v>
      </c>
      <c r="G269" s="775" t="s">
        <v>186</v>
      </c>
      <c r="H269" s="697">
        <v>575</v>
      </c>
      <c r="I269" s="715">
        <f>SUM(D269*H269/F269)</f>
        <v>57.5</v>
      </c>
    </row>
    <row r="270" spans="1:9">
      <c r="A270" s="701"/>
      <c r="B270" s="698">
        <v>2</v>
      </c>
      <c r="C270" s="705" t="s">
        <v>1662</v>
      </c>
      <c r="D270" s="762">
        <v>0.1</v>
      </c>
      <c r="E270" s="775" t="s">
        <v>186</v>
      </c>
      <c r="F270" s="752">
        <v>1</v>
      </c>
      <c r="G270" s="775" t="s">
        <v>186</v>
      </c>
      <c r="H270" s="697">
        <v>471</v>
      </c>
      <c r="I270" s="715">
        <f>SUM(D270*H270/F270)</f>
        <v>47.1</v>
      </c>
    </row>
    <row r="271" spans="1:9">
      <c r="A271" s="701"/>
      <c r="B271" s="698"/>
      <c r="C271" s="714" t="s">
        <v>1722</v>
      </c>
      <c r="D271" s="762"/>
      <c r="E271" s="775"/>
      <c r="F271" s="752"/>
      <c r="G271" s="775"/>
      <c r="H271" s="697"/>
      <c r="I271" s="715">
        <f>SUM(I269:I270)</f>
        <v>104.6</v>
      </c>
    </row>
    <row r="272" spans="1:9">
      <c r="A272" s="701"/>
      <c r="B272" s="698"/>
      <c r="C272" s="699" t="s">
        <v>573</v>
      </c>
      <c r="D272" s="762"/>
      <c r="E272" s="775"/>
      <c r="F272" s="752"/>
      <c r="G272" s="775"/>
      <c r="H272" s="697"/>
      <c r="I272" s="715"/>
    </row>
    <row r="273" spans="1:9" ht="45">
      <c r="A273" s="701"/>
      <c r="B273" s="698">
        <v>3</v>
      </c>
      <c r="C273" s="720" t="s">
        <v>1757</v>
      </c>
      <c r="D273" s="762">
        <v>1</v>
      </c>
      <c r="E273" s="776" t="s">
        <v>1670</v>
      </c>
      <c r="F273" s="752">
        <v>100</v>
      </c>
      <c r="G273" s="776" t="s">
        <v>1693</v>
      </c>
      <c r="H273" s="697">
        <v>990</v>
      </c>
      <c r="I273" s="715">
        <f>SUM(D273*H273/F273)</f>
        <v>9.9</v>
      </c>
    </row>
    <row r="274" spans="1:9">
      <c r="A274" s="701"/>
      <c r="B274" s="698"/>
      <c r="C274" s="714" t="s">
        <v>1762</v>
      </c>
      <c r="D274" s="762"/>
      <c r="E274" s="775"/>
      <c r="F274" s="752"/>
      <c r="G274" s="775"/>
      <c r="H274" s="697"/>
      <c r="I274" s="715">
        <f>SUM(I273:I273)</f>
        <v>9.9</v>
      </c>
    </row>
    <row r="275" spans="1:9" ht="56.25">
      <c r="A275" s="701"/>
      <c r="B275" s="698">
        <v>6</v>
      </c>
      <c r="C275" s="720" t="s">
        <v>1763</v>
      </c>
      <c r="D275" s="764">
        <v>1</v>
      </c>
      <c r="E275" s="776" t="s">
        <v>1667</v>
      </c>
      <c r="F275" s="752">
        <v>1</v>
      </c>
      <c r="G275" s="776" t="s">
        <v>1667</v>
      </c>
      <c r="H275" s="697">
        <v>290</v>
      </c>
      <c r="I275" s="715">
        <f>SUM(D275*H275/F275)</f>
        <v>290</v>
      </c>
    </row>
    <row r="276" spans="1:9">
      <c r="A276" s="701"/>
      <c r="B276" s="698"/>
      <c r="C276" s="714" t="s">
        <v>1724</v>
      </c>
      <c r="D276" s="762"/>
      <c r="E276" s="779"/>
      <c r="F276" s="752"/>
      <c r="G276" s="776"/>
      <c r="H276" s="697"/>
      <c r="I276" s="715">
        <f>SUM(I274:I275)</f>
        <v>299.89999999999998</v>
      </c>
    </row>
    <row r="277" spans="1:9">
      <c r="A277" s="701"/>
      <c r="B277" s="698"/>
      <c r="C277" s="702" t="s">
        <v>1673</v>
      </c>
      <c r="D277" s="757"/>
      <c r="E277" s="781"/>
      <c r="F277" s="757"/>
      <c r="G277" s="781"/>
      <c r="H277" s="722">
        <f>I271+I276</f>
        <v>404.5</v>
      </c>
      <c r="I277" s="709"/>
    </row>
    <row r="278" spans="1:9">
      <c r="A278" s="701"/>
      <c r="B278" s="698"/>
      <c r="C278" s="718" t="s">
        <v>1674</v>
      </c>
      <c r="D278" s="757"/>
      <c r="E278" s="781"/>
      <c r="F278" s="757"/>
      <c r="G278" s="781"/>
      <c r="H278" s="722">
        <v>0</v>
      </c>
      <c r="I278" s="709"/>
    </row>
    <row r="279" spans="1:9">
      <c r="A279" s="701"/>
      <c r="B279" s="698"/>
      <c r="C279" s="702" t="s">
        <v>1681</v>
      </c>
      <c r="D279" s="757"/>
      <c r="E279" s="781"/>
      <c r="F279" s="757"/>
      <c r="G279" s="781"/>
      <c r="H279" s="722"/>
      <c r="I279" s="725">
        <f>ROUNDUP(H277+H278,0)</f>
        <v>405</v>
      </c>
    </row>
    <row r="280" spans="1:9">
      <c r="A280" s="701"/>
      <c r="B280" s="698"/>
      <c r="C280" s="702"/>
      <c r="D280" s="757"/>
      <c r="E280" s="781"/>
      <c r="F280" s="757"/>
      <c r="G280" s="781"/>
      <c r="H280" s="722"/>
      <c r="I280" s="709"/>
    </row>
    <row r="281" spans="1:9" ht="45">
      <c r="A281" s="697" t="s">
        <v>1764</v>
      </c>
      <c r="B281" s="701">
        <v>17</v>
      </c>
      <c r="C281" s="714" t="s">
        <v>1765</v>
      </c>
      <c r="D281" s="750"/>
      <c r="E281" s="773"/>
      <c r="F281" s="750"/>
      <c r="G281" s="773"/>
      <c r="H281" s="699"/>
      <c r="I281" s="699"/>
    </row>
    <row r="282" spans="1:9" ht="22.5">
      <c r="A282" s="701"/>
      <c r="B282" s="701"/>
      <c r="C282" s="699" t="s">
        <v>1766</v>
      </c>
      <c r="D282" s="750"/>
      <c r="E282" s="773"/>
      <c r="F282" s="750"/>
      <c r="G282" s="773"/>
      <c r="H282" s="699"/>
      <c r="I282" s="699"/>
    </row>
    <row r="283" spans="1:9" ht="22.5">
      <c r="A283" s="701"/>
      <c r="B283" s="701"/>
      <c r="C283" s="699" t="s">
        <v>1767</v>
      </c>
      <c r="D283" s="750"/>
      <c r="E283" s="773"/>
      <c r="F283" s="750"/>
      <c r="G283" s="773"/>
      <c r="H283" s="699"/>
      <c r="I283" s="699"/>
    </row>
    <row r="284" spans="1:9">
      <c r="A284" s="701"/>
      <c r="B284" s="698"/>
      <c r="C284" s="714" t="s">
        <v>1768</v>
      </c>
      <c r="D284" s="762"/>
      <c r="E284" s="776"/>
      <c r="F284" s="752"/>
      <c r="G284" s="776"/>
      <c r="H284" s="697"/>
      <c r="I284" s="715"/>
    </row>
    <row r="285" spans="1:9">
      <c r="A285" s="701"/>
      <c r="B285" s="698"/>
      <c r="C285" s="705" t="s">
        <v>1661</v>
      </c>
      <c r="D285" s="762">
        <v>0.25</v>
      </c>
      <c r="E285" s="775" t="s">
        <v>186</v>
      </c>
      <c r="F285" s="752">
        <v>1</v>
      </c>
      <c r="G285" s="775" t="s">
        <v>186</v>
      </c>
      <c r="H285" s="697">
        <v>575</v>
      </c>
      <c r="I285" s="715">
        <f>SUM(D285*H285/F285)</f>
        <v>143.75</v>
      </c>
    </row>
    <row r="286" spans="1:9">
      <c r="A286" s="701"/>
      <c r="B286" s="698"/>
      <c r="C286" s="705" t="s">
        <v>1662</v>
      </c>
      <c r="D286" s="762">
        <v>0.25</v>
      </c>
      <c r="E286" s="775" t="s">
        <v>186</v>
      </c>
      <c r="F286" s="752">
        <v>1</v>
      </c>
      <c r="G286" s="775" t="s">
        <v>186</v>
      </c>
      <c r="H286" s="697">
        <v>471</v>
      </c>
      <c r="I286" s="715">
        <f>SUM(D286*H286/F286)</f>
        <v>117.75</v>
      </c>
    </row>
    <row r="287" spans="1:9">
      <c r="A287" s="701"/>
      <c r="B287" s="698"/>
      <c r="C287" s="705" t="s">
        <v>1663</v>
      </c>
      <c r="D287" s="762">
        <v>0.25</v>
      </c>
      <c r="E287" s="775" t="s">
        <v>186</v>
      </c>
      <c r="F287" s="752">
        <v>1</v>
      </c>
      <c r="G287" s="775" t="s">
        <v>186</v>
      </c>
      <c r="H287" s="697">
        <v>420</v>
      </c>
      <c r="I287" s="704">
        <f>SUM(D287*H287/F287)</f>
        <v>105</v>
      </c>
    </row>
    <row r="288" spans="1:9">
      <c r="A288" s="701"/>
      <c r="B288" s="698"/>
      <c r="C288" s="714" t="s">
        <v>1722</v>
      </c>
      <c r="D288" s="762"/>
      <c r="E288" s="775"/>
      <c r="F288" s="752"/>
      <c r="G288" s="775"/>
      <c r="H288" s="697"/>
      <c r="I288" s="715">
        <f>SUM(I285:I287)</f>
        <v>366.5</v>
      </c>
    </row>
    <row r="289" spans="1:9">
      <c r="A289" s="701"/>
      <c r="B289" s="698"/>
      <c r="C289" s="699" t="s">
        <v>573</v>
      </c>
      <c r="D289" s="762"/>
      <c r="E289" s="775"/>
      <c r="F289" s="752"/>
      <c r="G289" s="775"/>
      <c r="H289" s="697"/>
      <c r="I289" s="715"/>
    </row>
    <row r="290" spans="1:9" ht="33.75">
      <c r="A290" s="701"/>
      <c r="B290" s="698"/>
      <c r="C290" s="720" t="s">
        <v>1769</v>
      </c>
      <c r="D290" s="764">
        <v>1</v>
      </c>
      <c r="E290" s="776" t="s">
        <v>95</v>
      </c>
      <c r="F290" s="752">
        <v>1</v>
      </c>
      <c r="G290" s="776" t="s">
        <v>1667</v>
      </c>
      <c r="H290" s="697">
        <v>700</v>
      </c>
      <c r="I290" s="715">
        <f>SUM(D290*H290/F290)</f>
        <v>700</v>
      </c>
    </row>
    <row r="291" spans="1:9" ht="33.75">
      <c r="A291" s="701"/>
      <c r="B291" s="698"/>
      <c r="C291" s="720" t="s">
        <v>1770</v>
      </c>
      <c r="D291" s="764">
        <v>1</v>
      </c>
      <c r="E291" s="776" t="s">
        <v>95</v>
      </c>
      <c r="F291" s="752">
        <v>1</v>
      </c>
      <c r="G291" s="776" t="s">
        <v>1667</v>
      </c>
      <c r="H291" s="697">
        <v>160</v>
      </c>
      <c r="I291" s="715">
        <f>SUM(D291*H291/F291)</f>
        <v>160</v>
      </c>
    </row>
    <row r="292" spans="1:9">
      <c r="A292" s="701"/>
      <c r="B292" s="698"/>
      <c r="C292" s="714" t="s">
        <v>1771</v>
      </c>
      <c r="D292" s="762"/>
      <c r="E292" s="775"/>
      <c r="F292" s="752"/>
      <c r="G292" s="775"/>
      <c r="H292" s="697"/>
      <c r="I292" s="715">
        <f>SUM(I290:I291)</f>
        <v>860</v>
      </c>
    </row>
    <row r="293" spans="1:9">
      <c r="A293" s="701"/>
      <c r="B293" s="698"/>
      <c r="C293" s="702" t="s">
        <v>1673</v>
      </c>
      <c r="D293" s="762"/>
      <c r="E293" s="775"/>
      <c r="F293" s="752"/>
      <c r="G293" s="775"/>
      <c r="H293" s="722">
        <f>I288+I292</f>
        <v>1226.5</v>
      </c>
      <c r="I293" s="715"/>
    </row>
    <row r="294" spans="1:9">
      <c r="A294" s="701"/>
      <c r="B294" s="698"/>
      <c r="C294" s="718" t="s">
        <v>1674</v>
      </c>
      <c r="D294" s="762"/>
      <c r="E294" s="775"/>
      <c r="F294" s="752"/>
      <c r="G294" s="775"/>
      <c r="H294" s="722">
        <v>0</v>
      </c>
      <c r="I294" s="715"/>
    </row>
    <row r="295" spans="1:9">
      <c r="A295" s="701"/>
      <c r="B295" s="698"/>
      <c r="C295" s="702" t="s">
        <v>1681</v>
      </c>
      <c r="D295" s="762"/>
      <c r="E295" s="775"/>
      <c r="F295" s="752"/>
      <c r="G295" s="775"/>
      <c r="H295" s="722"/>
      <c r="I295" s="715">
        <f>ROUND(H293+H294,0)</f>
        <v>1227</v>
      </c>
    </row>
    <row r="296" spans="1:9">
      <c r="A296" s="717"/>
      <c r="B296" s="793"/>
      <c r="C296" s="717"/>
      <c r="D296" s="754"/>
      <c r="E296" s="777"/>
      <c r="F296" s="754"/>
      <c r="G296" s="777"/>
      <c r="H296" s="717"/>
      <c r="I296" s="717"/>
    </row>
    <row r="297" spans="1:9" ht="67.5">
      <c r="A297" s="697" t="s">
        <v>1772</v>
      </c>
      <c r="B297" s="701">
        <v>18</v>
      </c>
      <c r="C297" s="714" t="s">
        <v>1773</v>
      </c>
      <c r="D297" s="750"/>
      <c r="E297" s="773"/>
      <c r="F297" s="750"/>
      <c r="G297" s="773"/>
      <c r="H297" s="699"/>
      <c r="I297" s="699"/>
    </row>
    <row r="298" spans="1:9" ht="22.5">
      <c r="A298" s="701"/>
      <c r="B298" s="701"/>
      <c r="C298" s="720" t="s">
        <v>1774</v>
      </c>
      <c r="D298" s="750"/>
      <c r="E298" s="773"/>
      <c r="F298" s="750"/>
      <c r="G298" s="773"/>
      <c r="H298" s="699"/>
      <c r="I298" s="699"/>
    </row>
    <row r="299" spans="1:9" ht="33.75">
      <c r="A299" s="701"/>
      <c r="B299" s="701"/>
      <c r="C299" s="720" t="s">
        <v>1775</v>
      </c>
      <c r="D299" s="750"/>
      <c r="E299" s="773"/>
      <c r="F299" s="750"/>
      <c r="G299" s="773"/>
      <c r="H299" s="699"/>
      <c r="I299" s="699"/>
    </row>
    <row r="300" spans="1:9" ht="33.75">
      <c r="A300" s="701"/>
      <c r="B300" s="701"/>
      <c r="C300" s="720" t="s">
        <v>1776</v>
      </c>
      <c r="D300" s="750"/>
      <c r="E300" s="773"/>
      <c r="F300" s="750"/>
      <c r="G300" s="773"/>
      <c r="H300" s="699"/>
      <c r="I300" s="699"/>
    </row>
    <row r="301" spans="1:9">
      <c r="A301" s="701"/>
      <c r="B301" s="698"/>
      <c r="C301" s="714" t="s">
        <v>1777</v>
      </c>
      <c r="D301" s="762"/>
      <c r="E301" s="776"/>
      <c r="F301" s="752"/>
      <c r="G301" s="776"/>
      <c r="H301" s="697"/>
      <c r="I301" s="715"/>
    </row>
    <row r="302" spans="1:9">
      <c r="A302" s="701"/>
      <c r="B302" s="698">
        <v>1</v>
      </c>
      <c r="C302" s="705" t="s">
        <v>1661</v>
      </c>
      <c r="D302" s="762">
        <v>1</v>
      </c>
      <c r="E302" s="775" t="s">
        <v>186</v>
      </c>
      <c r="F302" s="752">
        <v>1</v>
      </c>
      <c r="G302" s="775" t="s">
        <v>186</v>
      </c>
      <c r="H302" s="697">
        <v>575</v>
      </c>
      <c r="I302" s="715">
        <f>SUM(D302*H302/F302)</f>
        <v>575</v>
      </c>
    </row>
    <row r="303" spans="1:9">
      <c r="A303" s="701"/>
      <c r="B303" s="698">
        <v>2</v>
      </c>
      <c r="C303" s="705" t="s">
        <v>1662</v>
      </c>
      <c r="D303" s="762">
        <v>2</v>
      </c>
      <c r="E303" s="775" t="s">
        <v>186</v>
      </c>
      <c r="F303" s="752">
        <v>1</v>
      </c>
      <c r="G303" s="775" t="s">
        <v>186</v>
      </c>
      <c r="H303" s="697">
        <v>471</v>
      </c>
      <c r="I303" s="715">
        <f>SUM(D303*H303/F303)</f>
        <v>942</v>
      </c>
    </row>
    <row r="304" spans="1:9">
      <c r="A304" s="701"/>
      <c r="B304" s="698">
        <v>3</v>
      </c>
      <c r="C304" s="705" t="s">
        <v>1663</v>
      </c>
      <c r="D304" s="762">
        <v>2</v>
      </c>
      <c r="E304" s="775" t="s">
        <v>186</v>
      </c>
      <c r="F304" s="752">
        <v>1</v>
      </c>
      <c r="G304" s="775" t="s">
        <v>186</v>
      </c>
      <c r="H304" s="697">
        <v>420</v>
      </c>
      <c r="I304" s="704">
        <f>SUM(D304*H304/F304)</f>
        <v>840</v>
      </c>
    </row>
    <row r="305" spans="1:9">
      <c r="A305" s="701"/>
      <c r="B305" s="698">
        <v>4</v>
      </c>
      <c r="C305" s="714" t="s">
        <v>1678</v>
      </c>
      <c r="D305" s="762">
        <v>0.45</v>
      </c>
      <c r="E305" s="775" t="s">
        <v>186</v>
      </c>
      <c r="F305" s="752">
        <v>1</v>
      </c>
      <c r="G305" s="775" t="s">
        <v>186</v>
      </c>
      <c r="H305" s="697">
        <v>500</v>
      </c>
      <c r="I305" s="715">
        <f>SUM(D305*H305/F305)</f>
        <v>225</v>
      </c>
    </row>
    <row r="306" spans="1:9">
      <c r="A306" s="701"/>
      <c r="B306" s="698"/>
      <c r="C306" s="714" t="s">
        <v>1722</v>
      </c>
      <c r="D306" s="762"/>
      <c r="E306" s="775"/>
      <c r="F306" s="752"/>
      <c r="G306" s="775"/>
      <c r="H306" s="697"/>
      <c r="I306" s="715">
        <f>SUM(I302:I305)</f>
        <v>2582</v>
      </c>
    </row>
    <row r="307" spans="1:9">
      <c r="A307" s="701"/>
      <c r="B307" s="698"/>
      <c r="C307" s="699" t="s">
        <v>573</v>
      </c>
      <c r="D307" s="762"/>
      <c r="E307" s="775"/>
      <c r="F307" s="752"/>
      <c r="G307" s="775"/>
      <c r="H307" s="697"/>
      <c r="I307" s="715"/>
    </row>
    <row r="308" spans="1:9">
      <c r="A308" s="701"/>
      <c r="B308" s="698"/>
      <c r="C308" s="714" t="s">
        <v>1679</v>
      </c>
      <c r="D308" s="762">
        <v>12.5</v>
      </c>
      <c r="E308" s="776" t="s">
        <v>206</v>
      </c>
      <c r="F308" s="752">
        <v>1</v>
      </c>
      <c r="G308" s="776" t="s">
        <v>206</v>
      </c>
      <c r="H308" s="697">
        <v>8</v>
      </c>
      <c r="I308" s="715">
        <f>SUM(D308*H308/F308)</f>
        <v>100</v>
      </c>
    </row>
    <row r="309" spans="1:9" ht="56.25">
      <c r="A309" s="701"/>
      <c r="B309" s="701">
        <v>4</v>
      </c>
      <c r="C309" s="699" t="s">
        <v>1778</v>
      </c>
      <c r="D309" s="758">
        <v>1</v>
      </c>
      <c r="E309" s="773" t="s">
        <v>95</v>
      </c>
      <c r="F309" s="758">
        <v>1</v>
      </c>
      <c r="G309" s="773" t="s">
        <v>1667</v>
      </c>
      <c r="H309" s="703">
        <v>3300</v>
      </c>
      <c r="I309" s="706">
        <f>SUM(D309*H309/F309)</f>
        <v>3300</v>
      </c>
    </row>
    <row r="310" spans="1:9" ht="45">
      <c r="A310" s="701"/>
      <c r="B310" s="698">
        <v>5</v>
      </c>
      <c r="C310" s="720" t="s">
        <v>1779</v>
      </c>
      <c r="D310" s="764">
        <v>1</v>
      </c>
      <c r="E310" s="776" t="s">
        <v>95</v>
      </c>
      <c r="F310" s="752">
        <v>1</v>
      </c>
      <c r="G310" s="776" t="s">
        <v>1667</v>
      </c>
      <c r="H310" s="697">
        <v>710</v>
      </c>
      <c r="I310" s="715">
        <f>SUM(D310*H310/F310)</f>
        <v>710</v>
      </c>
    </row>
    <row r="311" spans="1:9" ht="56.25">
      <c r="A311" s="701"/>
      <c r="B311" s="698">
        <v>6</v>
      </c>
      <c r="C311" s="720" t="s">
        <v>1780</v>
      </c>
      <c r="D311" s="764">
        <v>24</v>
      </c>
      <c r="E311" s="776" t="s">
        <v>95</v>
      </c>
      <c r="F311" s="752">
        <v>1</v>
      </c>
      <c r="G311" s="776" t="s">
        <v>1667</v>
      </c>
      <c r="H311" s="697">
        <v>160</v>
      </c>
      <c r="I311" s="715">
        <f>SUM(D311*H311/F311)</f>
        <v>3840</v>
      </c>
    </row>
    <row r="312" spans="1:9">
      <c r="A312" s="701"/>
      <c r="B312" s="698"/>
      <c r="C312" s="714" t="s">
        <v>1771</v>
      </c>
      <c r="D312" s="762"/>
      <c r="E312" s="779"/>
      <c r="F312" s="752"/>
      <c r="G312" s="776"/>
      <c r="H312" s="697"/>
      <c r="I312" s="715">
        <f>SUM(I308:I311)</f>
        <v>7950</v>
      </c>
    </row>
    <row r="313" spans="1:9">
      <c r="A313" s="701"/>
      <c r="B313" s="708"/>
      <c r="C313" s="702" t="s">
        <v>1673</v>
      </c>
      <c r="D313" s="767"/>
      <c r="E313" s="785"/>
      <c r="F313" s="753"/>
      <c r="G313" s="778"/>
      <c r="H313" s="722">
        <f>I306+I312</f>
        <v>10532</v>
      </c>
      <c r="I313" s="716"/>
    </row>
    <row r="314" spans="1:9">
      <c r="A314" s="701"/>
      <c r="B314" s="708"/>
      <c r="C314" s="718" t="s">
        <v>1674</v>
      </c>
      <c r="D314" s="767"/>
      <c r="E314" s="785"/>
      <c r="F314" s="753"/>
      <c r="G314" s="778"/>
      <c r="H314" s="722">
        <v>0</v>
      </c>
      <c r="I314" s="716"/>
    </row>
    <row r="315" spans="1:9">
      <c r="A315" s="701"/>
      <c r="B315" s="708"/>
      <c r="C315" s="702" t="s">
        <v>1681</v>
      </c>
      <c r="D315" s="767"/>
      <c r="E315" s="785"/>
      <c r="F315" s="753"/>
      <c r="G315" s="778"/>
      <c r="H315" s="722"/>
      <c r="I315" s="716">
        <f>ROUND(H313+H314,0)</f>
        <v>10532</v>
      </c>
    </row>
    <row r="316" spans="1:9">
      <c r="A316" s="701"/>
      <c r="B316" s="708"/>
      <c r="C316" s="702"/>
      <c r="D316" s="767"/>
      <c r="E316" s="785"/>
      <c r="F316" s="753"/>
      <c r="G316" s="778"/>
      <c r="H316" s="722"/>
      <c r="I316" s="716"/>
    </row>
    <row r="317" spans="1:9">
      <c r="A317" s="717"/>
      <c r="B317" s="793"/>
      <c r="C317" s="717"/>
      <c r="D317" s="754"/>
      <c r="E317" s="777"/>
      <c r="F317" s="754"/>
      <c r="G317" s="777"/>
      <c r="H317" s="717"/>
      <c r="I317" s="717"/>
    </row>
    <row r="318" spans="1:9" ht="45" hidden="1">
      <c r="A318" s="697" t="s">
        <v>1781</v>
      </c>
      <c r="B318" s="701">
        <v>18</v>
      </c>
      <c r="C318" s="699" t="s">
        <v>1782</v>
      </c>
      <c r="D318" s="749"/>
      <c r="E318" s="772"/>
      <c r="F318" s="749"/>
      <c r="G318" s="772"/>
      <c r="H318" s="723"/>
      <c r="I318" s="715"/>
    </row>
    <row r="319" spans="1:9" ht="22.5" hidden="1">
      <c r="A319" s="697"/>
      <c r="B319" s="698"/>
      <c r="C319" s="714" t="s">
        <v>1783</v>
      </c>
      <c r="D319" s="762"/>
      <c r="E319" s="776"/>
      <c r="F319" s="752"/>
      <c r="G319" s="776"/>
      <c r="H319" s="697">
        <v>274.3</v>
      </c>
      <c r="I319" s="715"/>
    </row>
    <row r="320" spans="1:9" hidden="1">
      <c r="A320" s="697"/>
      <c r="B320" s="698"/>
      <c r="C320" s="714" t="s">
        <v>1660</v>
      </c>
      <c r="D320" s="762"/>
      <c r="E320" s="776"/>
      <c r="F320" s="752"/>
      <c r="G320" s="776"/>
      <c r="H320" s="697"/>
      <c r="I320" s="715"/>
    </row>
    <row r="321" spans="1:9" hidden="1">
      <c r="A321" s="697"/>
      <c r="B321" s="698">
        <v>1</v>
      </c>
      <c r="C321" s="705" t="s">
        <v>1661</v>
      </c>
      <c r="D321" s="762">
        <v>2</v>
      </c>
      <c r="E321" s="775" t="s">
        <v>186</v>
      </c>
      <c r="F321" s="752">
        <v>1</v>
      </c>
      <c r="G321" s="775" t="s">
        <v>186</v>
      </c>
      <c r="H321" s="697">
        <v>575</v>
      </c>
      <c r="I321" s="715">
        <f>SUM(D321*H321/F321)</f>
        <v>1150</v>
      </c>
    </row>
    <row r="322" spans="1:9" hidden="1">
      <c r="A322" s="697"/>
      <c r="B322" s="698">
        <v>2</v>
      </c>
      <c r="C322" s="705" t="s">
        <v>1662</v>
      </c>
      <c r="D322" s="762">
        <v>5.5</v>
      </c>
      <c r="E322" s="775" t="s">
        <v>186</v>
      </c>
      <c r="F322" s="752">
        <v>1</v>
      </c>
      <c r="G322" s="775" t="s">
        <v>186</v>
      </c>
      <c r="H322" s="697">
        <v>471</v>
      </c>
      <c r="I322" s="715">
        <f>SUM(D322*H322/F322)</f>
        <v>2590.5</v>
      </c>
    </row>
    <row r="323" spans="1:9" hidden="1">
      <c r="A323" s="697"/>
      <c r="B323" s="698">
        <v>3</v>
      </c>
      <c r="C323" s="705" t="s">
        <v>1663</v>
      </c>
      <c r="D323" s="762">
        <v>2</v>
      </c>
      <c r="E323" s="775" t="s">
        <v>186</v>
      </c>
      <c r="F323" s="752">
        <v>1</v>
      </c>
      <c r="G323" s="775" t="s">
        <v>186</v>
      </c>
      <c r="H323" s="697">
        <v>420</v>
      </c>
      <c r="I323" s="715">
        <f>SUM(D323*H323/F323)</f>
        <v>840</v>
      </c>
    </row>
    <row r="324" spans="1:9" hidden="1">
      <c r="A324" s="697"/>
      <c r="B324" s="698"/>
      <c r="C324" s="714" t="s">
        <v>1708</v>
      </c>
      <c r="D324" s="762"/>
      <c r="E324" s="775"/>
      <c r="F324" s="752"/>
      <c r="G324" s="775"/>
      <c r="H324" s="697"/>
      <c r="I324" s="715">
        <f>SUM(I321:I323)</f>
        <v>4580.5</v>
      </c>
    </row>
    <row r="325" spans="1:9" hidden="1">
      <c r="A325" s="697"/>
      <c r="B325" s="698"/>
      <c r="C325" s="714" t="s">
        <v>1709</v>
      </c>
      <c r="D325" s="764"/>
      <c r="E325" s="775"/>
      <c r="F325" s="752"/>
      <c r="G325" s="775"/>
      <c r="H325" s="697"/>
      <c r="I325" s="715">
        <f>SUM(I324/100)</f>
        <v>45.805</v>
      </c>
    </row>
    <row r="326" spans="1:9" hidden="1">
      <c r="A326" s="697"/>
      <c r="B326" s="698"/>
      <c r="C326" s="699" t="s">
        <v>573</v>
      </c>
      <c r="D326" s="762"/>
      <c r="E326" s="775"/>
      <c r="F326" s="752"/>
      <c r="G326" s="775"/>
      <c r="H326" s="697"/>
      <c r="I326" s="715"/>
    </row>
    <row r="327" spans="1:9" ht="45" hidden="1">
      <c r="A327" s="697"/>
      <c r="B327" s="698">
        <v>4</v>
      </c>
      <c r="C327" s="720" t="s">
        <v>1784</v>
      </c>
      <c r="D327" s="762">
        <v>400</v>
      </c>
      <c r="E327" s="776" t="s">
        <v>1693</v>
      </c>
      <c r="F327" s="752">
        <v>100</v>
      </c>
      <c r="G327" s="776" t="s">
        <v>1693</v>
      </c>
      <c r="H327" s="697">
        <v>5700</v>
      </c>
      <c r="I327" s="715">
        <f>SUM(D327*H327/F327)</f>
        <v>22800</v>
      </c>
    </row>
    <row r="328" spans="1:9" ht="45" hidden="1">
      <c r="A328" s="697"/>
      <c r="B328" s="698">
        <v>5</v>
      </c>
      <c r="C328" s="720" t="s">
        <v>1785</v>
      </c>
      <c r="D328" s="762">
        <v>100</v>
      </c>
      <c r="E328" s="776" t="s">
        <v>1693</v>
      </c>
      <c r="F328" s="752">
        <v>100</v>
      </c>
      <c r="G328" s="776" t="s">
        <v>1693</v>
      </c>
      <c r="H328" s="703">
        <v>2400</v>
      </c>
      <c r="I328" s="715">
        <f>SUM(D328*H328/F328)</f>
        <v>2400</v>
      </c>
    </row>
    <row r="329" spans="1:9" hidden="1">
      <c r="A329" s="697"/>
      <c r="B329" s="698"/>
      <c r="C329" s="714" t="s">
        <v>1711</v>
      </c>
      <c r="D329" s="762"/>
      <c r="E329" s="776"/>
      <c r="F329" s="752"/>
      <c r="G329" s="776"/>
      <c r="H329" s="697"/>
      <c r="I329" s="715">
        <f>SUM(I327:I328)</f>
        <v>25200</v>
      </c>
    </row>
    <row r="330" spans="1:9" hidden="1">
      <c r="A330" s="697"/>
      <c r="B330" s="698"/>
      <c r="C330" s="714" t="s">
        <v>1712</v>
      </c>
      <c r="D330" s="762"/>
      <c r="E330" s="776"/>
      <c r="F330" s="752"/>
      <c r="G330" s="776"/>
      <c r="H330" s="697"/>
      <c r="I330" s="715">
        <f>SUM(I329/100)</f>
        <v>252</v>
      </c>
    </row>
    <row r="331" spans="1:9" hidden="1">
      <c r="A331" s="697"/>
      <c r="B331" s="698"/>
      <c r="C331" s="702" t="s">
        <v>1673</v>
      </c>
      <c r="D331" s="762"/>
      <c r="E331" s="779"/>
      <c r="F331" s="752"/>
      <c r="G331" s="776"/>
      <c r="H331" s="722">
        <f>I325+I330</f>
        <v>297.80500000000001</v>
      </c>
      <c r="I331" s="715"/>
    </row>
    <row r="332" spans="1:9" hidden="1">
      <c r="A332" s="697"/>
      <c r="B332" s="698"/>
      <c r="C332" s="718" t="s">
        <v>1674</v>
      </c>
      <c r="D332" s="762"/>
      <c r="E332" s="779"/>
      <c r="F332" s="752"/>
      <c r="G332" s="776"/>
      <c r="H332" s="722">
        <v>0</v>
      </c>
      <c r="I332" s="715"/>
    </row>
    <row r="333" spans="1:9" hidden="1">
      <c r="A333" s="697"/>
      <c r="B333" s="698"/>
      <c r="C333" s="702" t="s">
        <v>1681</v>
      </c>
      <c r="D333" s="762"/>
      <c r="E333" s="779"/>
      <c r="F333" s="752"/>
      <c r="G333" s="776"/>
      <c r="H333" s="722"/>
      <c r="I333" s="715">
        <f>ROUNDDOWN(H331+H332,1)</f>
        <v>297.8</v>
      </c>
    </row>
    <row r="334" spans="1:9">
      <c r="A334" s="717"/>
      <c r="B334" s="793"/>
      <c r="C334" s="717"/>
      <c r="D334" s="754"/>
      <c r="E334" s="777"/>
      <c r="F334" s="754"/>
      <c r="G334" s="777"/>
      <c r="H334" s="717"/>
      <c r="I334" s="717"/>
    </row>
    <row r="335" spans="1:9" ht="90">
      <c r="A335" s="697" t="s">
        <v>1786</v>
      </c>
      <c r="B335" s="698">
        <v>19</v>
      </c>
      <c r="C335" s="699" t="s">
        <v>1787</v>
      </c>
      <c r="D335" s="756"/>
      <c r="E335" s="779"/>
      <c r="F335" s="756"/>
      <c r="G335" s="779"/>
      <c r="H335" s="714"/>
      <c r="I335" s="714"/>
    </row>
    <row r="336" spans="1:9">
      <c r="A336" s="698"/>
      <c r="B336" s="698"/>
      <c r="C336" s="724" t="s">
        <v>1788</v>
      </c>
      <c r="D336" s="768"/>
      <c r="E336" s="782"/>
      <c r="F336" s="752"/>
      <c r="G336" s="782"/>
      <c r="H336" s="697"/>
      <c r="I336" s="715"/>
    </row>
    <row r="337" spans="1:9">
      <c r="A337" s="698"/>
      <c r="B337" s="698">
        <v>1</v>
      </c>
      <c r="C337" s="705" t="s">
        <v>1662</v>
      </c>
      <c r="D337" s="762">
        <v>0.5</v>
      </c>
      <c r="E337" s="776" t="s">
        <v>95</v>
      </c>
      <c r="F337" s="752">
        <v>1</v>
      </c>
      <c r="G337" s="776" t="s">
        <v>1667</v>
      </c>
      <c r="H337" s="697">
        <v>471</v>
      </c>
      <c r="I337" s="715">
        <f>SUM(D337*H337/F337)</f>
        <v>235.5</v>
      </c>
    </row>
    <row r="338" spans="1:9">
      <c r="A338" s="698"/>
      <c r="B338" s="698">
        <v>2</v>
      </c>
      <c r="C338" s="705" t="s">
        <v>1663</v>
      </c>
      <c r="D338" s="762">
        <v>0.5</v>
      </c>
      <c r="E338" s="775" t="s">
        <v>186</v>
      </c>
      <c r="F338" s="752">
        <v>1</v>
      </c>
      <c r="G338" s="775" t="s">
        <v>186</v>
      </c>
      <c r="H338" s="697">
        <v>420</v>
      </c>
      <c r="I338" s="704">
        <f>SUM(D338*H338/F338)</f>
        <v>210</v>
      </c>
    </row>
    <row r="339" spans="1:9">
      <c r="A339" s="698"/>
      <c r="B339" s="698"/>
      <c r="C339" s="714" t="s">
        <v>1789</v>
      </c>
      <c r="D339" s="765"/>
      <c r="E339" s="775"/>
      <c r="F339" s="752"/>
      <c r="G339" s="775"/>
      <c r="H339" s="697"/>
      <c r="I339" s="715">
        <f>SUM(I337:I338)</f>
        <v>445.5</v>
      </c>
    </row>
    <row r="340" spans="1:9">
      <c r="A340" s="698"/>
      <c r="B340" s="698"/>
      <c r="C340" s="699" t="s">
        <v>1790</v>
      </c>
      <c r="D340" s="762"/>
      <c r="E340" s="776"/>
      <c r="F340" s="752"/>
      <c r="G340" s="776"/>
      <c r="H340" s="697"/>
      <c r="I340" s="715"/>
    </row>
    <row r="341" spans="1:9">
      <c r="A341" s="698"/>
      <c r="B341" s="698">
        <v>3</v>
      </c>
      <c r="C341" s="705" t="s">
        <v>1791</v>
      </c>
      <c r="D341" s="762">
        <v>2.5</v>
      </c>
      <c r="E341" s="782" t="s">
        <v>1670</v>
      </c>
      <c r="F341" s="752">
        <v>1</v>
      </c>
      <c r="G341" s="782" t="s">
        <v>1670</v>
      </c>
      <c r="H341" s="697">
        <v>350</v>
      </c>
      <c r="I341" s="715">
        <f>SUM(D341*H341/F341)</f>
        <v>875</v>
      </c>
    </row>
    <row r="342" spans="1:9">
      <c r="A342" s="698"/>
      <c r="B342" s="698">
        <v>4</v>
      </c>
      <c r="C342" s="699" t="s">
        <v>1792</v>
      </c>
      <c r="D342" s="762">
        <v>0.24</v>
      </c>
      <c r="E342" s="782" t="s">
        <v>280</v>
      </c>
      <c r="F342" s="752">
        <v>1</v>
      </c>
      <c r="G342" s="782" t="s">
        <v>206</v>
      </c>
      <c r="H342" s="697">
        <v>65</v>
      </c>
      <c r="I342" s="715">
        <f>SUM(D342*H342/F342)</f>
        <v>15.6</v>
      </c>
    </row>
    <row r="343" spans="1:9">
      <c r="A343" s="698"/>
      <c r="B343" s="698">
        <v>5</v>
      </c>
      <c r="C343" s="699" t="s">
        <v>1793</v>
      </c>
      <c r="D343" s="762">
        <v>0.83</v>
      </c>
      <c r="E343" s="782" t="s">
        <v>280</v>
      </c>
      <c r="F343" s="752">
        <v>1</v>
      </c>
      <c r="G343" s="782" t="s">
        <v>116</v>
      </c>
      <c r="H343" s="697">
        <v>65</v>
      </c>
      <c r="I343" s="715">
        <f>SUM(D343*H343/F343)</f>
        <v>53.949999999999996</v>
      </c>
    </row>
    <row r="344" spans="1:9">
      <c r="A344" s="698"/>
      <c r="B344" s="698">
        <v>6</v>
      </c>
      <c r="C344" s="705" t="s">
        <v>1794</v>
      </c>
      <c r="D344" s="762">
        <v>16</v>
      </c>
      <c r="E344" s="782" t="s">
        <v>95</v>
      </c>
      <c r="F344" s="752">
        <v>1</v>
      </c>
      <c r="G344" s="776" t="s">
        <v>1667</v>
      </c>
      <c r="H344" s="697">
        <v>6</v>
      </c>
      <c r="I344" s="715">
        <f t="shared" ref="I344:I351" si="0">SUM(D344*H344/F344)</f>
        <v>96</v>
      </c>
    </row>
    <row r="345" spans="1:9">
      <c r="A345" s="698"/>
      <c r="B345" s="698">
        <v>7</v>
      </c>
      <c r="C345" s="705" t="s">
        <v>1795</v>
      </c>
      <c r="D345" s="762">
        <v>2</v>
      </c>
      <c r="E345" s="782" t="s">
        <v>1796</v>
      </c>
      <c r="F345" s="752">
        <v>1</v>
      </c>
      <c r="G345" s="782" t="s">
        <v>1797</v>
      </c>
      <c r="H345" s="697">
        <v>12</v>
      </c>
      <c r="I345" s="715">
        <f t="shared" si="0"/>
        <v>24</v>
      </c>
    </row>
    <row r="346" spans="1:9">
      <c r="A346" s="698"/>
      <c r="B346" s="698">
        <v>8</v>
      </c>
      <c r="C346" s="705" t="s">
        <v>1798</v>
      </c>
      <c r="D346" s="762">
        <v>1</v>
      </c>
      <c r="E346" s="776" t="s">
        <v>1667</v>
      </c>
      <c r="F346" s="752">
        <v>1</v>
      </c>
      <c r="G346" s="776" t="s">
        <v>1667</v>
      </c>
      <c r="H346" s="697">
        <v>250</v>
      </c>
      <c r="I346" s="715">
        <f t="shared" si="0"/>
        <v>250</v>
      </c>
    </row>
    <row r="347" spans="1:9">
      <c r="A347" s="698"/>
      <c r="B347" s="698">
        <v>9</v>
      </c>
      <c r="C347" s="705" t="s">
        <v>1799</v>
      </c>
      <c r="D347" s="762">
        <v>1</v>
      </c>
      <c r="E347" s="782" t="s">
        <v>1667</v>
      </c>
      <c r="F347" s="752">
        <v>1</v>
      </c>
      <c r="G347" s="782" t="s">
        <v>1667</v>
      </c>
      <c r="H347" s="697">
        <v>130</v>
      </c>
      <c r="I347" s="715">
        <f t="shared" si="0"/>
        <v>130</v>
      </c>
    </row>
    <row r="348" spans="1:9">
      <c r="A348" s="698"/>
      <c r="B348" s="698">
        <v>10</v>
      </c>
      <c r="C348" s="705" t="s">
        <v>1800</v>
      </c>
      <c r="D348" s="762">
        <v>40</v>
      </c>
      <c r="E348" s="782" t="s">
        <v>206</v>
      </c>
      <c r="F348" s="752">
        <v>1</v>
      </c>
      <c r="G348" s="782" t="s">
        <v>206</v>
      </c>
      <c r="H348" s="697">
        <v>20</v>
      </c>
      <c r="I348" s="715">
        <f t="shared" si="0"/>
        <v>800</v>
      </c>
    </row>
    <row r="349" spans="1:9">
      <c r="A349" s="698"/>
      <c r="B349" s="698">
        <v>11</v>
      </c>
      <c r="C349" s="705" t="s">
        <v>1801</v>
      </c>
      <c r="D349" s="762">
        <v>20</v>
      </c>
      <c r="E349" s="782" t="s">
        <v>206</v>
      </c>
      <c r="F349" s="752">
        <v>1</v>
      </c>
      <c r="G349" s="782" t="s">
        <v>206</v>
      </c>
      <c r="H349" s="697">
        <v>15</v>
      </c>
      <c r="I349" s="715">
        <f t="shared" si="0"/>
        <v>300</v>
      </c>
    </row>
    <row r="350" spans="1:9" ht="22.5">
      <c r="A350" s="698"/>
      <c r="B350" s="698">
        <v>12</v>
      </c>
      <c r="C350" s="699" t="s">
        <v>1802</v>
      </c>
      <c r="D350" s="762">
        <v>0.65</v>
      </c>
      <c r="E350" s="776" t="s">
        <v>112</v>
      </c>
      <c r="F350" s="752">
        <v>1</v>
      </c>
      <c r="G350" s="776" t="s">
        <v>112</v>
      </c>
      <c r="H350" s="697">
        <v>250</v>
      </c>
      <c r="I350" s="715">
        <f t="shared" si="0"/>
        <v>162.5</v>
      </c>
    </row>
    <row r="351" spans="1:9" ht="22.5">
      <c r="A351" s="698"/>
      <c r="B351" s="698">
        <v>13</v>
      </c>
      <c r="C351" s="699" t="s">
        <v>1803</v>
      </c>
      <c r="D351" s="762">
        <v>0.65</v>
      </c>
      <c r="E351" s="776" t="s">
        <v>112</v>
      </c>
      <c r="F351" s="752">
        <v>1</v>
      </c>
      <c r="G351" s="776" t="s">
        <v>112</v>
      </c>
      <c r="H351" s="697">
        <v>250</v>
      </c>
      <c r="I351" s="715">
        <f t="shared" si="0"/>
        <v>162.5</v>
      </c>
    </row>
    <row r="352" spans="1:9" ht="22.5">
      <c r="A352" s="698"/>
      <c r="B352" s="698">
        <v>14</v>
      </c>
      <c r="C352" s="699" t="s">
        <v>1804</v>
      </c>
      <c r="D352" s="769">
        <v>0.25</v>
      </c>
      <c r="E352" s="782"/>
      <c r="F352" s="752"/>
      <c r="G352" s="782"/>
      <c r="H352" s="697">
        <v>260</v>
      </c>
      <c r="I352" s="715">
        <f>SUM(H352*D352)</f>
        <v>65</v>
      </c>
    </row>
    <row r="353" spans="1:9">
      <c r="A353" s="698"/>
      <c r="B353" s="698">
        <v>15</v>
      </c>
      <c r="C353" s="714" t="s">
        <v>1805</v>
      </c>
      <c r="D353" s="762"/>
      <c r="E353" s="776"/>
      <c r="F353" s="752"/>
      <c r="G353" s="776"/>
      <c r="H353" s="697"/>
      <c r="I353" s="715">
        <v>9.52</v>
      </c>
    </row>
    <row r="354" spans="1:9">
      <c r="A354" s="698"/>
      <c r="B354" s="698"/>
      <c r="C354" s="714" t="s">
        <v>1724</v>
      </c>
      <c r="D354" s="762"/>
      <c r="E354" s="776"/>
      <c r="F354" s="752"/>
      <c r="G354" s="776"/>
      <c r="H354" s="697"/>
      <c r="I354" s="715">
        <f>SUM(I341:I353)</f>
        <v>2944.07</v>
      </c>
    </row>
    <row r="355" spans="1:9">
      <c r="A355" s="698"/>
      <c r="B355" s="698"/>
      <c r="C355" s="702" t="s">
        <v>1673</v>
      </c>
      <c r="D355" s="756"/>
      <c r="E355" s="786"/>
      <c r="F355" s="759"/>
      <c r="G355" s="780"/>
      <c r="H355" s="722">
        <f>I339+I354</f>
        <v>3389.57</v>
      </c>
      <c r="I355" s="715"/>
    </row>
    <row r="356" spans="1:9">
      <c r="A356" s="717"/>
      <c r="B356" s="793"/>
      <c r="C356" s="718" t="s">
        <v>1674</v>
      </c>
      <c r="D356" s="754"/>
      <c r="E356" s="777"/>
      <c r="F356" s="754"/>
      <c r="G356" s="777"/>
      <c r="H356" s="719">
        <v>0</v>
      </c>
      <c r="I356" s="717"/>
    </row>
    <row r="357" spans="1:9">
      <c r="A357" s="717"/>
      <c r="B357" s="793"/>
      <c r="C357" s="702" t="s">
        <v>1681</v>
      </c>
      <c r="D357" s="754"/>
      <c r="E357" s="777"/>
      <c r="F357" s="754"/>
      <c r="G357" s="777"/>
      <c r="H357" s="717"/>
      <c r="I357" s="719">
        <f>ROUND(H355+H356,0)</f>
        <v>3390</v>
      </c>
    </row>
    <row r="358" spans="1:9">
      <c r="A358" s="717"/>
      <c r="B358" s="793"/>
      <c r="C358" s="717"/>
      <c r="D358" s="754"/>
      <c r="E358" s="777"/>
      <c r="F358" s="754"/>
      <c r="G358" s="777"/>
      <c r="H358" s="717"/>
      <c r="I358" s="717"/>
    </row>
    <row r="359" spans="1:9" ht="55.5" hidden="1">
      <c r="A359" s="717"/>
      <c r="B359" s="793">
        <v>20</v>
      </c>
      <c r="C359" s="727" t="s">
        <v>1806</v>
      </c>
      <c r="D359" s="754"/>
      <c r="E359" s="777"/>
      <c r="F359" s="754"/>
      <c r="G359" s="777"/>
      <c r="H359" s="717"/>
      <c r="I359" s="717"/>
    </row>
    <row r="360" spans="1:9" hidden="1">
      <c r="A360" s="717"/>
      <c r="B360" s="793"/>
      <c r="C360" s="714" t="s">
        <v>1733</v>
      </c>
      <c r="D360" s="754"/>
      <c r="E360" s="777"/>
      <c r="F360" s="754"/>
      <c r="G360" s="777"/>
      <c r="H360" s="717"/>
      <c r="I360" s="717"/>
    </row>
    <row r="361" spans="1:9" hidden="1">
      <c r="A361" s="717"/>
      <c r="B361" s="793"/>
      <c r="C361" s="705" t="s">
        <v>1661</v>
      </c>
      <c r="D361" s="770">
        <v>0.34</v>
      </c>
      <c r="E361" s="775" t="s">
        <v>186</v>
      </c>
      <c r="F361" s="752">
        <v>1</v>
      </c>
      <c r="G361" s="775" t="s">
        <v>186</v>
      </c>
      <c r="H361" s="697">
        <v>575</v>
      </c>
      <c r="I361" s="715">
        <f>SUM(D361*H361/F361)</f>
        <v>195.5</v>
      </c>
    </row>
    <row r="362" spans="1:9" hidden="1">
      <c r="A362" s="717"/>
      <c r="B362" s="793"/>
      <c r="C362" s="705" t="s">
        <v>1663</v>
      </c>
      <c r="D362" s="770">
        <v>0.66</v>
      </c>
      <c r="E362" s="775" t="s">
        <v>186</v>
      </c>
      <c r="F362" s="752">
        <v>1</v>
      </c>
      <c r="G362" s="775" t="s">
        <v>186</v>
      </c>
      <c r="H362" s="697">
        <v>420</v>
      </c>
      <c r="I362" s="715">
        <f>SUM(D362*H362/F362)</f>
        <v>277.2</v>
      </c>
    </row>
    <row r="363" spans="1:9" hidden="1">
      <c r="A363" s="717"/>
      <c r="B363" s="793"/>
      <c r="C363" s="714" t="s">
        <v>1708</v>
      </c>
      <c r="D363" s="754"/>
      <c r="E363" s="777"/>
      <c r="F363" s="754"/>
      <c r="G363" s="777"/>
      <c r="H363" s="717"/>
      <c r="I363" s="719">
        <f>SUM(I361:I362)</f>
        <v>472.7</v>
      </c>
    </row>
    <row r="364" spans="1:9" hidden="1">
      <c r="A364" s="717"/>
      <c r="B364" s="793"/>
      <c r="C364" s="714" t="s">
        <v>1709</v>
      </c>
      <c r="D364" s="754"/>
      <c r="E364" s="777"/>
      <c r="F364" s="754"/>
      <c r="G364" s="777"/>
      <c r="H364" s="717"/>
      <c r="I364" s="719">
        <f>+I363/100</f>
        <v>4.7270000000000003</v>
      </c>
    </row>
    <row r="365" spans="1:9" hidden="1">
      <c r="A365" s="717"/>
      <c r="B365" s="793"/>
      <c r="C365" s="699" t="s">
        <v>573</v>
      </c>
      <c r="D365" s="754"/>
      <c r="E365" s="777"/>
      <c r="F365" s="754"/>
      <c r="G365" s="777"/>
      <c r="H365" s="717"/>
      <c r="I365" s="717"/>
    </row>
    <row r="366" spans="1:9" ht="38.25" hidden="1">
      <c r="A366" s="717"/>
      <c r="B366" s="793"/>
      <c r="C366" s="728" t="s">
        <v>1807</v>
      </c>
      <c r="D366" s="752">
        <v>100</v>
      </c>
      <c r="E366" s="776" t="s">
        <v>1693</v>
      </c>
      <c r="F366" s="752">
        <v>100</v>
      </c>
      <c r="G366" s="776" t="s">
        <v>1693</v>
      </c>
      <c r="H366" s="697">
        <v>2500</v>
      </c>
      <c r="I366" s="715">
        <f>SUM(D366*H366/F366)</f>
        <v>2500</v>
      </c>
    </row>
    <row r="367" spans="1:9" hidden="1">
      <c r="A367" s="717"/>
      <c r="B367" s="793"/>
      <c r="C367" s="714" t="s">
        <v>1708</v>
      </c>
      <c r="D367" s="762"/>
      <c r="E367" s="777"/>
      <c r="F367" s="754"/>
      <c r="G367" s="777"/>
      <c r="H367" s="717"/>
      <c r="I367" s="719">
        <v>2500</v>
      </c>
    </row>
    <row r="368" spans="1:9" hidden="1">
      <c r="A368" s="717"/>
      <c r="B368" s="793"/>
      <c r="C368" s="714" t="s">
        <v>1709</v>
      </c>
      <c r="D368" s="754"/>
      <c r="E368" s="777"/>
      <c r="F368" s="754"/>
      <c r="G368" s="777"/>
      <c r="H368" s="719"/>
      <c r="I368" s="715">
        <f>SUM(I367/100)</f>
        <v>25</v>
      </c>
    </row>
    <row r="369" spans="1:9" hidden="1">
      <c r="A369" s="717"/>
      <c r="B369" s="793"/>
      <c r="C369" s="702" t="s">
        <v>1673</v>
      </c>
      <c r="D369" s="754"/>
      <c r="E369" s="777"/>
      <c r="F369" s="754"/>
      <c r="G369" s="777"/>
      <c r="H369" s="719">
        <f>+I368+I364</f>
        <v>29.727</v>
      </c>
      <c r="I369" s="717"/>
    </row>
    <row r="370" spans="1:9" hidden="1">
      <c r="A370" s="717"/>
      <c r="B370" s="793"/>
      <c r="C370" s="718" t="s">
        <v>1674</v>
      </c>
      <c r="D370" s="754"/>
      <c r="E370" s="777"/>
      <c r="F370" s="754"/>
      <c r="G370" s="777"/>
      <c r="H370" s="719">
        <v>0</v>
      </c>
      <c r="I370" s="717"/>
    </row>
    <row r="371" spans="1:9" hidden="1">
      <c r="A371" s="717"/>
      <c r="B371" s="793"/>
      <c r="C371" s="702" t="s">
        <v>1681</v>
      </c>
      <c r="D371" s="754"/>
      <c r="E371" s="777"/>
      <c r="F371" s="754"/>
      <c r="G371" s="777"/>
      <c r="H371" s="719"/>
      <c r="I371" s="719">
        <f>ROUNDDOWN(H369+H370,1)</f>
        <v>29.7</v>
      </c>
    </row>
    <row r="372" spans="1:9">
      <c r="A372" s="717"/>
      <c r="B372" s="793"/>
      <c r="C372" s="702"/>
      <c r="D372" s="754"/>
      <c r="E372" s="777"/>
      <c r="F372" s="754"/>
      <c r="G372" s="777"/>
      <c r="H372" s="719"/>
      <c r="I372" s="717"/>
    </row>
    <row r="373" spans="1:9">
      <c r="A373" s="717"/>
      <c r="B373" s="793"/>
      <c r="C373" s="717"/>
      <c r="D373" s="754"/>
      <c r="E373" s="777"/>
      <c r="F373" s="754"/>
      <c r="G373" s="777"/>
      <c r="H373" s="717"/>
      <c r="I373" s="717"/>
    </row>
    <row r="374" spans="1:9" ht="38.25" hidden="1">
      <c r="A374" s="717"/>
      <c r="B374" s="793">
        <v>21</v>
      </c>
      <c r="C374" s="727" t="s">
        <v>1808</v>
      </c>
      <c r="D374" s="754"/>
      <c r="E374" s="777"/>
      <c r="F374" s="754"/>
      <c r="G374" s="777"/>
      <c r="H374" s="717"/>
      <c r="I374" s="717"/>
    </row>
    <row r="375" spans="1:9" hidden="1">
      <c r="A375" s="717"/>
      <c r="B375" s="793"/>
      <c r="C375" s="714" t="s">
        <v>1733</v>
      </c>
      <c r="D375" s="754"/>
      <c r="E375" s="777"/>
      <c r="F375" s="754"/>
      <c r="G375" s="777"/>
      <c r="H375" s="717"/>
      <c r="I375" s="717"/>
    </row>
    <row r="376" spans="1:9" hidden="1">
      <c r="A376" s="717"/>
      <c r="B376" s="793"/>
      <c r="C376" s="705" t="s">
        <v>1661</v>
      </c>
      <c r="D376" s="770">
        <v>0.34</v>
      </c>
      <c r="E376" s="775" t="s">
        <v>186</v>
      </c>
      <c r="F376" s="752">
        <v>1</v>
      </c>
      <c r="G376" s="775" t="s">
        <v>186</v>
      </c>
      <c r="H376" s="697">
        <v>575</v>
      </c>
      <c r="I376" s="715">
        <f>SUM(D376*H376/F376)</f>
        <v>195.5</v>
      </c>
    </row>
    <row r="377" spans="1:9" hidden="1">
      <c r="A377" s="717"/>
      <c r="B377" s="793"/>
      <c r="C377" s="705" t="s">
        <v>1663</v>
      </c>
      <c r="D377" s="770">
        <v>0.66</v>
      </c>
      <c r="E377" s="775" t="s">
        <v>186</v>
      </c>
      <c r="F377" s="752">
        <v>1</v>
      </c>
      <c r="G377" s="775" t="s">
        <v>186</v>
      </c>
      <c r="H377" s="697">
        <v>420</v>
      </c>
      <c r="I377" s="715">
        <f>SUM(D377*H377/F377)</f>
        <v>277.2</v>
      </c>
    </row>
    <row r="378" spans="1:9" hidden="1">
      <c r="A378" s="717"/>
      <c r="B378" s="793"/>
      <c r="C378" s="714" t="s">
        <v>1708</v>
      </c>
      <c r="D378" s="754"/>
      <c r="E378" s="777"/>
      <c r="F378" s="754"/>
      <c r="G378" s="777"/>
      <c r="H378" s="717"/>
      <c r="I378" s="719">
        <f>SUM(I376:I377)</f>
        <v>472.7</v>
      </c>
    </row>
    <row r="379" spans="1:9" hidden="1">
      <c r="A379" s="717"/>
      <c r="B379" s="793"/>
      <c r="C379" s="714" t="s">
        <v>1709</v>
      </c>
      <c r="D379" s="754"/>
      <c r="E379" s="777"/>
      <c r="F379" s="754"/>
      <c r="G379" s="777"/>
      <c r="H379" s="717"/>
      <c r="I379" s="719">
        <f>+I378/100</f>
        <v>4.7270000000000003</v>
      </c>
    </row>
    <row r="380" spans="1:9" hidden="1">
      <c r="A380" s="717"/>
      <c r="B380" s="793"/>
      <c r="C380" s="699" t="s">
        <v>573</v>
      </c>
      <c r="D380" s="754"/>
      <c r="E380" s="777"/>
      <c r="F380" s="754"/>
      <c r="G380" s="777"/>
      <c r="H380" s="717"/>
      <c r="I380" s="717"/>
    </row>
    <row r="381" spans="1:9" ht="38.25" hidden="1">
      <c r="A381" s="717"/>
      <c r="B381" s="793"/>
      <c r="C381" s="728" t="s">
        <v>1809</v>
      </c>
      <c r="D381" s="752">
        <v>100</v>
      </c>
      <c r="E381" s="776" t="s">
        <v>1693</v>
      </c>
      <c r="F381" s="752">
        <v>100</v>
      </c>
      <c r="G381" s="776" t="s">
        <v>1693</v>
      </c>
      <c r="H381" s="697">
        <v>2300</v>
      </c>
      <c r="I381" s="715">
        <f>SUM(D381*H381/F381)</f>
        <v>2300</v>
      </c>
    </row>
    <row r="382" spans="1:9" hidden="1">
      <c r="A382" s="717"/>
      <c r="B382" s="793"/>
      <c r="C382" s="714" t="s">
        <v>1708</v>
      </c>
      <c r="D382" s="762"/>
      <c r="E382" s="777"/>
      <c r="F382" s="754"/>
      <c r="G382" s="777"/>
      <c r="H382" s="717"/>
      <c r="I382" s="719">
        <v>2300</v>
      </c>
    </row>
    <row r="383" spans="1:9" hidden="1">
      <c r="A383" s="717"/>
      <c r="B383" s="793"/>
      <c r="C383" s="714" t="s">
        <v>1709</v>
      </c>
      <c r="D383" s="754"/>
      <c r="E383" s="777"/>
      <c r="F383" s="754"/>
      <c r="G383" s="777"/>
      <c r="H383" s="719"/>
      <c r="I383" s="715">
        <f>SUM(I382/100)</f>
        <v>23</v>
      </c>
    </row>
    <row r="384" spans="1:9" hidden="1">
      <c r="A384" s="717"/>
      <c r="B384" s="793"/>
      <c r="C384" s="702" t="s">
        <v>1673</v>
      </c>
      <c r="D384" s="754"/>
      <c r="E384" s="777"/>
      <c r="F384" s="754"/>
      <c r="G384" s="777"/>
      <c r="H384" s="719">
        <f>+I383+I379</f>
        <v>27.727</v>
      </c>
      <c r="I384" s="717"/>
    </row>
    <row r="385" spans="1:9" hidden="1">
      <c r="A385" s="717"/>
      <c r="B385" s="793"/>
      <c r="C385" s="718" t="s">
        <v>1674</v>
      </c>
      <c r="D385" s="754"/>
      <c r="E385" s="777"/>
      <c r="F385" s="754"/>
      <c r="G385" s="777"/>
      <c r="H385" s="719">
        <v>0</v>
      </c>
      <c r="I385" s="717"/>
    </row>
    <row r="386" spans="1:9" hidden="1">
      <c r="A386" s="717"/>
      <c r="B386" s="793"/>
      <c r="C386" s="702" t="s">
        <v>1681</v>
      </c>
      <c r="D386" s="754"/>
      <c r="E386" s="777"/>
      <c r="F386" s="754"/>
      <c r="G386" s="777"/>
      <c r="H386" s="719"/>
      <c r="I386" s="719">
        <f>ROUNDUP(H384+H385,1)</f>
        <v>27.8</v>
      </c>
    </row>
    <row r="387" spans="1:9">
      <c r="A387" s="717"/>
      <c r="B387" s="793"/>
      <c r="C387" s="702"/>
      <c r="D387" s="754"/>
      <c r="E387" s="777"/>
      <c r="F387" s="754"/>
      <c r="G387" s="777"/>
      <c r="H387" s="719"/>
      <c r="I387" s="717"/>
    </row>
    <row r="388" spans="1:9">
      <c r="A388" s="729"/>
      <c r="B388" s="731"/>
      <c r="C388" s="730"/>
      <c r="D388" s="771"/>
      <c r="E388" s="787"/>
      <c r="F388" s="760"/>
      <c r="G388" s="777"/>
      <c r="H388" s="717"/>
      <c r="I388" s="717"/>
    </row>
    <row r="389" spans="1:9" ht="165.75" hidden="1">
      <c r="A389" s="717"/>
      <c r="B389" s="793">
        <v>22</v>
      </c>
      <c r="C389" s="1072" t="s">
        <v>1935</v>
      </c>
      <c r="D389" s="752">
        <v>1</v>
      </c>
      <c r="E389" s="776" t="s">
        <v>1693</v>
      </c>
      <c r="F389" s="752">
        <v>1</v>
      </c>
      <c r="G389" s="776" t="s">
        <v>1693</v>
      </c>
      <c r="H389" s="697">
        <v>32</v>
      </c>
      <c r="I389" s="715">
        <f>SUM(D389*H389/F389)</f>
        <v>32</v>
      </c>
    </row>
    <row r="390" spans="1:9" hidden="1">
      <c r="A390" s="717"/>
      <c r="B390" s="793"/>
      <c r="C390" s="718" t="s">
        <v>1674</v>
      </c>
      <c r="D390" s="754"/>
      <c r="E390" s="777"/>
      <c r="F390" s="754"/>
      <c r="G390" s="777"/>
      <c r="H390" s="719">
        <v>0</v>
      </c>
      <c r="I390" s="717"/>
    </row>
    <row r="391" spans="1:9" hidden="1">
      <c r="A391" s="717"/>
      <c r="B391" s="793"/>
      <c r="C391" s="702" t="s">
        <v>1681</v>
      </c>
      <c r="D391" s="754"/>
      <c r="E391" s="777"/>
      <c r="F391" s="754"/>
      <c r="G391" s="777"/>
      <c r="H391" s="717"/>
      <c r="I391" s="719">
        <f>ROUNDDOWN(H390+I389,1)</f>
        <v>32</v>
      </c>
    </row>
    <row r="395" spans="1:9">
      <c r="C395" s="792" t="str">
        <f>'lead 1'!I37</f>
        <v>Deputy Executive Engineer</v>
      </c>
      <c r="G395" s="791" t="str">
        <f>'lead 1'!L37</f>
        <v>Assistant Engineer</v>
      </c>
    </row>
    <row r="396" spans="1:9">
      <c r="C396" s="792" t="str">
        <f>'lead 1'!I38</f>
        <v>PRI Sub Division</v>
      </c>
      <c r="G396" s="791" t="str">
        <f>'lead 1'!L38</f>
        <v>Mandal Praja parishad</v>
      </c>
    </row>
    <row r="397" spans="1:9">
      <c r="C397" s="792" t="str">
        <f>'lead 1'!I39</f>
        <v>Kanigiri</v>
      </c>
      <c r="G397" s="791" t="str">
        <f>'lead 1'!L39</f>
        <v>H.M.Padu</v>
      </c>
    </row>
  </sheetData>
  <mergeCells count="5">
    <mergeCell ref="A1:I1"/>
    <mergeCell ref="F2:G2"/>
    <mergeCell ref="D2:E2"/>
    <mergeCell ref="D3:E3"/>
    <mergeCell ref="F3:G3"/>
  </mergeCells>
  <pageMargins left="0.7" right="0.4" top="0.49" bottom="0.27" header="0.3" footer="0.3"/>
  <pageSetup paperSize="9" scale="90" orientation="portrait" verticalDpi="0" r:id="rId1"/>
</worksheet>
</file>

<file path=xl/worksheets/sheet23.xml><?xml version="1.0" encoding="utf-8"?>
<worksheet xmlns="http://schemas.openxmlformats.org/spreadsheetml/2006/main" xmlns:r="http://schemas.openxmlformats.org/officeDocument/2006/relationships">
  <sheetPr>
    <tabColor rgb="FF00B050"/>
  </sheetPr>
  <dimension ref="A1:C22"/>
  <sheetViews>
    <sheetView workbookViewId="0">
      <selection activeCell="G35" sqref="G35:I35"/>
    </sheetView>
  </sheetViews>
  <sheetFormatPr defaultRowHeight="12.75"/>
  <cols>
    <col min="2" max="2" width="27.5703125" bestFit="1" customWidth="1"/>
    <col min="3" max="3" width="7.85546875" customWidth="1"/>
  </cols>
  <sheetData>
    <row r="1" spans="1:3" ht="21">
      <c r="A1" s="1408" t="s">
        <v>1003</v>
      </c>
      <c r="B1" s="1408"/>
      <c r="C1" s="1408"/>
    </row>
    <row r="2" spans="1:3">
      <c r="A2" s="225" t="s">
        <v>1004</v>
      </c>
      <c r="B2" s="445" t="s">
        <v>1005</v>
      </c>
      <c r="C2" s="445" t="s">
        <v>1006</v>
      </c>
    </row>
    <row r="3" spans="1:3">
      <c r="A3" s="225">
        <v>1</v>
      </c>
      <c r="B3" s="445" t="s">
        <v>104</v>
      </c>
      <c r="C3" s="445">
        <v>28</v>
      </c>
    </row>
    <row r="4" spans="1:3">
      <c r="A4" s="225">
        <f>A3+1</f>
        <v>2</v>
      </c>
      <c r="B4" s="445" t="s">
        <v>1007</v>
      </c>
      <c r="C4" s="445">
        <v>18</v>
      </c>
    </row>
    <row r="5" spans="1:3">
      <c r="A5" s="225">
        <f t="shared" ref="A5:A22" si="0">A4+1</f>
        <v>3</v>
      </c>
      <c r="B5" s="445" t="s">
        <v>1008</v>
      </c>
      <c r="C5" s="445">
        <v>5</v>
      </c>
    </row>
    <row r="6" spans="1:3">
      <c r="A6" s="225">
        <f t="shared" si="0"/>
        <v>4</v>
      </c>
      <c r="B6" s="445" t="s">
        <v>1009</v>
      </c>
      <c r="C6" s="445">
        <v>28</v>
      </c>
    </row>
    <row r="7" spans="1:3">
      <c r="A7" s="225">
        <f t="shared" si="0"/>
        <v>5</v>
      </c>
      <c r="B7" s="445" t="s">
        <v>1010</v>
      </c>
      <c r="C7" s="445">
        <v>5</v>
      </c>
    </row>
    <row r="8" spans="1:3">
      <c r="A8" s="225">
        <f t="shared" si="0"/>
        <v>6</v>
      </c>
      <c r="B8" s="445" t="s">
        <v>1011</v>
      </c>
      <c r="C8" s="445">
        <v>5</v>
      </c>
    </row>
    <row r="9" spans="1:3">
      <c r="A9" s="225">
        <f t="shared" si="0"/>
        <v>7</v>
      </c>
      <c r="B9" s="445" t="s">
        <v>1012</v>
      </c>
      <c r="C9" s="445">
        <v>18</v>
      </c>
    </row>
    <row r="10" spans="1:3">
      <c r="A10" s="225">
        <f t="shared" si="0"/>
        <v>8</v>
      </c>
      <c r="B10" s="445" t="s">
        <v>1013</v>
      </c>
      <c r="C10" s="445">
        <v>12</v>
      </c>
    </row>
    <row r="11" spans="1:3">
      <c r="A11" s="225">
        <f t="shared" si="0"/>
        <v>9</v>
      </c>
      <c r="B11" s="445" t="s">
        <v>1014</v>
      </c>
      <c r="C11" s="445">
        <v>5</v>
      </c>
    </row>
    <row r="12" spans="1:3">
      <c r="A12" s="225">
        <f t="shared" si="0"/>
        <v>10</v>
      </c>
      <c r="B12" s="445" t="s">
        <v>1015</v>
      </c>
      <c r="C12" s="486" t="s">
        <v>1016</v>
      </c>
    </row>
    <row r="13" spans="1:3">
      <c r="A13" s="225">
        <f t="shared" si="0"/>
        <v>11</v>
      </c>
      <c r="B13" s="445" t="s">
        <v>1017</v>
      </c>
      <c r="C13" s="445">
        <v>12</v>
      </c>
    </row>
    <row r="14" spans="1:3">
      <c r="A14" s="225">
        <f t="shared" si="0"/>
        <v>12</v>
      </c>
      <c r="B14" s="445" t="s">
        <v>1018</v>
      </c>
      <c r="C14" s="445">
        <v>28</v>
      </c>
    </row>
    <row r="15" spans="1:3">
      <c r="A15" s="225">
        <f t="shared" si="0"/>
        <v>13</v>
      </c>
      <c r="B15" s="445" t="s">
        <v>1019</v>
      </c>
      <c r="C15" s="487" t="s">
        <v>1020</v>
      </c>
    </row>
    <row r="16" spans="1:3">
      <c r="A16" s="225">
        <f t="shared" si="0"/>
        <v>14</v>
      </c>
      <c r="B16" s="445" t="s">
        <v>1021</v>
      </c>
      <c r="C16" s="445">
        <v>28</v>
      </c>
    </row>
    <row r="17" spans="1:3">
      <c r="A17" s="225">
        <f t="shared" si="0"/>
        <v>15</v>
      </c>
      <c r="B17" s="445" t="s">
        <v>1022</v>
      </c>
      <c r="C17" s="445">
        <v>28</v>
      </c>
    </row>
    <row r="18" spans="1:3">
      <c r="A18" s="225">
        <f t="shared" si="0"/>
        <v>16</v>
      </c>
      <c r="B18" s="445"/>
      <c r="C18" s="445">
        <v>28</v>
      </c>
    </row>
    <row r="19" spans="1:3">
      <c r="A19" s="225">
        <f t="shared" si="0"/>
        <v>17</v>
      </c>
      <c r="B19" s="445" t="s">
        <v>1023</v>
      </c>
      <c r="C19" s="445">
        <v>18</v>
      </c>
    </row>
    <row r="20" spans="1:3">
      <c r="A20" s="225">
        <f t="shared" si="0"/>
        <v>18</v>
      </c>
      <c r="B20" s="445" t="s">
        <v>1024</v>
      </c>
      <c r="C20" s="445">
        <v>28</v>
      </c>
    </row>
    <row r="21" spans="1:3">
      <c r="A21" s="225">
        <f t="shared" si="0"/>
        <v>19</v>
      </c>
      <c r="B21" s="445" t="s">
        <v>1025</v>
      </c>
      <c r="C21" s="445">
        <v>28</v>
      </c>
    </row>
    <row r="22" spans="1:3">
      <c r="A22" s="225">
        <f t="shared" si="0"/>
        <v>20</v>
      </c>
      <c r="B22" s="445" t="s">
        <v>1026</v>
      </c>
      <c r="C22" s="487" t="s">
        <v>1020</v>
      </c>
    </row>
  </sheetData>
  <mergeCells count="1">
    <mergeCell ref="A1:C1"/>
  </mergeCells>
  <pageMargins left="0.7" right="0.7" top="0.75" bottom="0.75" header="0.3" footer="0.3"/>
  <pageSetup orientation="portrait" verticalDpi="0" r:id="rId1"/>
</worksheet>
</file>

<file path=xl/worksheets/sheet24.xml><?xml version="1.0" encoding="utf-8"?>
<worksheet xmlns="http://schemas.openxmlformats.org/spreadsheetml/2006/main" xmlns:r="http://schemas.openxmlformats.org/officeDocument/2006/relationships">
  <dimension ref="I7:P24"/>
  <sheetViews>
    <sheetView workbookViewId="0">
      <selection activeCell="J25" sqref="J25"/>
    </sheetView>
  </sheetViews>
  <sheetFormatPr defaultRowHeight="12.75"/>
  <sheetData>
    <row r="7" spans="9:16">
      <c r="I7" s="2" t="s">
        <v>1233</v>
      </c>
      <c r="J7" s="2">
        <v>1.53</v>
      </c>
      <c r="K7" s="2">
        <v>3.39</v>
      </c>
      <c r="L7" s="2" t="s">
        <v>1235</v>
      </c>
      <c r="M7" s="2">
        <f>4.25*0.3048</f>
        <v>1.2954000000000001</v>
      </c>
      <c r="N7" s="2">
        <f>3.01</f>
        <v>3.01</v>
      </c>
      <c r="O7" s="2" t="s">
        <v>1233</v>
      </c>
      <c r="P7" s="2">
        <v>1.5249999999999999</v>
      </c>
    </row>
    <row r="8" spans="9:16">
      <c r="I8" s="2" t="s">
        <v>1234</v>
      </c>
      <c r="J8" s="2">
        <v>1.63</v>
      </c>
      <c r="K8" s="2">
        <v>-0.115</v>
      </c>
      <c r="L8" s="2" t="s">
        <v>1236</v>
      </c>
      <c r="M8" s="2">
        <f>4.5*0.3048</f>
        <v>1.3716000000000002</v>
      </c>
      <c r="N8" s="2">
        <v>-0.23</v>
      </c>
      <c r="O8" s="2" t="s">
        <v>1232</v>
      </c>
      <c r="P8" s="2">
        <v>1.6</v>
      </c>
    </row>
    <row r="9" spans="9:16">
      <c r="I9" s="2"/>
      <c r="J9" s="2">
        <f>SUM(J7:J8)</f>
        <v>3.16</v>
      </c>
      <c r="K9" s="2">
        <f>SUM(K7:K8)</f>
        <v>3.2749999999999999</v>
      </c>
      <c r="L9" s="2" t="s">
        <v>1237</v>
      </c>
      <c r="M9" s="2">
        <v>0.115</v>
      </c>
      <c r="N9" s="2">
        <f>SUM(N7:N8)</f>
        <v>2.78</v>
      </c>
      <c r="O9" s="2"/>
      <c r="P9" s="2">
        <f>SUM(P7:P8)</f>
        <v>3.125</v>
      </c>
    </row>
    <row r="10" spans="9:16">
      <c r="I10" s="2" t="s">
        <v>1237</v>
      </c>
      <c r="J10" s="2">
        <v>0.115</v>
      </c>
      <c r="K10" s="2"/>
      <c r="L10" s="2"/>
      <c r="M10" s="2">
        <f>SUM(M7:M9)</f>
        <v>2.7820000000000005</v>
      </c>
      <c r="N10" s="2"/>
      <c r="O10" s="2" t="s">
        <v>1237</v>
      </c>
      <c r="P10" s="2">
        <v>0.115</v>
      </c>
    </row>
    <row r="11" spans="9:16">
      <c r="I11" s="2"/>
      <c r="J11" s="2">
        <f>SUM(J9:J10)</f>
        <v>3.2750000000000004</v>
      </c>
      <c r="K11" s="2"/>
      <c r="L11" s="2"/>
      <c r="M11" s="2"/>
      <c r="N11" s="2"/>
      <c r="O11" s="2"/>
      <c r="P11" s="2">
        <f>SUM(P9:P10)</f>
        <v>3.24</v>
      </c>
    </row>
    <row r="13" spans="9:16">
      <c r="I13">
        <f>1.53+1.63+0.115</f>
        <v>3.2750000000000004</v>
      </c>
      <c r="M13">
        <v>1.2949999999999999</v>
      </c>
    </row>
    <row r="14" spans="9:16">
      <c r="M14">
        <v>1.37</v>
      </c>
    </row>
    <row r="15" spans="9:16">
      <c r="K15">
        <f>1.525+1.6+0.115</f>
        <v>3.24</v>
      </c>
      <c r="M15">
        <v>0.115</v>
      </c>
    </row>
    <row r="16" spans="9:16">
      <c r="M16">
        <f>SUM(M13:M15)</f>
        <v>2.7800000000000002</v>
      </c>
    </row>
    <row r="18" spans="10:14">
      <c r="J18">
        <v>5.22</v>
      </c>
      <c r="K18" s="179" t="s">
        <v>1244</v>
      </c>
      <c r="L18">
        <f>10.25*0.3048</f>
        <v>3.1242000000000001</v>
      </c>
    </row>
    <row r="19" spans="10:14">
      <c r="J19">
        <v>-0.115</v>
      </c>
      <c r="K19" s="179" t="s">
        <v>1245</v>
      </c>
      <c r="L19">
        <f>11*0.3048</f>
        <v>3.3528000000000002</v>
      </c>
      <c r="M19">
        <v>0.115</v>
      </c>
      <c r="N19">
        <f>SUM(L19:M19)</f>
        <v>3.4678000000000004</v>
      </c>
    </row>
    <row r="20" spans="10:14">
      <c r="J20">
        <v>-1.83</v>
      </c>
    </row>
    <row r="21" spans="10:14">
      <c r="J21">
        <v>-0.115</v>
      </c>
    </row>
    <row r="22" spans="10:14">
      <c r="J22">
        <f>SUM(J18:J21)</f>
        <v>3.1599999999999993</v>
      </c>
      <c r="K22">
        <f>10.25*0.3048</f>
        <v>3.1242000000000001</v>
      </c>
    </row>
    <row r="24" spans="10:14">
      <c r="J24">
        <f>3.16+0.115+0.115+1.83</f>
        <v>5.2200000000000006</v>
      </c>
    </row>
  </sheetData>
  <pageMargins left="0.7" right="0.7" top="0.75" bottom="0.75" header="0.3" footer="0.3"/>
</worksheet>
</file>

<file path=xl/worksheets/sheet25.xml><?xml version="1.0" encoding="utf-8"?>
<worksheet xmlns="http://schemas.openxmlformats.org/spreadsheetml/2006/main" xmlns:r="http://schemas.openxmlformats.org/officeDocument/2006/relationships">
  <dimension ref="A1:V54"/>
  <sheetViews>
    <sheetView view="pageBreakPreview" topLeftCell="A25" zoomScaleSheetLayoutView="100" workbookViewId="0">
      <selection activeCell="G35" sqref="G35:I35"/>
    </sheetView>
  </sheetViews>
  <sheetFormatPr defaultRowHeight="12.75"/>
  <cols>
    <col min="1" max="1" width="4.85546875" customWidth="1"/>
    <col min="2" max="2" width="23" customWidth="1"/>
    <col min="3" max="3" width="9.7109375" style="543" customWidth="1"/>
    <col min="4" max="4" width="9.42578125" customWidth="1"/>
    <col min="5" max="5" width="4.85546875" style="543" customWidth="1"/>
    <col min="7" max="7" width="7.28515625" customWidth="1"/>
    <col min="8" max="8" width="5.85546875" customWidth="1"/>
    <col min="9" max="9" width="5.42578125" customWidth="1"/>
    <col min="10" max="10" width="7.85546875" customWidth="1"/>
    <col min="11" max="11" width="6.140625" customWidth="1"/>
    <col min="12" max="12" width="6.28515625" customWidth="1"/>
    <col min="13" max="13" width="7" customWidth="1"/>
    <col min="14" max="14" width="6" customWidth="1"/>
    <col min="15" max="15" width="5.5703125" customWidth="1"/>
    <col min="16" max="16" width="6.140625" customWidth="1"/>
    <col min="17" max="17" width="7.140625" customWidth="1"/>
    <col min="18" max="19" width="7.28515625" customWidth="1"/>
    <col min="20" max="20" width="7.85546875" customWidth="1"/>
    <col min="21" max="22" width="6.140625" customWidth="1"/>
  </cols>
  <sheetData>
    <row r="1" spans="1:22" ht="21">
      <c r="A1" s="1408" t="s">
        <v>1568</v>
      </c>
      <c r="B1" s="1408"/>
      <c r="C1" s="1408"/>
      <c r="D1" s="1408"/>
      <c r="E1" s="1408"/>
      <c r="F1" s="1408"/>
      <c r="G1" s="1408"/>
      <c r="H1" s="1408"/>
      <c r="I1" s="1408"/>
      <c r="J1" s="1408"/>
      <c r="K1" s="1408"/>
      <c r="L1" s="1408"/>
      <c r="M1" s="1408"/>
      <c r="N1" s="1408"/>
      <c r="O1" s="1408"/>
      <c r="P1" s="1408"/>
      <c r="Q1" s="1408"/>
      <c r="R1" s="1408"/>
      <c r="S1" s="1408"/>
      <c r="T1" s="1408"/>
      <c r="U1" s="1408"/>
      <c r="V1" s="1408"/>
    </row>
    <row r="2" spans="1:22" ht="33.75">
      <c r="A2" s="1330" t="s">
        <v>1004</v>
      </c>
      <c r="B2" s="1330" t="s">
        <v>1569</v>
      </c>
      <c r="C2" s="1409" t="s">
        <v>1570</v>
      </c>
      <c r="D2" s="1410"/>
      <c r="E2" s="1409" t="s">
        <v>1571</v>
      </c>
      <c r="F2" s="1410"/>
      <c r="G2" s="480"/>
      <c r="H2" s="674" t="s">
        <v>1572</v>
      </c>
      <c r="I2" s="674" t="s">
        <v>1573</v>
      </c>
      <c r="J2" s="675" t="s">
        <v>1574</v>
      </c>
      <c r="K2" s="674" t="s">
        <v>1575</v>
      </c>
      <c r="L2" s="1411" t="s">
        <v>1576</v>
      </c>
      <c r="M2" s="1411"/>
      <c r="N2" s="1411"/>
      <c r="O2" s="1411"/>
      <c r="P2" s="1411"/>
      <c r="Q2" s="1411" t="s">
        <v>1577</v>
      </c>
      <c r="R2" s="1411"/>
      <c r="S2" s="1411" t="s">
        <v>1578</v>
      </c>
      <c r="T2" s="1411"/>
      <c r="U2" s="1411"/>
      <c r="V2" s="675" t="s">
        <v>100</v>
      </c>
    </row>
    <row r="3" spans="1:22">
      <c r="A3" s="1331"/>
      <c r="B3" s="1331"/>
      <c r="C3" s="653" t="s">
        <v>1425</v>
      </c>
      <c r="D3" s="653" t="s">
        <v>1579</v>
      </c>
      <c r="E3" s="653" t="s">
        <v>1425</v>
      </c>
      <c r="F3" s="653" t="s">
        <v>1579</v>
      </c>
      <c r="H3" s="445"/>
      <c r="I3" s="445"/>
      <c r="J3" s="445"/>
      <c r="K3" s="445"/>
      <c r="L3" s="445" t="s">
        <v>1574</v>
      </c>
      <c r="M3" s="225" t="s">
        <v>97</v>
      </c>
      <c r="N3" s="225" t="s">
        <v>1482</v>
      </c>
      <c r="O3" s="225" t="s">
        <v>99</v>
      </c>
      <c r="P3" s="676" t="s">
        <v>100</v>
      </c>
      <c r="Q3" s="445"/>
      <c r="R3" s="445"/>
      <c r="S3" s="225" t="s">
        <v>97</v>
      </c>
      <c r="T3" s="225" t="s">
        <v>1482</v>
      </c>
      <c r="U3" s="225" t="s">
        <v>99</v>
      </c>
      <c r="V3" s="676" t="s">
        <v>100</v>
      </c>
    </row>
    <row r="4" spans="1:22" ht="15">
      <c r="A4" s="1412" t="s">
        <v>261</v>
      </c>
      <c r="B4" s="1413"/>
      <c r="C4" s="1413"/>
      <c r="D4" s="1413"/>
      <c r="E4" s="1413"/>
      <c r="F4" s="1413"/>
      <c r="H4" s="225" t="s">
        <v>1580</v>
      </c>
      <c r="I4" s="445" t="s">
        <v>1581</v>
      </c>
      <c r="J4" s="445" t="s">
        <v>1582</v>
      </c>
      <c r="K4" s="445" t="s">
        <v>1583</v>
      </c>
      <c r="L4" s="445" t="s">
        <v>1584</v>
      </c>
      <c r="M4" s="669">
        <v>1.7</v>
      </c>
      <c r="N4" s="608">
        <v>1.7</v>
      </c>
      <c r="O4" s="658">
        <v>0.35</v>
      </c>
      <c r="P4" s="658">
        <f>O4*N4*M4</f>
        <v>1.0114999999999998</v>
      </c>
      <c r="Q4" s="445" t="s">
        <v>1585</v>
      </c>
      <c r="R4" s="445" t="s">
        <v>1585</v>
      </c>
      <c r="S4" s="445">
        <v>0.45</v>
      </c>
      <c r="T4" s="445">
        <v>0.45</v>
      </c>
      <c r="U4" s="445">
        <v>0.45</v>
      </c>
      <c r="V4" s="658">
        <f>U4*T4*S4</f>
        <v>9.1125000000000012E-2</v>
      </c>
    </row>
    <row r="5" spans="1:22" ht="25.5">
      <c r="A5" s="610">
        <v>1</v>
      </c>
      <c r="B5" s="610" t="s">
        <v>1586</v>
      </c>
      <c r="C5" s="653">
        <v>1</v>
      </c>
      <c r="D5" s="610" t="s">
        <v>1587</v>
      </c>
      <c r="E5" s="653"/>
      <c r="F5" s="610"/>
      <c r="G5" s="480"/>
      <c r="H5" s="653" t="s">
        <v>1588</v>
      </c>
      <c r="I5" s="671" t="s">
        <v>1589</v>
      </c>
      <c r="J5" s="677" t="s">
        <v>1582</v>
      </c>
      <c r="K5" s="654" t="s">
        <v>1590</v>
      </c>
      <c r="L5" s="610" t="s">
        <v>1591</v>
      </c>
      <c r="M5" s="670">
        <v>2</v>
      </c>
      <c r="N5" s="673">
        <v>2</v>
      </c>
      <c r="O5" s="678">
        <v>0.4</v>
      </c>
      <c r="P5" s="678">
        <f t="shared" ref="P5:P18" si="0">O5*N5*M5</f>
        <v>1.6</v>
      </c>
      <c r="Q5" s="610" t="s">
        <v>1592</v>
      </c>
      <c r="R5" s="610" t="s">
        <v>1592</v>
      </c>
      <c r="S5" s="610">
        <v>0.45</v>
      </c>
      <c r="T5" s="610">
        <v>0.45</v>
      </c>
      <c r="U5" s="610">
        <v>0.45</v>
      </c>
      <c r="V5" s="678">
        <f>U5*T5*S5</f>
        <v>9.1125000000000012E-2</v>
      </c>
    </row>
    <row r="6" spans="1:22" ht="25.5">
      <c r="A6" s="610">
        <v>2</v>
      </c>
      <c r="B6" s="610" t="s">
        <v>1593</v>
      </c>
      <c r="C6" s="653">
        <v>1</v>
      </c>
      <c r="D6" s="610" t="s">
        <v>1594</v>
      </c>
      <c r="E6" s="653">
        <v>1</v>
      </c>
      <c r="F6" s="610" t="s">
        <v>1595</v>
      </c>
      <c r="G6" s="480"/>
      <c r="H6" s="653" t="s">
        <v>1596</v>
      </c>
      <c r="I6" s="671" t="s">
        <v>1589</v>
      </c>
      <c r="J6" s="677" t="s">
        <v>1582</v>
      </c>
      <c r="K6" s="654" t="s">
        <v>1590</v>
      </c>
      <c r="L6" s="610" t="s">
        <v>1584</v>
      </c>
      <c r="M6" s="670">
        <v>1.7</v>
      </c>
      <c r="N6" s="673">
        <v>1.7</v>
      </c>
      <c r="O6" s="678">
        <v>0.35</v>
      </c>
      <c r="P6" s="678">
        <f t="shared" si="0"/>
        <v>1.0114999999999998</v>
      </c>
      <c r="Q6" s="610" t="s">
        <v>1585</v>
      </c>
      <c r="R6" s="610" t="s">
        <v>1585</v>
      </c>
      <c r="S6" s="610">
        <v>0.45</v>
      </c>
      <c r="T6" s="610">
        <v>0.45</v>
      </c>
      <c r="U6" s="610">
        <v>0.45</v>
      </c>
      <c r="V6" s="678">
        <f t="shared" ref="V6:V18" si="1">U6*T6*S6</f>
        <v>9.1125000000000012E-2</v>
      </c>
    </row>
    <row r="7" spans="1:22" ht="15">
      <c r="A7" s="610">
        <v>3</v>
      </c>
      <c r="B7" s="610" t="s">
        <v>1597</v>
      </c>
      <c r="C7" s="653">
        <v>1</v>
      </c>
      <c r="D7" s="610" t="s">
        <v>1594</v>
      </c>
      <c r="E7" s="653">
        <v>1</v>
      </c>
      <c r="F7" s="610" t="s">
        <v>1595</v>
      </c>
      <c r="G7" s="480"/>
      <c r="H7" s="653" t="s">
        <v>1598</v>
      </c>
      <c r="I7" s="445" t="s">
        <v>1581</v>
      </c>
      <c r="J7" s="445" t="s">
        <v>1582</v>
      </c>
      <c r="K7" s="445" t="s">
        <v>1583</v>
      </c>
      <c r="L7" s="445" t="s">
        <v>1584</v>
      </c>
      <c r="M7" s="670">
        <v>1.7</v>
      </c>
      <c r="N7" s="673">
        <v>1.7</v>
      </c>
      <c r="O7" s="658">
        <v>0.35</v>
      </c>
      <c r="P7" s="678">
        <f t="shared" si="0"/>
        <v>1.0114999999999998</v>
      </c>
      <c r="Q7" s="445" t="s">
        <v>1585</v>
      </c>
      <c r="R7" s="445" t="s">
        <v>1585</v>
      </c>
      <c r="S7" s="610">
        <v>0.45</v>
      </c>
      <c r="T7" s="610">
        <v>0.45</v>
      </c>
      <c r="U7" s="610">
        <v>0.45</v>
      </c>
      <c r="V7" s="678">
        <f t="shared" si="1"/>
        <v>9.1125000000000012E-2</v>
      </c>
    </row>
    <row r="8" spans="1:22" ht="15">
      <c r="A8" s="610">
        <v>4</v>
      </c>
      <c r="B8" s="610" t="s">
        <v>1599</v>
      </c>
      <c r="C8" s="653">
        <v>1</v>
      </c>
      <c r="D8" s="610" t="s">
        <v>1600</v>
      </c>
      <c r="E8" s="653"/>
      <c r="F8" s="610"/>
      <c r="G8" s="480"/>
      <c r="H8" s="653" t="s">
        <v>1601</v>
      </c>
      <c r="I8" s="445" t="s">
        <v>1581</v>
      </c>
      <c r="J8" s="445" t="s">
        <v>1582</v>
      </c>
      <c r="K8" s="445" t="s">
        <v>1583</v>
      </c>
      <c r="L8" s="445" t="s">
        <v>1584</v>
      </c>
      <c r="M8" s="670">
        <v>1.7</v>
      </c>
      <c r="N8" s="673">
        <v>1.7</v>
      </c>
      <c r="O8" s="658">
        <v>0.35</v>
      </c>
      <c r="P8" s="678">
        <f t="shared" si="0"/>
        <v>1.0114999999999998</v>
      </c>
      <c r="Q8" s="445" t="s">
        <v>1585</v>
      </c>
      <c r="R8" s="445" t="s">
        <v>1585</v>
      </c>
      <c r="S8" s="610">
        <v>0.45</v>
      </c>
      <c r="T8" s="610">
        <v>0.45</v>
      </c>
      <c r="U8" s="610">
        <v>0.45</v>
      </c>
      <c r="V8" s="678">
        <f t="shared" si="1"/>
        <v>9.1125000000000012E-2</v>
      </c>
    </row>
    <row r="9" spans="1:22" ht="25.5">
      <c r="A9" s="610">
        <v>5</v>
      </c>
      <c r="B9" s="610" t="s">
        <v>1269</v>
      </c>
      <c r="C9" s="653"/>
      <c r="D9" s="610"/>
      <c r="E9" s="653">
        <v>3</v>
      </c>
      <c r="F9" s="610" t="s">
        <v>1595</v>
      </c>
      <c r="G9" s="480"/>
      <c r="H9" s="653" t="s">
        <v>1602</v>
      </c>
      <c r="I9" s="671" t="s">
        <v>1589</v>
      </c>
      <c r="J9" s="677" t="s">
        <v>1582</v>
      </c>
      <c r="K9" s="654" t="s">
        <v>1590</v>
      </c>
      <c r="L9" s="610" t="s">
        <v>1584</v>
      </c>
      <c r="M9" s="670">
        <v>1.7</v>
      </c>
      <c r="N9" s="673">
        <v>1.7</v>
      </c>
      <c r="O9" s="678">
        <v>0.35</v>
      </c>
      <c r="P9" s="678">
        <f t="shared" si="0"/>
        <v>1.0114999999999998</v>
      </c>
      <c r="Q9" s="610" t="s">
        <v>1585</v>
      </c>
      <c r="R9" s="610" t="s">
        <v>1585</v>
      </c>
      <c r="S9" s="610">
        <v>0.45</v>
      </c>
      <c r="T9" s="610">
        <v>0.45</v>
      </c>
      <c r="U9" s="610">
        <v>0.45</v>
      </c>
      <c r="V9" s="678">
        <f t="shared" si="1"/>
        <v>9.1125000000000012E-2</v>
      </c>
    </row>
    <row r="10" spans="1:22" ht="15">
      <c r="A10" s="610">
        <v>6</v>
      </c>
      <c r="B10" s="610" t="s">
        <v>1603</v>
      </c>
      <c r="C10" s="653"/>
      <c r="D10" s="610"/>
      <c r="E10" s="653">
        <v>1</v>
      </c>
      <c r="F10" s="610" t="s">
        <v>1595</v>
      </c>
      <c r="G10" s="480"/>
      <c r="H10" s="653" t="s">
        <v>1581</v>
      </c>
      <c r="I10" s="445" t="s">
        <v>1581</v>
      </c>
      <c r="J10" s="445" t="s">
        <v>1582</v>
      </c>
      <c r="K10" s="445" t="s">
        <v>1583</v>
      </c>
      <c r="L10" s="445" t="s">
        <v>1584</v>
      </c>
      <c r="M10" s="670">
        <v>1.7</v>
      </c>
      <c r="N10" s="673">
        <v>1.7</v>
      </c>
      <c r="O10" s="658">
        <v>0.35</v>
      </c>
      <c r="P10" s="678">
        <f t="shared" si="0"/>
        <v>1.0114999999999998</v>
      </c>
      <c r="Q10" s="445" t="s">
        <v>1585</v>
      </c>
      <c r="R10" s="445" t="s">
        <v>1585</v>
      </c>
      <c r="S10" s="610">
        <v>0.45</v>
      </c>
      <c r="T10" s="610">
        <v>0.45</v>
      </c>
      <c r="U10" s="610">
        <v>0.45</v>
      </c>
      <c r="V10" s="678">
        <f t="shared" si="1"/>
        <v>9.1125000000000012E-2</v>
      </c>
    </row>
    <row r="11" spans="1:22" ht="15">
      <c r="A11" s="610">
        <v>7</v>
      </c>
      <c r="B11" s="610" t="s">
        <v>1080</v>
      </c>
      <c r="C11" s="610"/>
      <c r="D11" s="610"/>
      <c r="E11" s="653">
        <v>1</v>
      </c>
      <c r="F11" s="610" t="s">
        <v>1595</v>
      </c>
      <c r="G11" s="480"/>
      <c r="H11" s="653" t="s">
        <v>1589</v>
      </c>
      <c r="I11" s="445" t="s">
        <v>1581</v>
      </c>
      <c r="J11" s="445" t="s">
        <v>1582</v>
      </c>
      <c r="K11" s="445" t="s">
        <v>1583</v>
      </c>
      <c r="L11" s="610" t="s">
        <v>1591</v>
      </c>
      <c r="M11" s="670">
        <v>2</v>
      </c>
      <c r="N11" s="673">
        <v>2</v>
      </c>
      <c r="O11" s="678">
        <v>0.4</v>
      </c>
      <c r="P11" s="678">
        <f t="shared" si="0"/>
        <v>1.6</v>
      </c>
      <c r="Q11" s="610" t="s">
        <v>1592</v>
      </c>
      <c r="R11" s="610" t="s">
        <v>1592</v>
      </c>
      <c r="S11" s="610">
        <v>0.45</v>
      </c>
      <c r="T11" s="610">
        <v>0.45</v>
      </c>
      <c r="U11" s="610">
        <v>0.45</v>
      </c>
      <c r="V11" s="678">
        <f t="shared" si="1"/>
        <v>9.1125000000000012E-2</v>
      </c>
    </row>
    <row r="12" spans="1:22" ht="25.5">
      <c r="A12" s="1412" t="s">
        <v>1604</v>
      </c>
      <c r="B12" s="1413"/>
      <c r="C12" s="1413"/>
      <c r="D12" s="1413"/>
      <c r="E12" s="1413"/>
      <c r="F12" s="1413"/>
      <c r="G12" s="480"/>
      <c r="H12" s="653" t="s">
        <v>1605</v>
      </c>
      <c r="I12" s="671" t="s">
        <v>1589</v>
      </c>
      <c r="J12" s="677" t="s">
        <v>1582</v>
      </c>
      <c r="K12" s="654" t="s">
        <v>1590</v>
      </c>
      <c r="L12" s="610" t="s">
        <v>1584</v>
      </c>
      <c r="M12" s="670">
        <v>1.7</v>
      </c>
      <c r="N12" s="673">
        <v>1.7</v>
      </c>
      <c r="O12" s="678">
        <v>0.35</v>
      </c>
      <c r="P12" s="678">
        <f t="shared" si="0"/>
        <v>1.0114999999999998</v>
      </c>
      <c r="Q12" s="610" t="s">
        <v>1585</v>
      </c>
      <c r="R12" s="610" t="s">
        <v>1585</v>
      </c>
      <c r="S12" s="610">
        <v>0.45</v>
      </c>
      <c r="T12" s="610">
        <v>0.45</v>
      </c>
      <c r="U12" s="610">
        <v>0.45</v>
      </c>
      <c r="V12" s="678">
        <f t="shared" si="1"/>
        <v>9.1125000000000012E-2</v>
      </c>
    </row>
    <row r="13" spans="1:22" ht="15">
      <c r="A13" s="1414">
        <v>1</v>
      </c>
      <c r="B13" s="1415" t="s">
        <v>1606</v>
      </c>
      <c r="C13" s="653">
        <v>1</v>
      </c>
      <c r="D13" s="610" t="s">
        <v>1607</v>
      </c>
      <c r="E13" s="653">
        <v>1</v>
      </c>
      <c r="F13" s="610" t="s">
        <v>1608</v>
      </c>
      <c r="G13" s="480"/>
      <c r="H13" s="653" t="s">
        <v>1609</v>
      </c>
      <c r="I13" s="445" t="s">
        <v>1581</v>
      </c>
      <c r="J13" s="445" t="s">
        <v>1582</v>
      </c>
      <c r="K13" s="445" t="s">
        <v>1583</v>
      </c>
      <c r="L13" s="445" t="s">
        <v>1584</v>
      </c>
      <c r="M13" s="670">
        <v>1.7</v>
      </c>
      <c r="N13" s="673">
        <v>1.7</v>
      </c>
      <c r="O13" s="658">
        <v>0.35</v>
      </c>
      <c r="P13" s="678">
        <f t="shared" si="0"/>
        <v>1.0114999999999998</v>
      </c>
      <c r="Q13" s="445" t="s">
        <v>1585</v>
      </c>
      <c r="R13" s="445" t="s">
        <v>1585</v>
      </c>
      <c r="S13" s="610">
        <v>0.45</v>
      </c>
      <c r="T13" s="610">
        <v>0.45</v>
      </c>
      <c r="U13" s="610">
        <v>0.45</v>
      </c>
      <c r="V13" s="678">
        <f t="shared" si="1"/>
        <v>9.1125000000000012E-2</v>
      </c>
    </row>
    <row r="14" spans="1:22" ht="25.5">
      <c r="A14" s="1411"/>
      <c r="B14" s="1416"/>
      <c r="C14" s="653">
        <v>1</v>
      </c>
      <c r="D14" s="610" t="s">
        <v>1587</v>
      </c>
      <c r="E14" s="653">
        <v>1</v>
      </c>
      <c r="F14" s="610" t="s">
        <v>1610</v>
      </c>
      <c r="G14" s="480"/>
      <c r="H14" s="653" t="s">
        <v>1611</v>
      </c>
      <c r="I14" s="671" t="s">
        <v>1589</v>
      </c>
      <c r="J14" s="677" t="s">
        <v>1582</v>
      </c>
      <c r="K14" s="654" t="s">
        <v>1590</v>
      </c>
      <c r="L14" s="610" t="s">
        <v>1591</v>
      </c>
      <c r="M14" s="673">
        <v>2</v>
      </c>
      <c r="N14" s="673">
        <v>2</v>
      </c>
      <c r="O14" s="678">
        <v>0.4</v>
      </c>
      <c r="P14" s="678">
        <f t="shared" si="0"/>
        <v>1.6</v>
      </c>
      <c r="Q14" s="610" t="s">
        <v>1592</v>
      </c>
      <c r="R14" s="610" t="s">
        <v>1592</v>
      </c>
      <c r="S14" s="610">
        <v>0.45</v>
      </c>
      <c r="T14" s="610">
        <v>0.45</v>
      </c>
      <c r="U14" s="610">
        <v>0.45</v>
      </c>
      <c r="V14" s="678">
        <f t="shared" si="1"/>
        <v>9.1125000000000012E-2</v>
      </c>
    </row>
    <row r="15" spans="1:22" ht="25.5">
      <c r="A15" s="610">
        <v>2</v>
      </c>
      <c r="B15" s="610" t="s">
        <v>1269</v>
      </c>
      <c r="C15" s="610"/>
      <c r="D15" s="610"/>
      <c r="E15" s="653">
        <v>1</v>
      </c>
      <c r="F15" s="610" t="s">
        <v>1595</v>
      </c>
      <c r="G15" s="480"/>
      <c r="H15" s="653" t="s">
        <v>1612</v>
      </c>
      <c r="I15" s="671" t="s">
        <v>1589</v>
      </c>
      <c r="J15" s="677" t="s">
        <v>1582</v>
      </c>
      <c r="K15" s="654" t="s">
        <v>1590</v>
      </c>
      <c r="L15" s="610" t="s">
        <v>1584</v>
      </c>
      <c r="M15" s="670">
        <v>1.7</v>
      </c>
      <c r="N15" s="673">
        <v>1.7</v>
      </c>
      <c r="O15" s="678">
        <v>0.3</v>
      </c>
      <c r="P15" s="678">
        <f t="shared" si="0"/>
        <v>0.86699999999999999</v>
      </c>
      <c r="Q15" s="610" t="s">
        <v>1585</v>
      </c>
      <c r="R15" s="610" t="s">
        <v>1585</v>
      </c>
      <c r="S15" s="610">
        <v>0.45</v>
      </c>
      <c r="T15" s="610">
        <v>0.45</v>
      </c>
      <c r="U15" s="610">
        <v>0.45</v>
      </c>
      <c r="V15" s="678">
        <f t="shared" si="1"/>
        <v>9.1125000000000012E-2</v>
      </c>
    </row>
    <row r="16" spans="1:22">
      <c r="A16" s="610">
        <v>3</v>
      </c>
      <c r="B16" s="610" t="s">
        <v>628</v>
      </c>
      <c r="C16" s="653">
        <v>2</v>
      </c>
      <c r="D16" s="610" t="s">
        <v>1587</v>
      </c>
      <c r="E16" s="653">
        <v>2</v>
      </c>
      <c r="F16" s="610" t="s">
        <v>1595</v>
      </c>
      <c r="G16" s="480"/>
      <c r="H16" s="653" t="s">
        <v>1613</v>
      </c>
      <c r="I16" s="445" t="s">
        <v>1581</v>
      </c>
      <c r="J16" s="445" t="s">
        <v>1582</v>
      </c>
      <c r="K16" s="445" t="s">
        <v>1583</v>
      </c>
      <c r="L16" s="610" t="s">
        <v>1614</v>
      </c>
      <c r="M16" s="673">
        <v>1.35</v>
      </c>
      <c r="N16" s="673">
        <v>1.35</v>
      </c>
      <c r="O16" s="673">
        <v>0.3</v>
      </c>
      <c r="P16" s="678">
        <f t="shared" si="0"/>
        <v>0.54675000000000007</v>
      </c>
      <c r="Q16" s="610" t="s">
        <v>1615</v>
      </c>
      <c r="R16" s="610" t="s">
        <v>1615</v>
      </c>
      <c r="S16" s="610">
        <v>0.45</v>
      </c>
      <c r="T16" s="610">
        <v>0.45</v>
      </c>
      <c r="U16" s="610">
        <v>0.45</v>
      </c>
      <c r="V16" s="678">
        <f t="shared" si="1"/>
        <v>9.1125000000000012E-2</v>
      </c>
    </row>
    <row r="17" spans="1:22" ht="15">
      <c r="A17" s="610">
        <v>4</v>
      </c>
      <c r="B17" s="610" t="s">
        <v>1271</v>
      </c>
      <c r="C17" s="653">
        <v>1</v>
      </c>
      <c r="D17" s="610" t="s">
        <v>1616</v>
      </c>
      <c r="E17" s="653">
        <v>2</v>
      </c>
      <c r="F17" s="610" t="s">
        <v>1595</v>
      </c>
      <c r="G17" s="480"/>
      <c r="H17" s="653" t="s">
        <v>1617</v>
      </c>
      <c r="I17" s="445" t="s">
        <v>1581</v>
      </c>
      <c r="J17" s="445" t="s">
        <v>1582</v>
      </c>
      <c r="K17" s="445" t="s">
        <v>1583</v>
      </c>
      <c r="L17" s="445" t="s">
        <v>1584</v>
      </c>
      <c r="M17" s="670">
        <v>1.7</v>
      </c>
      <c r="N17" s="673">
        <v>1.7</v>
      </c>
      <c r="O17" s="658">
        <v>0.35</v>
      </c>
      <c r="P17" s="678">
        <f t="shared" si="0"/>
        <v>1.0114999999999998</v>
      </c>
      <c r="Q17" s="445" t="s">
        <v>1585</v>
      </c>
      <c r="R17" s="445" t="s">
        <v>1585</v>
      </c>
      <c r="S17" s="610">
        <v>0.45</v>
      </c>
      <c r="T17" s="610">
        <v>0.45</v>
      </c>
      <c r="U17" s="610">
        <v>0.45</v>
      </c>
      <c r="V17" s="678">
        <f t="shared" si="1"/>
        <v>9.1125000000000012E-2</v>
      </c>
    </row>
    <row r="18" spans="1:22" ht="25.5">
      <c r="A18" s="1417">
        <v>5</v>
      </c>
      <c r="B18" s="610" t="s">
        <v>1618</v>
      </c>
      <c r="C18" s="653">
        <v>1</v>
      </c>
      <c r="D18" s="610" t="s">
        <v>1616</v>
      </c>
      <c r="E18" s="653">
        <v>2</v>
      </c>
      <c r="F18" s="610" t="s">
        <v>1595</v>
      </c>
      <c r="G18" s="480"/>
      <c r="H18" s="653" t="s">
        <v>1619</v>
      </c>
      <c r="I18" s="671" t="s">
        <v>1589</v>
      </c>
      <c r="J18" s="677" t="s">
        <v>1582</v>
      </c>
      <c r="K18" s="654" t="s">
        <v>1590</v>
      </c>
      <c r="L18" s="610" t="s">
        <v>1584</v>
      </c>
      <c r="M18" s="670">
        <v>1.7</v>
      </c>
      <c r="N18" s="673">
        <v>1.7</v>
      </c>
      <c r="O18" s="678">
        <v>0.35</v>
      </c>
      <c r="P18" s="678">
        <f t="shared" si="0"/>
        <v>1.0114999999999998</v>
      </c>
      <c r="Q18" s="610" t="s">
        <v>1585</v>
      </c>
      <c r="R18" s="610" t="s">
        <v>1585</v>
      </c>
      <c r="S18" s="610">
        <v>0.45</v>
      </c>
      <c r="T18" s="610">
        <v>0.45</v>
      </c>
      <c r="U18" s="610">
        <v>0.45</v>
      </c>
      <c r="V18" s="678">
        <f t="shared" si="1"/>
        <v>9.1125000000000012E-2</v>
      </c>
    </row>
    <row r="19" spans="1:22">
      <c r="A19" s="1418"/>
      <c r="B19" s="679" t="s">
        <v>1620</v>
      </c>
      <c r="C19" s="653">
        <v>1</v>
      </c>
      <c r="D19" s="610" t="s">
        <v>1621</v>
      </c>
      <c r="E19" s="653">
        <v>1</v>
      </c>
      <c r="F19" s="610" t="s">
        <v>1622</v>
      </c>
      <c r="G19" s="480"/>
      <c r="H19" s="610" t="s">
        <v>1581</v>
      </c>
      <c r="I19" s="611" t="s">
        <v>1623</v>
      </c>
      <c r="J19" s="680"/>
      <c r="K19" s="680"/>
      <c r="L19" s="680"/>
      <c r="M19" s="680"/>
      <c r="N19" s="681"/>
      <c r="O19" s="653">
        <v>8</v>
      </c>
      <c r="P19" s="480"/>
      <c r="Q19" s="480"/>
      <c r="R19" s="480"/>
      <c r="S19" s="480"/>
      <c r="T19" s="480"/>
      <c r="U19" s="480"/>
      <c r="V19" s="480"/>
    </row>
    <row r="20" spans="1:22" ht="15">
      <c r="A20" s="610">
        <v>6</v>
      </c>
      <c r="B20" s="610" t="s">
        <v>1624</v>
      </c>
      <c r="C20" s="653">
        <v>1</v>
      </c>
      <c r="D20" s="610" t="s">
        <v>1621</v>
      </c>
      <c r="E20" s="653">
        <v>1</v>
      </c>
      <c r="F20" s="610" t="s">
        <v>1625</v>
      </c>
      <c r="G20" s="480"/>
      <c r="H20" s="610" t="s">
        <v>1589</v>
      </c>
      <c r="I20" s="1419" t="s">
        <v>1626</v>
      </c>
      <c r="J20" s="1420"/>
      <c r="K20" s="1420"/>
      <c r="L20" s="1420"/>
      <c r="M20" s="1420"/>
      <c r="N20" s="1421"/>
      <c r="O20" s="653">
        <v>7</v>
      </c>
      <c r="P20" s="480"/>
      <c r="Q20" s="480"/>
      <c r="R20" s="480"/>
      <c r="S20" s="480"/>
      <c r="T20" s="480"/>
      <c r="U20" s="480"/>
      <c r="V20" s="480"/>
    </row>
    <row r="21" spans="1:22">
      <c r="A21" s="610">
        <v>7</v>
      </c>
      <c r="B21" s="610" t="s">
        <v>1627</v>
      </c>
      <c r="C21" s="653">
        <v>2</v>
      </c>
      <c r="D21" s="610" t="s">
        <v>1621</v>
      </c>
      <c r="E21" s="653">
        <v>1</v>
      </c>
      <c r="F21" s="610" t="s">
        <v>1625</v>
      </c>
      <c r="G21" s="480"/>
      <c r="H21" s="610" t="s">
        <v>1614</v>
      </c>
      <c r="I21" s="682" t="s">
        <v>1613</v>
      </c>
      <c r="J21" s="683"/>
      <c r="K21" s="683"/>
      <c r="L21" s="683"/>
      <c r="M21" s="683"/>
      <c r="N21" s="684"/>
      <c r="O21" s="653">
        <v>1</v>
      </c>
      <c r="P21" s="673">
        <v>1.35</v>
      </c>
      <c r="Q21" s="673">
        <v>1.35</v>
      </c>
      <c r="R21" s="673">
        <v>0.3</v>
      </c>
      <c r="S21" s="678">
        <f>O21*P21*Q21*R21</f>
        <v>0.54675000000000007</v>
      </c>
      <c r="T21" s="480"/>
      <c r="U21" s="480"/>
      <c r="V21" s="480"/>
    </row>
    <row r="22" spans="1:22" ht="15">
      <c r="A22" s="610">
        <v>8</v>
      </c>
      <c r="B22" s="610" t="s">
        <v>1080</v>
      </c>
      <c r="C22" s="610"/>
      <c r="D22" s="610"/>
      <c r="E22" s="653">
        <v>1</v>
      </c>
      <c r="F22" s="610" t="s">
        <v>1595</v>
      </c>
      <c r="G22" s="480"/>
      <c r="H22" s="610" t="s">
        <v>1584</v>
      </c>
      <c r="I22" s="682" t="s">
        <v>1628</v>
      </c>
      <c r="J22" s="683"/>
      <c r="K22" s="683"/>
      <c r="L22" s="683"/>
      <c r="M22" s="683"/>
      <c r="N22" s="684"/>
      <c r="O22" s="653">
        <v>11</v>
      </c>
      <c r="P22" s="670">
        <v>1.7</v>
      </c>
      <c r="Q22" s="673">
        <v>1.7</v>
      </c>
      <c r="R22" s="658">
        <v>0.35</v>
      </c>
      <c r="S22" s="678">
        <f>O22*P22*Q22*R22</f>
        <v>11.126499999999998</v>
      </c>
      <c r="T22" s="480"/>
      <c r="U22" s="480"/>
      <c r="V22" s="480"/>
    </row>
    <row r="23" spans="1:22" ht="15">
      <c r="A23" s="480"/>
      <c r="B23" s="480"/>
      <c r="C23" s="480"/>
      <c r="D23" s="480"/>
      <c r="E23" s="685"/>
      <c r="F23" s="480"/>
      <c r="G23" s="480"/>
      <c r="H23" s="610" t="s">
        <v>1591</v>
      </c>
      <c r="I23" s="1422" t="s">
        <v>1629</v>
      </c>
      <c r="J23" s="1423"/>
      <c r="K23" s="1423"/>
      <c r="L23" s="1423"/>
      <c r="M23" s="1423"/>
      <c r="N23" s="1424"/>
      <c r="O23" s="653">
        <v>3</v>
      </c>
      <c r="P23" s="670">
        <v>2</v>
      </c>
      <c r="Q23" s="673">
        <v>2</v>
      </c>
      <c r="R23" s="678">
        <v>0.4</v>
      </c>
      <c r="S23" s="678">
        <f>O23*P23*Q23*R23</f>
        <v>4.8000000000000007</v>
      </c>
      <c r="T23" s="480"/>
      <c r="U23" s="480"/>
      <c r="V23" s="480"/>
    </row>
    <row r="24" spans="1:22">
      <c r="A24" s="480"/>
      <c r="B24" s="480"/>
      <c r="C24" s="480"/>
      <c r="D24" s="480"/>
      <c r="E24" s="685"/>
      <c r="F24" s="480"/>
      <c r="G24" s="480"/>
      <c r="H24" s="480"/>
      <c r="I24" s="480"/>
      <c r="J24" s="480"/>
      <c r="K24" s="480"/>
      <c r="L24" s="480"/>
      <c r="M24" s="480"/>
      <c r="N24" s="480"/>
      <c r="O24" s="480"/>
      <c r="P24" s="480"/>
      <c r="Q24" s="480"/>
      <c r="R24" s="480"/>
      <c r="S24" s="480"/>
      <c r="T24" s="480"/>
      <c r="U24" s="480"/>
      <c r="V24" s="480"/>
    </row>
    <row r="25" spans="1:22">
      <c r="A25" s="480"/>
      <c r="B25" s="480"/>
      <c r="C25" s="480"/>
      <c r="D25" s="480"/>
      <c r="E25" s="685"/>
      <c r="F25" s="480"/>
      <c r="G25" s="480"/>
      <c r="H25" s="480"/>
      <c r="I25" s="480"/>
      <c r="J25" s="480"/>
      <c r="K25" s="480"/>
      <c r="L25" s="480"/>
      <c r="M25" s="480"/>
      <c r="N25" s="480"/>
      <c r="O25" s="480"/>
      <c r="P25" s="480"/>
      <c r="Q25" s="480"/>
      <c r="R25" s="480"/>
      <c r="S25" s="480"/>
      <c r="T25" s="480"/>
      <c r="U25" s="480"/>
      <c r="V25" s="480"/>
    </row>
    <row r="26" spans="1:22" ht="21">
      <c r="A26" s="1425" t="s">
        <v>1630</v>
      </c>
      <c r="B26" s="1425"/>
      <c r="C26" s="1425"/>
      <c r="D26" s="1425"/>
      <c r="E26" s="1425"/>
      <c r="F26" s="1425"/>
      <c r="G26" s="1425"/>
      <c r="H26" s="1425"/>
      <c r="I26" s="1425"/>
      <c r="J26" s="1425"/>
      <c r="K26" s="1425"/>
      <c r="L26" s="1425"/>
      <c r="M26" s="1425"/>
      <c r="N26" s="1425"/>
      <c r="O26" s="1425"/>
      <c r="P26" s="1425"/>
      <c r="Q26" s="1425"/>
      <c r="R26" s="1425"/>
      <c r="S26" s="1425"/>
      <c r="T26" s="480"/>
      <c r="U26" s="480"/>
      <c r="V26" s="480"/>
    </row>
    <row r="27" spans="1:22">
      <c r="A27" s="480"/>
      <c r="B27" s="1426" t="s">
        <v>1631</v>
      </c>
      <c r="C27" s="1427" t="s">
        <v>1572</v>
      </c>
      <c r="D27" s="1414" t="s">
        <v>1632</v>
      </c>
      <c r="E27" s="1426" t="s">
        <v>1633</v>
      </c>
      <c r="F27" s="1426"/>
      <c r="G27" s="1426"/>
      <c r="H27" s="1426"/>
      <c r="I27" s="1426"/>
      <c r="J27" s="1426"/>
      <c r="K27" s="1426"/>
      <c r="L27" s="1426"/>
      <c r="M27" s="1426"/>
      <c r="N27" s="1426"/>
      <c r="O27" s="1426"/>
      <c r="P27" s="1426"/>
      <c r="Q27" s="1426"/>
      <c r="R27" s="1426"/>
      <c r="S27" s="1426"/>
      <c r="T27" s="1426"/>
      <c r="U27" s="480"/>
      <c r="V27" s="480"/>
    </row>
    <row r="28" spans="1:22">
      <c r="A28" s="480"/>
      <c r="B28" s="1426"/>
      <c r="C28" s="1427"/>
      <c r="D28" s="1428"/>
      <c r="E28" s="1332" t="s">
        <v>1577</v>
      </c>
      <c r="F28" s="1333"/>
      <c r="G28" s="1333"/>
      <c r="H28" s="1333"/>
      <c r="I28" s="1333"/>
      <c r="J28" s="1334"/>
      <c r="K28" s="1332" t="s">
        <v>1634</v>
      </c>
      <c r="L28" s="1333"/>
      <c r="M28" s="1333"/>
      <c r="N28" s="1333"/>
      <c r="O28" s="1333"/>
      <c r="P28" s="1334"/>
      <c r="Q28" s="1414" t="s">
        <v>1426</v>
      </c>
      <c r="R28" s="1414" t="s">
        <v>1427</v>
      </c>
      <c r="S28" s="1414" t="s">
        <v>1428</v>
      </c>
      <c r="T28" s="1414" t="s">
        <v>1429</v>
      </c>
      <c r="U28" s="480"/>
      <c r="V28" s="480"/>
    </row>
    <row r="29" spans="1:22" ht="33.75">
      <c r="A29" s="480"/>
      <c r="B29" s="1426"/>
      <c r="C29" s="1427"/>
      <c r="D29" s="1411"/>
      <c r="E29" s="609" t="s">
        <v>1635</v>
      </c>
      <c r="F29" s="609" t="s">
        <v>1487</v>
      </c>
      <c r="G29" s="609" t="s">
        <v>1636</v>
      </c>
      <c r="H29" s="609" t="s">
        <v>1637</v>
      </c>
      <c r="I29" s="609" t="s">
        <v>1487</v>
      </c>
      <c r="J29" s="609" t="s">
        <v>1636</v>
      </c>
      <c r="K29" s="609" t="s">
        <v>1637</v>
      </c>
      <c r="L29" s="609" t="s">
        <v>1487</v>
      </c>
      <c r="M29" s="609" t="s">
        <v>1636</v>
      </c>
      <c r="N29" s="609" t="s">
        <v>1638</v>
      </c>
      <c r="O29" s="609" t="s">
        <v>1487</v>
      </c>
      <c r="P29" s="609" t="s">
        <v>1636</v>
      </c>
      <c r="Q29" s="1411"/>
      <c r="R29" s="1411"/>
      <c r="S29" s="1411"/>
      <c r="T29" s="1411"/>
      <c r="U29" s="480"/>
      <c r="V29" s="480"/>
    </row>
    <row r="30" spans="1:22">
      <c r="A30" s="480"/>
      <c r="B30" s="1429" t="s">
        <v>1639</v>
      </c>
      <c r="C30" s="1431" t="s">
        <v>1613</v>
      </c>
      <c r="D30" s="653">
        <v>1</v>
      </c>
      <c r="E30" s="610">
        <v>8</v>
      </c>
      <c r="F30" s="610">
        <f>1.35+0.15+0.15-2*0.05</f>
        <v>1.5499999999999998</v>
      </c>
      <c r="G30" s="610">
        <f>F30*E30*D30</f>
        <v>12.399999999999999</v>
      </c>
      <c r="H30" s="610"/>
      <c r="I30" s="610"/>
      <c r="J30" s="610"/>
      <c r="K30" s="610">
        <v>4</v>
      </c>
      <c r="L30" s="610">
        <f>0.3+0.3+0.45+0.25-2*0.04</f>
        <v>1.22</v>
      </c>
      <c r="M30" s="610">
        <f>L30*K30*D30</f>
        <v>4.88</v>
      </c>
      <c r="N30" s="610">
        <f>ROUND((0.3+0.45)/0.2+1,0)</f>
        <v>5</v>
      </c>
      <c r="O30" s="610">
        <f>4*0.45-4*0.04+2*0.075</f>
        <v>1.79</v>
      </c>
      <c r="P30" s="610">
        <f>O30*N30*D30</f>
        <v>8.9499999999999993</v>
      </c>
      <c r="Q30" s="675">
        <f>G30</f>
        <v>12.399999999999999</v>
      </c>
      <c r="R30" s="675">
        <f>M30</f>
        <v>4.88</v>
      </c>
      <c r="S30" s="675">
        <f>P30</f>
        <v>8.9499999999999993</v>
      </c>
      <c r="T30" s="610"/>
      <c r="U30" s="480"/>
      <c r="V30" s="480"/>
    </row>
    <row r="31" spans="1:22">
      <c r="B31" s="1430"/>
      <c r="C31" s="1432"/>
      <c r="D31" s="225">
        <v>1</v>
      </c>
      <c r="E31" s="610">
        <v>8</v>
      </c>
      <c r="F31" s="610">
        <f>1.35+0.15+0.15-2*0.05</f>
        <v>1.5499999999999998</v>
      </c>
      <c r="G31" s="610">
        <f>F31*E31*D31</f>
        <v>12.399999999999999</v>
      </c>
      <c r="H31" s="445"/>
      <c r="I31" s="445"/>
      <c r="J31" s="445"/>
      <c r="K31" s="445"/>
      <c r="L31" s="445"/>
      <c r="M31" s="445"/>
      <c r="N31" s="445"/>
      <c r="O31" s="445"/>
      <c r="P31" s="445"/>
      <c r="Q31" s="610">
        <f>G31</f>
        <v>12.399999999999999</v>
      </c>
      <c r="R31" s="445"/>
      <c r="S31" s="445"/>
      <c r="T31" s="445"/>
    </row>
    <row r="32" spans="1:22">
      <c r="A32" s="480"/>
      <c r="B32" s="1429" t="s">
        <v>1640</v>
      </c>
      <c r="C32" s="1429" t="s">
        <v>1628</v>
      </c>
      <c r="D32" s="653">
        <v>11</v>
      </c>
      <c r="E32" s="610"/>
      <c r="F32" s="610"/>
      <c r="G32" s="610"/>
      <c r="H32" s="610">
        <v>10</v>
      </c>
      <c r="I32" s="610">
        <f>1.7+0.15+0.15-2*0.05</f>
        <v>1.8999999999999997</v>
      </c>
      <c r="J32" s="610">
        <f>I32*H32*D32</f>
        <v>208.99999999999997</v>
      </c>
      <c r="K32" s="610">
        <v>4</v>
      </c>
      <c r="L32" s="610">
        <f>0.3+0.35+0.45+0.25-2*0.04</f>
        <v>1.2699999999999998</v>
      </c>
      <c r="M32" s="610">
        <f>L32*K32*D32</f>
        <v>55.879999999999988</v>
      </c>
      <c r="N32" s="610">
        <f>ROUND((0.35+0.45)/0.2+1,0)</f>
        <v>5</v>
      </c>
      <c r="O32" s="610">
        <f>4*0.45-4*0.04+2*0.075</f>
        <v>1.79</v>
      </c>
      <c r="P32" s="610">
        <f>O32*N32*D32</f>
        <v>98.449999999999989</v>
      </c>
      <c r="Q32" s="610"/>
      <c r="R32" s="610">
        <f>J32+M32</f>
        <v>264.87999999999994</v>
      </c>
      <c r="S32" s="610">
        <f>P32</f>
        <v>98.449999999999989</v>
      </c>
      <c r="T32" s="610"/>
      <c r="U32" s="480"/>
      <c r="V32" s="480"/>
    </row>
    <row r="33" spans="1:22">
      <c r="A33" s="480"/>
      <c r="B33" s="1430"/>
      <c r="C33" s="1430"/>
      <c r="D33" s="653">
        <v>11</v>
      </c>
      <c r="E33" s="610"/>
      <c r="F33" s="610"/>
      <c r="G33" s="610"/>
      <c r="H33" s="610">
        <v>10</v>
      </c>
      <c r="I33" s="610">
        <f>1.7+0.15+0.15-2*0.05</f>
        <v>1.8999999999999997</v>
      </c>
      <c r="J33" s="610">
        <f>I33*H33*D33</f>
        <v>208.99999999999997</v>
      </c>
      <c r="K33" s="610"/>
      <c r="L33" s="610"/>
      <c r="M33" s="610"/>
      <c r="N33" s="610"/>
      <c r="O33" s="610"/>
      <c r="P33" s="610"/>
      <c r="Q33" s="610"/>
      <c r="R33" s="610">
        <f>J33</f>
        <v>208.99999999999997</v>
      </c>
      <c r="S33" s="610"/>
      <c r="T33" s="610"/>
      <c r="U33" s="480"/>
      <c r="V33" s="480"/>
    </row>
    <row r="34" spans="1:22">
      <c r="B34" s="1429" t="s">
        <v>1641</v>
      </c>
      <c r="C34" s="1433" t="s">
        <v>1629</v>
      </c>
      <c r="D34" s="653">
        <v>3</v>
      </c>
      <c r="E34" s="445"/>
      <c r="F34" s="445"/>
      <c r="G34" s="445"/>
      <c r="H34" s="445">
        <v>13</v>
      </c>
      <c r="I34" s="445">
        <f>2+0.15+0.15-2*0.05</f>
        <v>2.1999999999999997</v>
      </c>
      <c r="J34" s="610">
        <f>I34*H34*D34</f>
        <v>85.8</v>
      </c>
      <c r="K34" s="610">
        <v>4</v>
      </c>
      <c r="L34" s="610">
        <f>0.3+0.425+0.45+0.25-2*0.04</f>
        <v>1.345</v>
      </c>
      <c r="M34" s="610">
        <f>L34*K34*D34</f>
        <v>16.14</v>
      </c>
      <c r="N34" s="610">
        <f>ROUND((0.425+0.45)/0.2+1,0)</f>
        <v>5</v>
      </c>
      <c r="O34" s="610">
        <f>4*0.45-4*0.04+2*0.075</f>
        <v>1.79</v>
      </c>
      <c r="P34" s="610">
        <f>O34*N34*D34</f>
        <v>26.849999999999998</v>
      </c>
      <c r="Q34" s="445"/>
      <c r="R34" s="610">
        <f>J34+M34</f>
        <v>101.94</v>
      </c>
      <c r="S34" s="445">
        <f>P34</f>
        <v>26.849999999999998</v>
      </c>
      <c r="T34" s="445"/>
    </row>
    <row r="35" spans="1:22">
      <c r="B35" s="1430"/>
      <c r="C35" s="1434"/>
      <c r="D35" s="677">
        <v>3</v>
      </c>
      <c r="E35" s="445"/>
      <c r="F35" s="445"/>
      <c r="G35" s="445"/>
      <c r="H35" s="610">
        <v>13</v>
      </c>
      <c r="I35" s="445">
        <f>2+0.15+0.15-2*0.05</f>
        <v>2.1999999999999997</v>
      </c>
      <c r="J35" s="610">
        <f>I35*H35*D35</f>
        <v>85.8</v>
      </c>
      <c r="K35" s="610"/>
      <c r="L35" s="610"/>
      <c r="M35" s="610"/>
      <c r="N35" s="610"/>
      <c r="O35" s="610"/>
      <c r="P35" s="610"/>
      <c r="Q35" s="445"/>
      <c r="R35" s="610">
        <f>J35</f>
        <v>85.8</v>
      </c>
      <c r="S35" s="445"/>
      <c r="T35" s="445"/>
    </row>
    <row r="36" spans="1:22" ht="15">
      <c r="A36" s="630"/>
      <c r="B36" s="686"/>
      <c r="C36" s="686"/>
      <c r="D36" s="686"/>
      <c r="E36" s="686"/>
      <c r="F36" s="686"/>
      <c r="G36" s="686"/>
      <c r="H36" s="686"/>
      <c r="I36" s="686"/>
      <c r="J36" s="686"/>
      <c r="K36" s="686"/>
      <c r="L36" s="686"/>
      <c r="M36" s="686"/>
      <c r="N36" s="686"/>
      <c r="O36" s="686"/>
      <c r="P36" s="686" t="s">
        <v>1642</v>
      </c>
      <c r="Q36" s="686">
        <f>SUM(Q30:Q35)</f>
        <v>24.799999999999997</v>
      </c>
      <c r="R36" s="686">
        <f>SUM(R30:R35)</f>
        <v>666.49999999999977</v>
      </c>
      <c r="S36" s="686">
        <f>SUM(S30:S35)</f>
        <v>134.25</v>
      </c>
      <c r="T36" s="686"/>
      <c r="U36" s="630"/>
      <c r="V36" s="630"/>
    </row>
    <row r="37" spans="1:22" ht="21">
      <c r="B37" s="1425" t="s">
        <v>1643</v>
      </c>
      <c r="C37" s="1425"/>
      <c r="D37" s="1425"/>
      <c r="E37" s="1425"/>
      <c r="F37" s="1425"/>
      <c r="G37" s="1425"/>
      <c r="H37" s="1425"/>
      <c r="I37" s="1425"/>
      <c r="J37" s="1425"/>
      <c r="K37" s="1425"/>
      <c r="L37" s="1425"/>
      <c r="M37" s="1425"/>
      <c r="N37" s="1425"/>
      <c r="O37" s="1425"/>
      <c r="P37" s="1425"/>
      <c r="Q37" s="1425"/>
      <c r="R37" s="1425"/>
      <c r="S37" s="1425"/>
      <c r="T37" s="1425"/>
    </row>
    <row r="38" spans="1:22">
      <c r="A38" s="664"/>
      <c r="B38" s="1435" t="s">
        <v>1644</v>
      </c>
      <c r="C38" s="1435" t="s">
        <v>1572</v>
      </c>
      <c r="D38" s="1435" t="s">
        <v>1425</v>
      </c>
      <c r="E38" s="1437" t="s">
        <v>1645</v>
      </c>
      <c r="F38" s="1438"/>
      <c r="G38" s="1439"/>
      <c r="H38" s="1440" t="s">
        <v>1646</v>
      </c>
      <c r="I38" s="1438"/>
      <c r="J38" s="1438"/>
      <c r="K38" s="1438"/>
      <c r="L38" s="1438"/>
      <c r="M38" s="1439"/>
      <c r="N38" s="1440" t="s">
        <v>1647</v>
      </c>
      <c r="O38" s="1438"/>
      <c r="P38" s="1439"/>
      <c r="Q38" s="653" t="s">
        <v>1426</v>
      </c>
      <c r="R38" s="653" t="s">
        <v>1427</v>
      </c>
      <c r="S38" s="653" t="s">
        <v>1428</v>
      </c>
      <c r="T38" s="610" t="s">
        <v>1429</v>
      </c>
      <c r="U38" s="664"/>
      <c r="V38" s="664"/>
    </row>
    <row r="39" spans="1:22" ht="45">
      <c r="A39" s="664"/>
      <c r="B39" s="1436"/>
      <c r="C39" s="1436"/>
      <c r="D39" s="1435"/>
      <c r="E39" s="687" t="s">
        <v>1648</v>
      </c>
      <c r="F39" s="687" t="s">
        <v>1649</v>
      </c>
      <c r="G39" s="687" t="s">
        <v>1636</v>
      </c>
      <c r="H39" s="687" t="s">
        <v>1650</v>
      </c>
      <c r="I39" s="687" t="s">
        <v>1487</v>
      </c>
      <c r="J39" s="687" t="s">
        <v>1636</v>
      </c>
      <c r="K39" s="687" t="s">
        <v>1651</v>
      </c>
      <c r="L39" s="687" t="s">
        <v>1487</v>
      </c>
      <c r="M39" s="687" t="s">
        <v>1636</v>
      </c>
      <c r="N39" s="687" t="s">
        <v>1652</v>
      </c>
      <c r="O39" s="687" t="s">
        <v>1649</v>
      </c>
      <c r="P39" s="687" t="s">
        <v>1636</v>
      </c>
      <c r="Q39" s="688"/>
      <c r="R39" s="688"/>
      <c r="S39" s="688"/>
      <c r="T39" s="688"/>
      <c r="U39" s="664"/>
      <c r="V39" s="664"/>
    </row>
    <row r="40" spans="1:22" ht="38.25">
      <c r="B40" s="610" t="s">
        <v>1653</v>
      </c>
      <c r="C40" s="654" t="s">
        <v>1623</v>
      </c>
      <c r="D40" s="653">
        <v>8</v>
      </c>
      <c r="E40" s="610">
        <f>ROUND((1.5+0.5+0.5)/0.075+1,0)</f>
        <v>34</v>
      </c>
      <c r="F40" s="610">
        <f>2*0.23+2*0.38-4*0.04+2*0.075</f>
        <v>1.21</v>
      </c>
      <c r="G40" s="610">
        <f>F40*E40*D40</f>
        <v>329.12</v>
      </c>
      <c r="H40" s="610">
        <v>8</v>
      </c>
      <c r="I40" s="610">
        <f>0.6+1.35+0.3+0.6+3.3</f>
        <v>6.15</v>
      </c>
      <c r="J40" s="610">
        <f>I40*H40*D40</f>
        <v>393.6</v>
      </c>
      <c r="K40" s="445"/>
      <c r="L40" s="445"/>
      <c r="M40" s="445"/>
      <c r="N40" s="610">
        <f>ROUND(I40/0.115-E40,0)</f>
        <v>19</v>
      </c>
      <c r="O40" s="610">
        <f>F40</f>
        <v>1.21</v>
      </c>
      <c r="P40" s="610">
        <f>O40*N40*D40</f>
        <v>183.92</v>
      </c>
      <c r="Q40" s="689">
        <f>G40</f>
        <v>329.12</v>
      </c>
      <c r="R40" s="689">
        <f>J40</f>
        <v>393.6</v>
      </c>
      <c r="S40" s="689">
        <f>P40</f>
        <v>183.92</v>
      </c>
      <c r="T40" s="688"/>
    </row>
    <row r="41" spans="1:22">
      <c r="B41" s="610"/>
      <c r="C41" s="654"/>
      <c r="D41" s="653">
        <v>8</v>
      </c>
      <c r="E41" s="610">
        <f>E40</f>
        <v>34</v>
      </c>
      <c r="F41" s="678">
        <f>4*0.222+2*0.075</f>
        <v>1.038</v>
      </c>
      <c r="G41" s="610">
        <f>F41*E41*D41</f>
        <v>282.33600000000001</v>
      </c>
      <c r="H41" s="610"/>
      <c r="I41" s="610"/>
      <c r="J41" s="610"/>
      <c r="K41" s="445"/>
      <c r="L41" s="445"/>
      <c r="M41" s="445"/>
      <c r="N41" s="610">
        <f>N40</f>
        <v>19</v>
      </c>
      <c r="O41" s="610">
        <f>F41</f>
        <v>1.038</v>
      </c>
      <c r="P41" s="610">
        <f>O41*N41*D41</f>
        <v>157.77600000000001</v>
      </c>
      <c r="Q41" s="689">
        <f>G41</f>
        <v>282.33600000000001</v>
      </c>
      <c r="R41" s="689">
        <f>J41</f>
        <v>0</v>
      </c>
      <c r="S41" s="689">
        <f>P41</f>
        <v>157.77600000000001</v>
      </c>
      <c r="T41" s="688"/>
    </row>
    <row r="42" spans="1:22">
      <c r="B42" s="1441" t="s">
        <v>1654</v>
      </c>
      <c r="C42" s="1443" t="s">
        <v>1626</v>
      </c>
      <c r="D42" s="1330">
        <v>7</v>
      </c>
      <c r="E42" s="610">
        <f>ROUND((1.5+0.5+0.5)/0.075+1,0)</f>
        <v>34</v>
      </c>
      <c r="F42" s="610">
        <f>2*0.23+2*0.38-4*0.04+2*0.075</f>
        <v>1.21</v>
      </c>
      <c r="G42" s="610">
        <f>F42*E42*D42</f>
        <v>287.98</v>
      </c>
      <c r="H42" s="610">
        <v>4</v>
      </c>
      <c r="I42" s="610">
        <f>0.6+1.35+0.3+0.6+3.3</f>
        <v>6.15</v>
      </c>
      <c r="J42" s="610">
        <f>I42*H42*D42</f>
        <v>172.20000000000002</v>
      </c>
      <c r="K42" s="445"/>
      <c r="L42" s="445"/>
      <c r="M42" s="445"/>
      <c r="N42" s="610">
        <f>ROUND(I42/0.115-E42,0)</f>
        <v>19</v>
      </c>
      <c r="O42" s="610">
        <f>F42</f>
        <v>1.21</v>
      </c>
      <c r="P42" s="610">
        <f>O42*N42*D42</f>
        <v>160.92999999999998</v>
      </c>
      <c r="Q42" s="689">
        <f>G42</f>
        <v>287.98</v>
      </c>
      <c r="R42" s="689">
        <f>J42</f>
        <v>172.20000000000002</v>
      </c>
      <c r="S42" s="689">
        <f>P42</f>
        <v>160.92999999999998</v>
      </c>
      <c r="T42" s="688"/>
    </row>
    <row r="43" spans="1:22">
      <c r="B43" s="1442"/>
      <c r="C43" s="1444"/>
      <c r="D43" s="1331"/>
      <c r="E43" s="610"/>
      <c r="F43" s="610"/>
      <c r="G43" s="610"/>
      <c r="K43" s="610">
        <v>4</v>
      </c>
      <c r="L43" s="610">
        <f>0.6+1.35+0.6+3.3</f>
        <v>5.85</v>
      </c>
      <c r="M43" s="610">
        <f>L43*K43*D42</f>
        <v>163.79999999999998</v>
      </c>
      <c r="N43" s="610"/>
      <c r="O43" s="610"/>
      <c r="P43" s="610"/>
      <c r="Q43" s="689">
        <f>G43</f>
        <v>0</v>
      </c>
      <c r="R43" s="689"/>
      <c r="S43" s="689">
        <f>P43</f>
        <v>0</v>
      </c>
      <c r="T43" s="689">
        <f>M43</f>
        <v>163.79999999999998</v>
      </c>
    </row>
    <row r="44" spans="1:22">
      <c r="B44" s="445"/>
      <c r="C44" s="654"/>
      <c r="D44" s="653">
        <v>7</v>
      </c>
      <c r="E44" s="610">
        <f>E42</f>
        <v>34</v>
      </c>
      <c r="F44" s="610">
        <f>4*0.222+2*0.075</f>
        <v>1.038</v>
      </c>
      <c r="G44" s="610">
        <f>F44*E44*D44</f>
        <v>247.04400000000001</v>
      </c>
      <c r="H44" s="610"/>
      <c r="I44" s="610"/>
      <c r="J44" s="610"/>
      <c r="K44" s="445"/>
      <c r="L44" s="445"/>
      <c r="M44" s="445"/>
      <c r="N44" s="610">
        <f>N42</f>
        <v>19</v>
      </c>
      <c r="O44" s="610">
        <f>F44</f>
        <v>1.038</v>
      </c>
      <c r="P44" s="610">
        <f>O44*N44*D44</f>
        <v>138.054</v>
      </c>
      <c r="Q44" s="689">
        <f>G44</f>
        <v>247.04400000000001</v>
      </c>
      <c r="R44" s="689">
        <f>J44</f>
        <v>0</v>
      </c>
      <c r="S44" s="689">
        <f>P44</f>
        <v>138.054</v>
      </c>
      <c r="T44" s="688"/>
    </row>
    <row r="45" spans="1:22">
      <c r="B45" s="445" t="s">
        <v>136</v>
      </c>
      <c r="C45" s="445"/>
      <c r="D45" s="445"/>
      <c r="E45" s="445"/>
      <c r="F45" s="445"/>
      <c r="G45" s="445"/>
      <c r="H45" s="445"/>
      <c r="I45" s="445"/>
      <c r="J45" s="445"/>
      <c r="K45" s="445"/>
      <c r="L45" s="445"/>
      <c r="M45" s="445"/>
      <c r="N45" s="445"/>
      <c r="O45" s="445"/>
      <c r="P45" s="445"/>
      <c r="Q45" s="690">
        <f>SUM(Q40:Q44)</f>
        <v>1146.48</v>
      </c>
      <c r="R45" s="690">
        <f>SUM(R40:R44)</f>
        <v>565.80000000000007</v>
      </c>
      <c r="S45" s="690">
        <f>SUM(S40:S44)</f>
        <v>640.67999999999995</v>
      </c>
      <c r="T45" s="690">
        <f>SUM(T40:T44)</f>
        <v>163.79999999999998</v>
      </c>
    </row>
    <row r="46" spans="1:22" ht="15">
      <c r="A46" s="630"/>
      <c r="B46" s="686"/>
      <c r="C46" s="686"/>
      <c r="D46" s="686"/>
      <c r="E46" s="686"/>
      <c r="F46" s="686"/>
      <c r="G46" s="686"/>
      <c r="H46" s="686"/>
      <c r="I46" s="686"/>
      <c r="J46" s="686"/>
      <c r="K46" s="686"/>
      <c r="L46" s="686"/>
      <c r="M46" s="686"/>
      <c r="N46" s="686"/>
      <c r="O46" s="686"/>
      <c r="P46" s="686" t="s">
        <v>1642</v>
      </c>
      <c r="Q46" s="686">
        <f>SUM(Q40:Q45)</f>
        <v>2292.96</v>
      </c>
      <c r="R46" s="686">
        <f>SUM(R40:R45)</f>
        <v>1131.6000000000001</v>
      </c>
      <c r="S46" s="686">
        <f>SUM(S40:S45)</f>
        <v>1281.3599999999999</v>
      </c>
      <c r="T46" s="686">
        <f>SUM(T40:T45)</f>
        <v>327.59999999999997</v>
      </c>
      <c r="U46" s="630"/>
      <c r="V46" s="630"/>
    </row>
    <row r="47" spans="1:22" ht="21">
      <c r="B47" s="1425" t="s">
        <v>1655</v>
      </c>
      <c r="C47" s="1425"/>
      <c r="D47" s="1425"/>
      <c r="E47" s="1425"/>
      <c r="F47" s="1425"/>
      <c r="G47" s="1425"/>
      <c r="H47" s="1425"/>
      <c r="I47" s="1425"/>
      <c r="J47" s="1425"/>
      <c r="K47" s="1425"/>
      <c r="L47" s="1425"/>
      <c r="M47" s="1425"/>
      <c r="N47" s="1425"/>
      <c r="O47" s="1425"/>
      <c r="P47" s="1425"/>
      <c r="Q47" s="1425"/>
      <c r="R47" s="1425"/>
      <c r="S47" s="1425"/>
      <c r="T47" s="1425"/>
    </row>
    <row r="48" spans="1:22" ht="38.25">
      <c r="B48" s="610" t="s">
        <v>1581</v>
      </c>
      <c r="C48" s="654" t="s">
        <v>1623</v>
      </c>
      <c r="D48" s="653">
        <v>8</v>
      </c>
      <c r="E48" s="610">
        <f>ROUND((0.5+0.5)/0.075+1,0)</f>
        <v>14</v>
      </c>
      <c r="F48" s="610">
        <f>2*0.23+2*0.38-4*0.04+2*0.075</f>
        <v>1.21</v>
      </c>
      <c r="G48" s="610">
        <f>F48*E48*D48</f>
        <v>135.51999999999998</v>
      </c>
      <c r="H48" s="610">
        <v>8</v>
      </c>
      <c r="I48" s="610">
        <f>3.3</f>
        <v>3.3</v>
      </c>
      <c r="J48" s="610">
        <f>I48*H48*D48</f>
        <v>211.2</v>
      </c>
      <c r="K48" s="445"/>
      <c r="L48" s="445"/>
      <c r="M48" s="445"/>
      <c r="N48" s="610">
        <f>ROUND(I48/0.115-E48,0)</f>
        <v>15</v>
      </c>
      <c r="O48" s="610">
        <f>F48</f>
        <v>1.21</v>
      </c>
      <c r="P48" s="610">
        <f>O48*N48*D48</f>
        <v>145.19999999999999</v>
      </c>
      <c r="Q48" s="673">
        <f>G48</f>
        <v>135.51999999999998</v>
      </c>
      <c r="R48" s="673">
        <f>J48</f>
        <v>211.2</v>
      </c>
      <c r="S48" s="673">
        <f>P48</f>
        <v>145.19999999999999</v>
      </c>
      <c r="T48" s="608"/>
    </row>
    <row r="49" spans="1:22">
      <c r="B49" s="610"/>
      <c r="C49" s="654"/>
      <c r="D49" s="653">
        <v>8</v>
      </c>
      <c r="E49" s="610">
        <f>E48</f>
        <v>14</v>
      </c>
      <c r="F49" s="610">
        <f>4*0.222+2*0.075</f>
        <v>1.038</v>
      </c>
      <c r="G49" s="610">
        <f>F49*E49*D49</f>
        <v>116.256</v>
      </c>
      <c r="H49" s="610"/>
      <c r="I49" s="610"/>
      <c r="J49" s="610"/>
      <c r="K49" s="445"/>
      <c r="L49" s="445"/>
      <c r="M49" s="445"/>
      <c r="N49" s="610">
        <f>N48</f>
        <v>15</v>
      </c>
      <c r="O49" s="610">
        <f>F49</f>
        <v>1.038</v>
      </c>
      <c r="P49" s="610">
        <f>O49*N49*D49</f>
        <v>124.56</v>
      </c>
      <c r="Q49" s="673">
        <f>G49</f>
        <v>116.256</v>
      </c>
      <c r="R49" s="673">
        <f>J49</f>
        <v>0</v>
      </c>
      <c r="S49" s="673">
        <f>P49</f>
        <v>124.56</v>
      </c>
      <c r="T49" s="608"/>
    </row>
    <row r="50" spans="1:22">
      <c r="B50" s="1431" t="s">
        <v>1589</v>
      </c>
      <c r="C50" s="1433" t="s">
        <v>1626</v>
      </c>
      <c r="D50" s="653">
        <v>7</v>
      </c>
      <c r="E50" s="610">
        <f>ROUND((0.5+0.5)/0.075+1,0)</f>
        <v>14</v>
      </c>
      <c r="F50" s="610">
        <f>2*0.23+2*0.38-4*0.04+2*0.075</f>
        <v>1.21</v>
      </c>
      <c r="G50" s="610">
        <f>F50*E50*D50</f>
        <v>118.57999999999998</v>
      </c>
      <c r="H50" s="610">
        <v>4</v>
      </c>
      <c r="I50" s="610">
        <f>3.3</f>
        <v>3.3</v>
      </c>
      <c r="J50" s="610">
        <f>I50*H50*D50</f>
        <v>92.399999999999991</v>
      </c>
      <c r="K50" s="445"/>
      <c r="L50" s="445"/>
      <c r="M50" s="445"/>
      <c r="N50" s="610">
        <f>ROUND(I50/0.115-E50,0)</f>
        <v>15</v>
      </c>
      <c r="O50" s="610">
        <f>F50</f>
        <v>1.21</v>
      </c>
      <c r="P50" s="610">
        <f>O50*N50*D50</f>
        <v>127.04999999999998</v>
      </c>
      <c r="Q50" s="673">
        <f>G50</f>
        <v>118.57999999999998</v>
      </c>
      <c r="R50" s="673">
        <f>J50</f>
        <v>92.399999999999991</v>
      </c>
      <c r="S50" s="673">
        <f>P50</f>
        <v>127.04999999999998</v>
      </c>
      <c r="T50" s="608"/>
    </row>
    <row r="51" spans="1:22">
      <c r="B51" s="1432"/>
      <c r="C51" s="1434"/>
      <c r="D51" s="653"/>
      <c r="E51" s="610"/>
      <c r="F51" s="610"/>
      <c r="G51" s="610"/>
      <c r="H51" s="610"/>
      <c r="I51" s="610"/>
      <c r="J51" s="610"/>
      <c r="K51" s="610">
        <v>4</v>
      </c>
      <c r="L51" s="610">
        <f>3.3</f>
        <v>3.3</v>
      </c>
      <c r="M51" s="610">
        <f>L51*K51*D50</f>
        <v>92.399999999999991</v>
      </c>
      <c r="N51" s="610"/>
      <c r="O51" s="610"/>
      <c r="P51" s="610"/>
      <c r="Q51" s="673"/>
      <c r="R51" s="673"/>
      <c r="S51" s="673"/>
      <c r="T51" s="608">
        <f>M51</f>
        <v>92.399999999999991</v>
      </c>
    </row>
    <row r="52" spans="1:22">
      <c r="B52" s="445"/>
      <c r="C52" s="654"/>
      <c r="D52" s="653">
        <v>7</v>
      </c>
      <c r="E52" s="610">
        <f>E50</f>
        <v>14</v>
      </c>
      <c r="F52" s="610">
        <f>4*0.222+2*0.075</f>
        <v>1.038</v>
      </c>
      <c r="G52" s="610">
        <f>F52*E52*D52</f>
        <v>101.724</v>
      </c>
      <c r="H52" s="610"/>
      <c r="I52" s="610"/>
      <c r="J52" s="610"/>
      <c r="K52" s="445"/>
      <c r="L52" s="445"/>
      <c r="M52" s="445"/>
      <c r="N52" s="610">
        <f>N50</f>
        <v>15</v>
      </c>
      <c r="O52" s="610">
        <f>F52</f>
        <v>1.038</v>
      </c>
      <c r="P52" s="610">
        <f>O52*N52*D52</f>
        <v>108.99000000000001</v>
      </c>
      <c r="Q52" s="673">
        <f>G52</f>
        <v>101.724</v>
      </c>
      <c r="R52" s="673">
        <f>J52</f>
        <v>0</v>
      </c>
      <c r="S52" s="673">
        <f>P52</f>
        <v>108.99000000000001</v>
      </c>
      <c r="T52" s="608"/>
    </row>
    <row r="53" spans="1:22">
      <c r="B53" s="445" t="s">
        <v>136</v>
      </c>
      <c r="C53" s="445"/>
      <c r="D53" s="445"/>
      <c r="E53" s="445"/>
      <c r="F53" s="445"/>
      <c r="G53" s="445"/>
      <c r="H53" s="445"/>
      <c r="I53" s="445"/>
      <c r="J53" s="445"/>
      <c r="K53" s="445"/>
      <c r="L53" s="445"/>
      <c r="M53" s="445"/>
      <c r="N53" s="445"/>
      <c r="O53" s="445"/>
      <c r="P53" s="445"/>
      <c r="Q53" s="691">
        <f>SUM(Q48:Q52)</f>
        <v>472.08</v>
      </c>
      <c r="R53" s="691">
        <f>SUM(R48:R52)</f>
        <v>303.59999999999997</v>
      </c>
      <c r="S53" s="691">
        <f>SUM(S48:S52)</f>
        <v>505.79999999999995</v>
      </c>
      <c r="T53" s="691">
        <f>SUM(T48:T52)</f>
        <v>92.399999999999991</v>
      </c>
    </row>
    <row r="54" spans="1:22" ht="15">
      <c r="A54" s="630"/>
      <c r="B54" s="686"/>
      <c r="C54" s="686"/>
      <c r="D54" s="686"/>
      <c r="E54" s="686"/>
      <c r="F54" s="686"/>
      <c r="G54" s="686"/>
      <c r="H54" s="686"/>
      <c r="I54" s="686"/>
      <c r="J54" s="686"/>
      <c r="K54" s="686"/>
      <c r="L54" s="686"/>
      <c r="M54" s="686"/>
      <c r="N54" s="686"/>
      <c r="O54" s="686"/>
      <c r="P54" s="686" t="s">
        <v>1642</v>
      </c>
      <c r="Q54" s="686">
        <f>SUM(Q48:Q53)</f>
        <v>944.16</v>
      </c>
      <c r="R54" s="686">
        <f>SUM(R48:R53)</f>
        <v>607.19999999999993</v>
      </c>
      <c r="S54" s="686">
        <f>SUM(S48:S53)</f>
        <v>1011.5999999999999</v>
      </c>
      <c r="T54" s="686">
        <f>SUM(T48:T53)</f>
        <v>184.79999999999998</v>
      </c>
      <c r="U54" s="630"/>
      <c r="V54" s="630"/>
    </row>
  </sheetData>
  <mergeCells count="45">
    <mergeCell ref="B42:B43"/>
    <mergeCell ref="C42:C43"/>
    <mergeCell ref="D42:D43"/>
    <mergeCell ref="B47:T47"/>
    <mergeCell ref="B50:B51"/>
    <mergeCell ref="C50:C51"/>
    <mergeCell ref="B37:T37"/>
    <mergeCell ref="B38:B39"/>
    <mergeCell ref="C38:C39"/>
    <mergeCell ref="D38:D39"/>
    <mergeCell ref="E38:G38"/>
    <mergeCell ref="H38:M38"/>
    <mergeCell ref="N38:P38"/>
    <mergeCell ref="B30:B31"/>
    <mergeCell ref="C30:C31"/>
    <mergeCell ref="B32:B33"/>
    <mergeCell ref="C32:C33"/>
    <mergeCell ref="B34:B35"/>
    <mergeCell ref="C34:C35"/>
    <mergeCell ref="I20:N20"/>
    <mergeCell ref="I23:N23"/>
    <mergeCell ref="A26:S26"/>
    <mergeCell ref="B27:B29"/>
    <mergeCell ref="C27:C29"/>
    <mergeCell ref="D27:D29"/>
    <mergeCell ref="E27:T27"/>
    <mergeCell ref="E28:J28"/>
    <mergeCell ref="K28:P28"/>
    <mergeCell ref="Q28:Q29"/>
    <mergeCell ref="R28:R29"/>
    <mergeCell ref="S28:S29"/>
    <mergeCell ref="T28:T29"/>
    <mergeCell ref="A4:F4"/>
    <mergeCell ref="A12:F12"/>
    <mergeCell ref="A13:A14"/>
    <mergeCell ref="B13:B14"/>
    <mergeCell ref="A18:A19"/>
    <mergeCell ref="A1:V1"/>
    <mergeCell ref="A2:A3"/>
    <mergeCell ref="B2:B3"/>
    <mergeCell ref="C2:D2"/>
    <mergeCell ref="E2:F2"/>
    <mergeCell ref="L2:P2"/>
    <mergeCell ref="Q2:R2"/>
    <mergeCell ref="S2:U2"/>
  </mergeCells>
  <hyperlinks>
    <hyperlink ref="I20" r:id="rId1" display="A@,A3,B3,C3,D2,D3,E3"/>
  </hyperlinks>
  <pageMargins left="0.7" right="0.7" top="0.75" bottom="0.75" header="0.3" footer="0.3"/>
  <pageSetup scale="75" orientation="landscape" verticalDpi="0" r:id="rId2"/>
  <rowBreaks count="1" manualBreakCount="1">
    <brk id="36" max="16383" man="1"/>
  </rowBreaks>
</worksheet>
</file>

<file path=xl/worksheets/sheet26.xml><?xml version="1.0" encoding="utf-8"?>
<worksheet xmlns="http://schemas.openxmlformats.org/spreadsheetml/2006/main" xmlns:r="http://schemas.openxmlformats.org/officeDocument/2006/relationships">
  <dimension ref="A1:W130"/>
  <sheetViews>
    <sheetView view="pageBreakPreview" topLeftCell="A109" zoomScale="85" zoomScaleSheetLayoutView="85" workbookViewId="0">
      <selection activeCell="G35" sqref="G35:I35"/>
    </sheetView>
  </sheetViews>
  <sheetFormatPr defaultRowHeight="12.75"/>
  <cols>
    <col min="1" max="1" width="4.85546875" customWidth="1"/>
    <col min="2" max="2" width="12.85546875" customWidth="1"/>
    <col min="3" max="4" width="5.7109375" customWidth="1"/>
    <col min="5" max="6" width="6.140625" customWidth="1"/>
    <col min="7" max="7" width="7.28515625" customWidth="1"/>
    <col min="8" max="8" width="5.85546875" customWidth="1"/>
    <col min="9" max="9" width="4.7109375" customWidth="1"/>
    <col min="10" max="10" width="5.28515625" customWidth="1"/>
    <col min="11" max="11" width="14.140625" customWidth="1"/>
    <col min="12" max="13" width="6" style="543" customWidth="1"/>
    <col min="14" max="14" width="6.7109375" customWidth="1"/>
    <col min="15" max="15" width="7.140625" customWidth="1"/>
    <col min="16" max="17" width="5.7109375" customWidth="1"/>
    <col min="18" max="18" width="5.42578125" customWidth="1"/>
    <col min="19" max="20" width="6.42578125" customWidth="1"/>
    <col min="21" max="21" width="8.7109375" bestFit="1" customWidth="1"/>
    <col min="22" max="22" width="6.42578125" customWidth="1"/>
  </cols>
  <sheetData>
    <row r="1" spans="1:23" ht="33.75">
      <c r="A1" s="610" t="s">
        <v>1004</v>
      </c>
      <c r="B1" s="654" t="s">
        <v>1521</v>
      </c>
      <c r="C1" s="654"/>
      <c r="D1" s="654"/>
      <c r="E1" s="654"/>
      <c r="F1" s="654"/>
      <c r="G1" s="655" t="s">
        <v>97</v>
      </c>
      <c r="H1" s="655" t="s">
        <v>1482</v>
      </c>
      <c r="I1" s="655" t="s">
        <v>99</v>
      </c>
      <c r="J1" s="654" t="s">
        <v>100</v>
      </c>
      <c r="K1" s="654"/>
      <c r="L1" s="656"/>
      <c r="M1" s="656" t="s">
        <v>1425</v>
      </c>
      <c r="N1" s="609" t="s">
        <v>1483</v>
      </c>
      <c r="O1" s="609" t="s">
        <v>1484</v>
      </c>
      <c r="P1" s="609" t="s">
        <v>1485</v>
      </c>
      <c r="Q1" s="609" t="s">
        <v>1486</v>
      </c>
      <c r="R1" s="609" t="s">
        <v>1487</v>
      </c>
      <c r="S1" s="609" t="s">
        <v>1423</v>
      </c>
      <c r="T1" s="653">
        <v>12</v>
      </c>
      <c r="U1" s="653">
        <v>8</v>
      </c>
      <c r="V1" s="653">
        <v>16</v>
      </c>
      <c r="W1" s="480">
        <v>20</v>
      </c>
    </row>
    <row r="2" spans="1:23" ht="21">
      <c r="A2" s="1445" t="s">
        <v>1522</v>
      </c>
      <c r="B2" s="1446"/>
      <c r="C2" s="1446"/>
      <c r="D2" s="1446"/>
      <c r="E2" s="1446"/>
      <c r="F2" s="1446"/>
      <c r="G2" s="1446"/>
      <c r="H2" s="1446"/>
      <c r="I2" s="1446"/>
      <c r="J2" s="1446"/>
      <c r="K2" s="1446"/>
      <c r="L2" s="1446"/>
      <c r="M2" s="1446"/>
      <c r="N2" s="1446"/>
      <c r="O2" s="1446"/>
      <c r="P2" s="1446"/>
      <c r="Q2" s="1446"/>
      <c r="R2" s="1446"/>
      <c r="S2" s="1446"/>
      <c r="T2" s="1446"/>
      <c r="U2" s="1446"/>
      <c r="V2" s="1446"/>
    </row>
    <row r="3" spans="1:23">
      <c r="A3" s="445">
        <v>1</v>
      </c>
      <c r="B3" s="445" t="s">
        <v>1523</v>
      </c>
      <c r="C3" s="445"/>
      <c r="D3" s="445">
        <v>3.39</v>
      </c>
      <c r="E3" s="445">
        <v>5.22</v>
      </c>
      <c r="F3" s="445"/>
      <c r="G3" s="445">
        <f>3.39+5.22+0.23</f>
        <v>8.84</v>
      </c>
      <c r="H3" s="445">
        <v>0.23</v>
      </c>
      <c r="I3" s="445">
        <v>0.38</v>
      </c>
      <c r="J3" s="445">
        <f>ROUND(I3*H3*G3,2)</f>
        <v>0.77</v>
      </c>
      <c r="K3" s="445" t="s">
        <v>1489</v>
      </c>
      <c r="L3" s="225" t="s">
        <v>1427</v>
      </c>
      <c r="M3" s="225">
        <v>2</v>
      </c>
      <c r="N3" s="445">
        <f>3.39+5.22</f>
        <v>8.61</v>
      </c>
      <c r="O3" s="445">
        <f>0.23-2*0.025</f>
        <v>0.18</v>
      </c>
      <c r="P3" s="445">
        <f>ROUND(2/3*I3,2)</f>
        <v>0.25</v>
      </c>
      <c r="Q3" s="445">
        <f>ROUND(2/3*I3,2)</f>
        <v>0.25</v>
      </c>
      <c r="R3" s="608">
        <f>SUM(N3:Q3)</f>
        <v>9.2899999999999991</v>
      </c>
      <c r="S3" s="445">
        <f>R3*M3</f>
        <v>18.579999999999998</v>
      </c>
      <c r="T3" s="445">
        <f>S3</f>
        <v>18.579999999999998</v>
      </c>
      <c r="U3" s="445"/>
      <c r="V3" s="445"/>
    </row>
    <row r="4" spans="1:23">
      <c r="A4" s="445"/>
      <c r="B4" s="445"/>
      <c r="C4" s="445"/>
      <c r="D4" s="445"/>
      <c r="E4" s="445"/>
      <c r="F4" s="445"/>
      <c r="G4" s="445"/>
      <c r="H4" s="445"/>
      <c r="I4" s="445"/>
      <c r="J4" s="445"/>
      <c r="K4" s="445" t="s">
        <v>1524</v>
      </c>
      <c r="L4" s="225" t="s">
        <v>1427</v>
      </c>
      <c r="M4" s="225">
        <v>1</v>
      </c>
      <c r="N4" s="445">
        <v>5.22</v>
      </c>
      <c r="O4" s="445">
        <f>0.23-1*0.025</f>
        <v>0.20500000000000002</v>
      </c>
      <c r="P4" s="445"/>
      <c r="Q4" s="445">
        <f>ROUND(2/3*I3*1,2)</f>
        <v>0.25</v>
      </c>
      <c r="R4" s="608">
        <f t="shared" ref="R4:R19" si="0">SUM(N4:Q4)</f>
        <v>5.6749999999999998</v>
      </c>
      <c r="S4" s="608">
        <f t="shared" ref="S4:S9" si="1">R4*M4</f>
        <v>5.6749999999999998</v>
      </c>
      <c r="T4" s="608">
        <f>S4</f>
        <v>5.6749999999999998</v>
      </c>
      <c r="U4" s="445"/>
      <c r="V4" s="445"/>
    </row>
    <row r="5" spans="1:23">
      <c r="A5" s="445"/>
      <c r="B5" s="445"/>
      <c r="C5" s="445"/>
      <c r="D5" s="445"/>
      <c r="E5" s="445"/>
      <c r="F5" s="445"/>
      <c r="G5" s="445"/>
      <c r="H5" s="445"/>
      <c r="I5" s="445"/>
      <c r="J5" s="445"/>
      <c r="K5" s="445" t="s">
        <v>1490</v>
      </c>
      <c r="L5" s="225" t="s">
        <v>1429</v>
      </c>
      <c r="M5" s="225">
        <v>2</v>
      </c>
      <c r="N5" s="445">
        <v>8.61</v>
      </c>
      <c r="O5" s="445">
        <f>0.23-2*0.025</f>
        <v>0.18</v>
      </c>
      <c r="P5" s="445">
        <f>ROUND(2/3*I3,2)</f>
        <v>0.25</v>
      </c>
      <c r="Q5" s="445">
        <f>ROUND(2/3*I3,2)</f>
        <v>0.25</v>
      </c>
      <c r="R5" s="608">
        <f t="shared" si="0"/>
        <v>9.2899999999999991</v>
      </c>
      <c r="S5" s="445">
        <f t="shared" si="1"/>
        <v>18.579999999999998</v>
      </c>
      <c r="T5" s="445"/>
      <c r="U5" s="445"/>
      <c r="V5" s="445">
        <f>S5</f>
        <v>18.579999999999998</v>
      </c>
    </row>
    <row r="6" spans="1:23">
      <c r="A6" s="445"/>
      <c r="B6" s="445"/>
      <c r="C6" s="445"/>
      <c r="D6" s="445"/>
      <c r="E6" s="445"/>
      <c r="F6" s="445"/>
      <c r="G6" s="445"/>
      <c r="H6" s="445"/>
      <c r="I6" s="445"/>
      <c r="J6" s="445"/>
      <c r="K6" s="445" t="s">
        <v>1507</v>
      </c>
      <c r="L6" s="225" t="s">
        <v>1429</v>
      </c>
      <c r="M6" s="225">
        <v>1</v>
      </c>
      <c r="N6" s="445">
        <f>1.04+1.5</f>
        <v>2.54</v>
      </c>
      <c r="O6" s="445"/>
      <c r="P6" s="445"/>
      <c r="Q6" s="445"/>
      <c r="R6" s="608">
        <f t="shared" si="0"/>
        <v>2.54</v>
      </c>
      <c r="S6" s="445">
        <f t="shared" si="1"/>
        <v>2.54</v>
      </c>
      <c r="T6" s="445"/>
      <c r="U6" s="445"/>
      <c r="V6" s="445">
        <f>S6</f>
        <v>2.54</v>
      </c>
    </row>
    <row r="7" spans="1:23">
      <c r="A7" s="445"/>
      <c r="B7" s="445"/>
      <c r="C7" s="445"/>
      <c r="D7" s="445"/>
      <c r="E7" s="445"/>
      <c r="F7" s="445"/>
      <c r="G7" s="445"/>
      <c r="H7" s="445"/>
      <c r="I7" s="445"/>
      <c r="J7" s="445"/>
      <c r="K7" s="445" t="s">
        <v>1508</v>
      </c>
      <c r="L7" s="225" t="s">
        <v>1429</v>
      </c>
      <c r="M7" s="225">
        <v>1</v>
      </c>
      <c r="N7" s="608">
        <f>ROUND(0.25*5.22,2)</f>
        <v>1.31</v>
      </c>
      <c r="O7" s="445">
        <f>0.115-1*0.025</f>
        <v>0.09</v>
      </c>
      <c r="P7" s="445"/>
      <c r="Q7" s="445">
        <f>Q5</f>
        <v>0.25</v>
      </c>
      <c r="R7" s="608">
        <f t="shared" si="0"/>
        <v>1.6500000000000001</v>
      </c>
      <c r="S7" s="445">
        <f t="shared" si="1"/>
        <v>1.6500000000000001</v>
      </c>
      <c r="T7" s="445"/>
      <c r="U7" s="445"/>
      <c r="V7" s="445">
        <f>S7</f>
        <v>1.6500000000000001</v>
      </c>
    </row>
    <row r="8" spans="1:23">
      <c r="A8" s="445"/>
      <c r="B8" s="445"/>
      <c r="C8" s="445"/>
      <c r="D8" s="445"/>
      <c r="E8" s="445"/>
      <c r="F8" s="445"/>
      <c r="G8" s="445"/>
      <c r="H8" s="445"/>
      <c r="I8" s="445"/>
      <c r="J8" s="445"/>
      <c r="K8" s="657" t="s">
        <v>1491</v>
      </c>
      <c r="L8" s="225" t="s">
        <v>1428</v>
      </c>
      <c r="M8" s="225">
        <f>ROUND(0.69/0.1+1,0)*4</f>
        <v>32</v>
      </c>
      <c r="N8" s="445"/>
      <c r="O8" s="445"/>
      <c r="P8" s="445"/>
      <c r="Q8" s="445"/>
      <c r="R8" s="608">
        <f>2*(0.23+0.38)-4*0.025</f>
        <v>1.1199999999999999</v>
      </c>
      <c r="S8" s="445">
        <f t="shared" si="1"/>
        <v>35.839999999999996</v>
      </c>
      <c r="T8" s="445"/>
      <c r="U8" s="445">
        <f>S8</f>
        <v>35.839999999999996</v>
      </c>
      <c r="V8" s="445"/>
    </row>
    <row r="9" spans="1:23">
      <c r="A9" s="445"/>
      <c r="B9" s="445"/>
      <c r="C9" s="445"/>
      <c r="D9" s="445"/>
      <c r="E9" s="445"/>
      <c r="F9" s="445"/>
      <c r="G9" s="445"/>
      <c r="H9" s="445"/>
      <c r="I9" s="445"/>
      <c r="J9" s="445"/>
      <c r="K9" s="657" t="s">
        <v>1492</v>
      </c>
      <c r="L9" s="225" t="s">
        <v>1428</v>
      </c>
      <c r="M9" s="225">
        <f>ROUND((8.61+0.23-3*0.38-4*0.69)/0.13+1,0)</f>
        <v>39</v>
      </c>
      <c r="N9" s="445"/>
      <c r="O9" s="445"/>
      <c r="P9" s="445"/>
      <c r="Q9" s="445"/>
      <c r="R9" s="608">
        <f>2*(0.23+0.38)-4*0.025</f>
        <v>1.1199999999999999</v>
      </c>
      <c r="S9" s="445">
        <f t="shared" si="1"/>
        <v>43.679999999999993</v>
      </c>
      <c r="T9" s="445"/>
      <c r="U9" s="445">
        <f>S9</f>
        <v>43.679999999999993</v>
      </c>
      <c r="V9" s="445"/>
    </row>
    <row r="10" spans="1:23">
      <c r="A10" s="445">
        <v>2</v>
      </c>
      <c r="B10" s="445" t="s">
        <v>1525</v>
      </c>
      <c r="C10" s="445"/>
      <c r="D10" s="445">
        <v>3.39</v>
      </c>
      <c r="E10" s="445">
        <v>5.22</v>
      </c>
      <c r="F10" s="445"/>
      <c r="G10" s="445">
        <f>3.39+5.22+0.23</f>
        <v>8.84</v>
      </c>
      <c r="H10" s="445">
        <v>0.23</v>
      </c>
      <c r="I10" s="445">
        <v>0.38</v>
      </c>
      <c r="J10" s="445">
        <f>ROUND(I10*H10*G10,2)</f>
        <v>0.77</v>
      </c>
      <c r="K10" s="445" t="s">
        <v>1489</v>
      </c>
      <c r="L10" s="225" t="s">
        <v>1427</v>
      </c>
      <c r="M10" s="225">
        <v>3</v>
      </c>
      <c r="N10" s="445">
        <f>N3</f>
        <v>8.61</v>
      </c>
      <c r="O10" s="445">
        <f>0.23-2*0.025</f>
        <v>0.18</v>
      </c>
      <c r="P10" s="445">
        <f>ROUND(2/3*I10,2)</f>
        <v>0.25</v>
      </c>
      <c r="Q10" s="445">
        <f>ROUND(2/3*I10,2)</f>
        <v>0.25</v>
      </c>
      <c r="R10" s="608">
        <f t="shared" si="0"/>
        <v>9.2899999999999991</v>
      </c>
      <c r="S10" s="445">
        <f t="shared" ref="S10:S35" si="2">R10*M10</f>
        <v>27.869999999999997</v>
      </c>
      <c r="T10" s="445">
        <f>S10</f>
        <v>27.869999999999997</v>
      </c>
      <c r="U10" s="445"/>
      <c r="V10" s="445"/>
    </row>
    <row r="11" spans="1:23">
      <c r="A11" s="445"/>
      <c r="B11" s="445"/>
      <c r="C11" s="445"/>
      <c r="D11" s="445"/>
      <c r="E11" s="445"/>
      <c r="F11" s="445"/>
      <c r="G11" s="445"/>
      <c r="H11" s="445"/>
      <c r="I11" s="445"/>
      <c r="J11" s="445"/>
      <c r="K11" s="445" t="s">
        <v>1490</v>
      </c>
      <c r="L11" s="225" t="s">
        <v>1429</v>
      </c>
      <c r="M11" s="225">
        <v>2</v>
      </c>
      <c r="N11" s="445">
        <v>8.61</v>
      </c>
      <c r="O11" s="445">
        <f>0.23-2*0.025</f>
        <v>0.18</v>
      </c>
      <c r="P11" s="445">
        <f>ROUND(2/3*I10,2)</f>
        <v>0.25</v>
      </c>
      <c r="Q11" s="445">
        <f>ROUND(2/3*I10*1,2)</f>
        <v>0.25</v>
      </c>
      <c r="R11" s="608">
        <f t="shared" si="0"/>
        <v>9.2899999999999991</v>
      </c>
      <c r="S11" s="445">
        <f t="shared" si="2"/>
        <v>18.579999999999998</v>
      </c>
      <c r="T11" s="445"/>
      <c r="U11" s="445"/>
      <c r="V11" s="445">
        <f>S11</f>
        <v>18.579999999999998</v>
      </c>
    </row>
    <row r="12" spans="1:23">
      <c r="A12" s="445"/>
      <c r="B12" s="445"/>
      <c r="C12" s="445"/>
      <c r="D12" s="445"/>
      <c r="E12" s="445"/>
      <c r="F12" s="445"/>
      <c r="G12" s="445"/>
      <c r="H12" s="445"/>
      <c r="I12" s="445"/>
      <c r="J12" s="445"/>
      <c r="K12" s="445" t="s">
        <v>1507</v>
      </c>
      <c r="L12" s="225" t="s">
        <v>1429</v>
      </c>
      <c r="M12" s="225">
        <v>1</v>
      </c>
      <c r="N12" s="445">
        <f>1.04+1.5</f>
        <v>2.54</v>
      </c>
      <c r="O12" s="445"/>
      <c r="P12" s="445"/>
      <c r="Q12" s="445"/>
      <c r="R12" s="608">
        <f t="shared" si="0"/>
        <v>2.54</v>
      </c>
      <c r="S12" s="445">
        <f t="shared" si="2"/>
        <v>2.54</v>
      </c>
      <c r="T12" s="445"/>
      <c r="U12" s="445"/>
      <c r="V12" s="445">
        <f>S12</f>
        <v>2.54</v>
      </c>
    </row>
    <row r="13" spans="1:23">
      <c r="A13" s="445"/>
      <c r="B13" s="445"/>
      <c r="C13" s="445"/>
      <c r="D13" s="445"/>
      <c r="E13" s="445"/>
      <c r="F13" s="445"/>
      <c r="G13" s="445"/>
      <c r="H13" s="445"/>
      <c r="I13" s="445"/>
      <c r="J13" s="445"/>
      <c r="K13" s="445" t="s">
        <v>1508</v>
      </c>
      <c r="L13" s="225" t="s">
        <v>1429</v>
      </c>
      <c r="M13" s="225">
        <v>1</v>
      </c>
      <c r="N13" s="608">
        <f>N7</f>
        <v>1.31</v>
      </c>
      <c r="O13" s="445">
        <f>0.115-1*0.025</f>
        <v>0.09</v>
      </c>
      <c r="P13" s="445"/>
      <c r="Q13" s="445">
        <f>ROUND(2/3*I10*1,2)</f>
        <v>0.25</v>
      </c>
      <c r="R13" s="608">
        <f t="shared" si="0"/>
        <v>1.6500000000000001</v>
      </c>
      <c r="S13" s="445">
        <f t="shared" si="2"/>
        <v>1.6500000000000001</v>
      </c>
      <c r="T13" s="445"/>
      <c r="U13" s="445"/>
      <c r="V13" s="445">
        <f>S13</f>
        <v>1.6500000000000001</v>
      </c>
    </row>
    <row r="14" spans="1:23">
      <c r="A14" s="445"/>
      <c r="B14" s="445"/>
      <c r="C14" s="445"/>
      <c r="D14" s="445"/>
      <c r="E14" s="445"/>
      <c r="F14" s="445"/>
      <c r="G14" s="445"/>
      <c r="H14" s="445"/>
      <c r="I14" s="445"/>
      <c r="J14" s="445"/>
      <c r="K14" s="657" t="s">
        <v>1491</v>
      </c>
      <c r="L14" s="225" t="s">
        <v>1428</v>
      </c>
      <c r="M14" s="225">
        <f>ROUND(0.69/0.1+1,0)*4</f>
        <v>32</v>
      </c>
      <c r="N14" s="445"/>
      <c r="O14" s="445"/>
      <c r="P14" s="445"/>
      <c r="Q14" s="445"/>
      <c r="R14" s="608">
        <f>2*(0.23+0.38)-4*0.025</f>
        <v>1.1199999999999999</v>
      </c>
      <c r="S14" s="445">
        <f t="shared" si="2"/>
        <v>35.839999999999996</v>
      </c>
      <c r="T14" s="445"/>
      <c r="U14" s="445">
        <f>S14</f>
        <v>35.839999999999996</v>
      </c>
      <c r="V14" s="445"/>
    </row>
    <row r="15" spans="1:23">
      <c r="A15" s="445"/>
      <c r="B15" s="445"/>
      <c r="C15" s="445"/>
      <c r="D15" s="445"/>
      <c r="E15" s="445"/>
      <c r="F15" s="445"/>
      <c r="G15" s="445"/>
      <c r="H15" s="445"/>
      <c r="I15" s="445"/>
      <c r="J15" s="445"/>
      <c r="K15" s="657" t="s">
        <v>1492</v>
      </c>
      <c r="L15" s="225" t="s">
        <v>1428</v>
      </c>
      <c r="M15" s="225">
        <f>ROUND((8.61+0.23-3*0.38-4*0.69)/0.13+1,0)</f>
        <v>39</v>
      </c>
      <c r="N15" s="445"/>
      <c r="O15" s="445"/>
      <c r="P15" s="445"/>
      <c r="Q15" s="445"/>
      <c r="R15" s="608">
        <f>2*(0.23+0.38)-4*0.025</f>
        <v>1.1199999999999999</v>
      </c>
      <c r="S15" s="445">
        <f t="shared" si="2"/>
        <v>43.679999999999993</v>
      </c>
      <c r="T15" s="445"/>
      <c r="U15" s="445">
        <f>S15</f>
        <v>43.679999999999993</v>
      </c>
      <c r="V15" s="445"/>
    </row>
    <row r="16" spans="1:23">
      <c r="A16" s="445">
        <v>3</v>
      </c>
      <c r="B16" s="445" t="s">
        <v>1526</v>
      </c>
      <c r="C16" s="445"/>
      <c r="D16" s="445">
        <v>3.39</v>
      </c>
      <c r="E16" s="445"/>
      <c r="F16" s="445"/>
      <c r="G16" s="445">
        <f>3.39+0.23</f>
        <v>3.62</v>
      </c>
      <c r="H16" s="445">
        <v>0.23</v>
      </c>
      <c r="I16" s="445">
        <v>0.38</v>
      </c>
      <c r="J16" s="445">
        <f>ROUND(I16*H16*G16,2)</f>
        <v>0.32</v>
      </c>
      <c r="K16" s="445" t="s">
        <v>1489</v>
      </c>
      <c r="L16" s="225" t="s">
        <v>1427</v>
      </c>
      <c r="M16" s="225">
        <v>3</v>
      </c>
      <c r="N16" s="445">
        <v>3.39</v>
      </c>
      <c r="O16" s="445">
        <f>0.23-2*0.025</f>
        <v>0.18</v>
      </c>
      <c r="P16" s="445">
        <f>ROUND(2/3*I16,2)</f>
        <v>0.25</v>
      </c>
      <c r="Q16" s="445">
        <f>ROUND(2/3*I16,2)</f>
        <v>0.25</v>
      </c>
      <c r="R16" s="608">
        <f t="shared" si="0"/>
        <v>4.07</v>
      </c>
      <c r="S16" s="445">
        <f t="shared" si="2"/>
        <v>12.21</v>
      </c>
      <c r="T16" s="445">
        <f>S16</f>
        <v>12.21</v>
      </c>
      <c r="U16" s="445"/>
      <c r="V16" s="445"/>
    </row>
    <row r="17" spans="1:22">
      <c r="A17" s="445"/>
      <c r="B17" s="445"/>
      <c r="C17" s="445"/>
      <c r="D17" s="445"/>
      <c r="E17" s="445"/>
      <c r="F17" s="445"/>
      <c r="G17" s="445"/>
      <c r="H17" s="445"/>
      <c r="I17" s="445"/>
      <c r="J17" s="445"/>
      <c r="K17" s="445" t="s">
        <v>1490</v>
      </c>
      <c r="L17" s="225" t="s">
        <v>1429</v>
      </c>
      <c r="M17" s="225">
        <v>2</v>
      </c>
      <c r="N17" s="445">
        <f>N16</f>
        <v>3.39</v>
      </c>
      <c r="O17" s="445">
        <f>0.23-2*0.025</f>
        <v>0.18</v>
      </c>
      <c r="P17" s="445">
        <f>ROUND(2/3*I16,2)</f>
        <v>0.25</v>
      </c>
      <c r="Q17" s="445">
        <f>ROUND(2/3*I16,2)</f>
        <v>0.25</v>
      </c>
      <c r="R17" s="608">
        <f t="shared" si="0"/>
        <v>4.07</v>
      </c>
      <c r="S17" s="445">
        <f t="shared" si="2"/>
        <v>8.14</v>
      </c>
      <c r="T17" s="445"/>
      <c r="U17" s="445"/>
      <c r="V17" s="445">
        <f>S17</f>
        <v>8.14</v>
      </c>
    </row>
    <row r="18" spans="1:22">
      <c r="A18" s="445"/>
      <c r="B18" s="445"/>
      <c r="C18" s="445"/>
      <c r="D18" s="445"/>
      <c r="E18" s="445"/>
      <c r="F18" s="445"/>
      <c r="G18" s="445"/>
      <c r="H18" s="445"/>
      <c r="I18" s="445"/>
      <c r="J18" s="445"/>
      <c r="K18" s="445" t="s">
        <v>1513</v>
      </c>
      <c r="L18" s="225" t="s">
        <v>1427</v>
      </c>
      <c r="M18" s="225">
        <v>1</v>
      </c>
      <c r="N18" s="445">
        <v>1.04</v>
      </c>
      <c r="O18" s="445">
        <f>0.115-1*0.025</f>
        <v>0.09</v>
      </c>
      <c r="P18" s="445">
        <f>ROUND(2/3*I16,2)</f>
        <v>0.25</v>
      </c>
      <c r="Q18" s="445"/>
      <c r="R18" s="608">
        <f t="shared" si="0"/>
        <v>1.3800000000000001</v>
      </c>
      <c r="S18" s="445">
        <f t="shared" si="2"/>
        <v>1.3800000000000001</v>
      </c>
      <c r="T18" s="445">
        <f>S18</f>
        <v>1.3800000000000001</v>
      </c>
      <c r="U18" s="445"/>
      <c r="V18" s="445"/>
    </row>
    <row r="19" spans="1:22">
      <c r="A19" s="445"/>
      <c r="B19" s="445"/>
      <c r="C19" s="445"/>
      <c r="D19" s="445"/>
      <c r="E19" s="445"/>
      <c r="F19" s="445"/>
      <c r="G19" s="445"/>
      <c r="H19" s="445"/>
      <c r="I19" s="445"/>
      <c r="J19" s="445"/>
      <c r="K19" s="445" t="s">
        <v>1507</v>
      </c>
      <c r="L19" s="225" t="s">
        <v>1427</v>
      </c>
      <c r="M19" s="225">
        <v>1</v>
      </c>
      <c r="N19" s="608">
        <v>1.04</v>
      </c>
      <c r="O19" s="445">
        <f>0.115-1*0.025</f>
        <v>0.09</v>
      </c>
      <c r="P19" s="445"/>
      <c r="Q19" s="445">
        <f>ROUND(2/3*I16,2)</f>
        <v>0.25</v>
      </c>
      <c r="R19" s="608">
        <f t="shared" si="0"/>
        <v>1.3800000000000001</v>
      </c>
      <c r="S19" s="445">
        <f t="shared" si="2"/>
        <v>1.3800000000000001</v>
      </c>
      <c r="T19" s="445">
        <f>S19</f>
        <v>1.3800000000000001</v>
      </c>
      <c r="U19" s="445"/>
      <c r="V19" s="445"/>
    </row>
    <row r="20" spans="1:22">
      <c r="A20" s="445"/>
      <c r="B20" s="445"/>
      <c r="C20" s="445"/>
      <c r="D20" s="445"/>
      <c r="E20" s="445"/>
      <c r="F20" s="445"/>
      <c r="G20" s="445"/>
      <c r="H20" s="445"/>
      <c r="I20" s="445"/>
      <c r="J20" s="445"/>
      <c r="K20" s="657" t="s">
        <v>1491</v>
      </c>
      <c r="L20" s="225" t="s">
        <v>1428</v>
      </c>
      <c r="M20" s="225">
        <f>ROUND(0.69/0.1+1,0)*2</f>
        <v>16</v>
      </c>
      <c r="N20" s="445"/>
      <c r="O20" s="445"/>
      <c r="P20" s="445"/>
      <c r="Q20" s="445"/>
      <c r="R20" s="608">
        <f>2*(0.23+0.38)-4*0.025</f>
        <v>1.1199999999999999</v>
      </c>
      <c r="S20" s="445">
        <f t="shared" si="2"/>
        <v>17.919999999999998</v>
      </c>
      <c r="T20" s="445"/>
      <c r="U20" s="445">
        <f>S20</f>
        <v>17.919999999999998</v>
      </c>
      <c r="V20" s="445"/>
    </row>
    <row r="21" spans="1:22">
      <c r="A21" s="445"/>
      <c r="B21" s="445"/>
      <c r="C21" s="445"/>
      <c r="D21" s="445"/>
      <c r="E21" s="445"/>
      <c r="F21" s="445"/>
      <c r="G21" s="445"/>
      <c r="H21" s="445"/>
      <c r="I21" s="445"/>
      <c r="J21" s="445"/>
      <c r="K21" s="657" t="s">
        <v>1492</v>
      </c>
      <c r="L21" s="225" t="s">
        <v>1428</v>
      </c>
      <c r="M21" s="225">
        <f>ROUND((3.39+0.23-2*0.38-2*0.69)/0.13+1,0)</f>
        <v>12</v>
      </c>
      <c r="N21" s="445"/>
      <c r="O21" s="445"/>
      <c r="P21" s="445"/>
      <c r="Q21" s="445"/>
      <c r="R21" s="608">
        <f>2*(0.23+0.38)-4*0.025</f>
        <v>1.1199999999999999</v>
      </c>
      <c r="S21" s="445">
        <f t="shared" si="2"/>
        <v>13.439999999999998</v>
      </c>
      <c r="T21" s="445"/>
      <c r="U21" s="445">
        <f>S21</f>
        <v>13.439999999999998</v>
      </c>
      <c r="V21" s="445"/>
    </row>
    <row r="22" spans="1:22">
      <c r="A22" s="445">
        <v>4</v>
      </c>
      <c r="B22" s="445" t="s">
        <v>1527</v>
      </c>
      <c r="C22" s="445"/>
      <c r="D22" s="445">
        <v>3.39</v>
      </c>
      <c r="E22" s="445"/>
      <c r="F22" s="445"/>
      <c r="G22" s="445">
        <f>3.39+0.23</f>
        <v>3.62</v>
      </c>
      <c r="H22" s="445">
        <v>0.23</v>
      </c>
      <c r="I22" s="445">
        <v>0.38</v>
      </c>
      <c r="J22" s="445">
        <f>ROUND(I22*H22*G22,2)</f>
        <v>0.32</v>
      </c>
      <c r="K22" s="445" t="s">
        <v>1489</v>
      </c>
      <c r="L22" s="225" t="s">
        <v>1427</v>
      </c>
      <c r="M22" s="225">
        <v>3</v>
      </c>
      <c r="N22" s="445">
        <v>3.39</v>
      </c>
      <c r="O22" s="445">
        <f>0.23-2*0.025</f>
        <v>0.18</v>
      </c>
      <c r="P22" s="445">
        <f>ROUND(2/3*I22,2)</f>
        <v>0.25</v>
      </c>
      <c r="Q22" s="445">
        <f>ROUND(2/3*I22,2)</f>
        <v>0.25</v>
      </c>
      <c r="R22" s="608">
        <f>SUM(N22:Q22)</f>
        <v>4.07</v>
      </c>
      <c r="S22" s="445">
        <f t="shared" si="2"/>
        <v>12.21</v>
      </c>
      <c r="T22" s="445">
        <f>S22</f>
        <v>12.21</v>
      </c>
      <c r="U22" s="445"/>
      <c r="V22" s="445"/>
    </row>
    <row r="23" spans="1:22">
      <c r="A23" s="445"/>
      <c r="B23" s="445"/>
      <c r="C23" s="445"/>
      <c r="D23" s="445"/>
      <c r="E23" s="445"/>
      <c r="F23" s="445"/>
      <c r="G23" s="445"/>
      <c r="H23" s="445"/>
      <c r="I23" s="445"/>
      <c r="J23" s="445"/>
      <c r="K23" s="445" t="s">
        <v>1490</v>
      </c>
      <c r="L23" s="225" t="s">
        <v>1429</v>
      </c>
      <c r="M23" s="225">
        <v>2</v>
      </c>
      <c r="N23" s="445">
        <f>N22</f>
        <v>3.39</v>
      </c>
      <c r="O23" s="445">
        <f>0.23-2*0.025</f>
        <v>0.18</v>
      </c>
      <c r="P23" s="445">
        <f>ROUND(2/3*I22,2)</f>
        <v>0.25</v>
      </c>
      <c r="Q23" s="445">
        <f>ROUND(2/3*I22,2)</f>
        <v>0.25</v>
      </c>
      <c r="R23" s="608">
        <f>SUM(N23:Q23)</f>
        <v>4.07</v>
      </c>
      <c r="S23" s="445">
        <f t="shared" si="2"/>
        <v>8.14</v>
      </c>
      <c r="T23" s="445"/>
      <c r="U23" s="445"/>
      <c r="V23" s="445">
        <f>S23</f>
        <v>8.14</v>
      </c>
    </row>
    <row r="24" spans="1:22">
      <c r="A24" s="445"/>
      <c r="B24" s="445"/>
      <c r="C24" s="445"/>
      <c r="D24" s="445"/>
      <c r="E24" s="445"/>
      <c r="F24" s="445"/>
      <c r="G24" s="445"/>
      <c r="H24" s="445"/>
      <c r="I24" s="445"/>
      <c r="J24" s="445"/>
      <c r="K24" s="657" t="s">
        <v>1491</v>
      </c>
      <c r="L24" s="225" t="s">
        <v>1428</v>
      </c>
      <c r="M24" s="225">
        <f>ROUND(0.69/0.1+1,0)*2</f>
        <v>16</v>
      </c>
      <c r="N24" s="445"/>
      <c r="O24" s="445"/>
      <c r="P24" s="445"/>
      <c r="Q24" s="445"/>
      <c r="R24" s="608">
        <f>2*(0.23+0.38)-4*0.025</f>
        <v>1.1199999999999999</v>
      </c>
      <c r="S24" s="445">
        <f t="shared" si="2"/>
        <v>17.919999999999998</v>
      </c>
      <c r="T24" s="445"/>
      <c r="U24" s="445">
        <f>S24</f>
        <v>17.919999999999998</v>
      </c>
      <c r="V24" s="445"/>
    </row>
    <row r="25" spans="1:22">
      <c r="A25" s="445"/>
      <c r="B25" s="445"/>
      <c r="C25" s="445"/>
      <c r="D25" s="445"/>
      <c r="E25" s="445"/>
      <c r="F25" s="445"/>
      <c r="G25" s="445"/>
      <c r="H25" s="445"/>
      <c r="I25" s="445"/>
      <c r="J25" s="445"/>
      <c r="K25" s="657" t="s">
        <v>1492</v>
      </c>
      <c r="L25" s="225" t="s">
        <v>1428</v>
      </c>
      <c r="M25" s="225">
        <f>ROUND((3.39+0.23-2*0.38-2*0.69)/0.13+1,0)</f>
        <v>12</v>
      </c>
      <c r="N25" s="445"/>
      <c r="O25" s="445"/>
      <c r="P25" s="445"/>
      <c r="Q25" s="445"/>
      <c r="R25" s="608">
        <f>2*(0.23+0.38)-4*0.025</f>
        <v>1.1199999999999999</v>
      </c>
      <c r="S25" s="445">
        <f t="shared" si="2"/>
        <v>13.439999999999998</v>
      </c>
      <c r="T25" s="445"/>
      <c r="U25" s="445">
        <f>S25</f>
        <v>13.439999999999998</v>
      </c>
      <c r="V25" s="445"/>
    </row>
    <row r="26" spans="1:22">
      <c r="A26" s="445">
        <v>5</v>
      </c>
      <c r="B26" s="445" t="s">
        <v>1528</v>
      </c>
      <c r="C26" s="608">
        <v>1</v>
      </c>
      <c r="D26" s="445">
        <v>3.39</v>
      </c>
      <c r="E26" s="445">
        <v>5.22</v>
      </c>
      <c r="F26" s="608">
        <v>1</v>
      </c>
      <c r="G26" s="608">
        <f>C26+D26+E26+F26+0.23</f>
        <v>10.84</v>
      </c>
      <c r="H26" s="445">
        <v>0.23</v>
      </c>
      <c r="I26" s="445">
        <v>0.38</v>
      </c>
      <c r="J26" s="445">
        <f>ROUND(I26*H26*G26,2)</f>
        <v>0.95</v>
      </c>
      <c r="K26" s="445" t="s">
        <v>1489</v>
      </c>
      <c r="L26" s="225" t="s">
        <v>1427</v>
      </c>
      <c r="M26" s="225">
        <v>2</v>
      </c>
      <c r="N26" s="608">
        <f>G26</f>
        <v>10.84</v>
      </c>
      <c r="O26" s="445">
        <f>0.23-2*0.025</f>
        <v>0.18</v>
      </c>
      <c r="P26" s="445">
        <f>ROUND(2/3*I26,2)</f>
        <v>0.25</v>
      </c>
      <c r="Q26" s="445">
        <f>ROUND(2/3*I26,2)</f>
        <v>0.25</v>
      </c>
      <c r="R26" s="608">
        <f t="shared" ref="R26:R31" si="3">SUM(N26:Q26)</f>
        <v>11.52</v>
      </c>
      <c r="S26" s="445">
        <f t="shared" si="2"/>
        <v>23.04</v>
      </c>
      <c r="T26" s="445">
        <f>S26</f>
        <v>23.04</v>
      </c>
      <c r="U26" s="445"/>
      <c r="V26" s="445"/>
    </row>
    <row r="27" spans="1:22">
      <c r="A27" s="445"/>
      <c r="B27" s="445"/>
      <c r="C27" s="445"/>
      <c r="D27" s="445"/>
      <c r="E27" s="445"/>
      <c r="F27" s="445"/>
      <c r="G27" s="445"/>
      <c r="H27" s="445"/>
      <c r="I27" s="445"/>
      <c r="J27" s="445"/>
      <c r="K27" s="445" t="s">
        <v>1524</v>
      </c>
      <c r="L27" s="225" t="s">
        <v>1427</v>
      </c>
      <c r="M27" s="225">
        <v>1</v>
      </c>
      <c r="N27" s="445">
        <f>5.22+1</f>
        <v>6.22</v>
      </c>
      <c r="O27" s="445">
        <f>0.23-1*0.025</f>
        <v>0.20500000000000002</v>
      </c>
      <c r="P27" s="445"/>
      <c r="Q27" s="445">
        <f>ROUND(2/3*I26*1,2)</f>
        <v>0.25</v>
      </c>
      <c r="R27" s="608">
        <f t="shared" si="3"/>
        <v>6.6749999999999998</v>
      </c>
      <c r="S27" s="608">
        <f t="shared" si="2"/>
        <v>6.6749999999999998</v>
      </c>
      <c r="T27" s="608">
        <f>S27</f>
        <v>6.6749999999999998</v>
      </c>
      <c r="U27" s="445"/>
      <c r="V27" s="445"/>
    </row>
    <row r="28" spans="1:22">
      <c r="A28" s="445"/>
      <c r="B28" s="445"/>
      <c r="C28" s="445"/>
      <c r="D28" s="445"/>
      <c r="E28" s="445"/>
      <c r="F28" s="445"/>
      <c r="G28" s="445"/>
      <c r="H28" s="445"/>
      <c r="I28" s="445"/>
      <c r="J28" s="445"/>
      <c r="K28" s="445" t="s">
        <v>1490</v>
      </c>
      <c r="L28" s="225" t="s">
        <v>1429</v>
      </c>
      <c r="M28" s="225">
        <v>2</v>
      </c>
      <c r="N28" s="445">
        <f>N26</f>
        <v>10.84</v>
      </c>
      <c r="O28" s="445">
        <f>0.23-2*0.025</f>
        <v>0.18</v>
      </c>
      <c r="P28" s="445">
        <f>ROUND(2/3*I26,2)</f>
        <v>0.25</v>
      </c>
      <c r="Q28" s="445">
        <f>ROUND(2/3*I26,2)</f>
        <v>0.25</v>
      </c>
      <c r="R28" s="608">
        <f t="shared" si="3"/>
        <v>11.52</v>
      </c>
      <c r="S28" s="445">
        <f t="shared" si="2"/>
        <v>23.04</v>
      </c>
      <c r="T28" s="445"/>
      <c r="U28" s="445"/>
      <c r="V28" s="445">
        <f>S28</f>
        <v>23.04</v>
      </c>
    </row>
    <row r="29" spans="1:22">
      <c r="A29" s="445"/>
      <c r="B29" s="445"/>
      <c r="C29" s="445"/>
      <c r="D29" s="445"/>
      <c r="E29" s="445"/>
      <c r="F29" s="445"/>
      <c r="G29" s="445"/>
      <c r="H29" s="445"/>
      <c r="I29" s="445"/>
      <c r="J29" s="445"/>
      <c r="K29" s="445" t="s">
        <v>1513</v>
      </c>
      <c r="L29" s="225" t="s">
        <v>1427</v>
      </c>
      <c r="M29" s="225">
        <v>1</v>
      </c>
      <c r="N29" s="445">
        <f>1+1.04+0.115</f>
        <v>2.1550000000000002</v>
      </c>
      <c r="O29" s="445">
        <f>-1*0.025</f>
        <v>-2.5000000000000001E-2</v>
      </c>
      <c r="P29" s="445">
        <f>ROUND(2/3*I26,2)</f>
        <v>0.25</v>
      </c>
      <c r="Q29" s="445"/>
      <c r="R29" s="608">
        <f t="shared" si="3"/>
        <v>2.3800000000000003</v>
      </c>
      <c r="S29" s="445">
        <f t="shared" si="2"/>
        <v>2.3800000000000003</v>
      </c>
      <c r="T29" s="445">
        <f>S29</f>
        <v>2.3800000000000003</v>
      </c>
      <c r="U29" s="445"/>
      <c r="V29" s="445"/>
    </row>
    <row r="30" spans="1:22">
      <c r="A30" s="445"/>
      <c r="B30" s="445"/>
      <c r="C30" s="445"/>
      <c r="D30" s="445"/>
      <c r="E30" s="445"/>
      <c r="F30" s="445"/>
      <c r="G30" s="445"/>
      <c r="H30" s="445"/>
      <c r="I30" s="445"/>
      <c r="J30" s="445"/>
      <c r="K30" s="445" t="s">
        <v>1507</v>
      </c>
      <c r="L30" s="225" t="s">
        <v>1427</v>
      </c>
      <c r="M30" s="225">
        <v>1</v>
      </c>
      <c r="N30" s="608">
        <f>1.04+1.5</f>
        <v>2.54</v>
      </c>
      <c r="O30" s="445"/>
      <c r="P30" s="445"/>
      <c r="Q30" s="445"/>
      <c r="R30" s="608">
        <f t="shared" si="3"/>
        <v>2.54</v>
      </c>
      <c r="S30" s="445">
        <f t="shared" si="2"/>
        <v>2.54</v>
      </c>
      <c r="T30" s="445">
        <f>S30</f>
        <v>2.54</v>
      </c>
      <c r="U30" s="445"/>
      <c r="V30" s="445"/>
    </row>
    <row r="31" spans="1:22">
      <c r="A31" s="445"/>
      <c r="B31" s="445"/>
      <c r="C31" s="445"/>
      <c r="D31" s="445"/>
      <c r="E31" s="445"/>
      <c r="F31" s="445"/>
      <c r="G31" s="445"/>
      <c r="H31" s="445"/>
      <c r="I31" s="445"/>
      <c r="J31" s="445"/>
      <c r="K31" s="445" t="s">
        <v>1508</v>
      </c>
      <c r="L31" s="225" t="s">
        <v>1427</v>
      </c>
      <c r="M31" s="225">
        <v>1</v>
      </c>
      <c r="N31" s="445">
        <f>1+1.04+0.115</f>
        <v>2.1550000000000002</v>
      </c>
      <c r="O31" s="445">
        <f>-1*0.025</f>
        <v>-2.5000000000000001E-2</v>
      </c>
      <c r="P31" s="445">
        <f>ROUND(2/3*I26,2)</f>
        <v>0.25</v>
      </c>
      <c r="Q31" s="445"/>
      <c r="R31" s="608">
        <f t="shared" si="3"/>
        <v>2.3800000000000003</v>
      </c>
      <c r="S31" s="445">
        <f t="shared" si="2"/>
        <v>2.3800000000000003</v>
      </c>
      <c r="T31" s="445">
        <f>S31</f>
        <v>2.3800000000000003</v>
      </c>
      <c r="U31" s="445"/>
      <c r="V31" s="445"/>
    </row>
    <row r="32" spans="1:22">
      <c r="A32" s="445"/>
      <c r="B32" s="445"/>
      <c r="C32" s="445"/>
      <c r="D32" s="445"/>
      <c r="E32" s="445"/>
      <c r="F32" s="445"/>
      <c r="G32" s="445"/>
      <c r="H32" s="445"/>
      <c r="I32" s="445"/>
      <c r="J32" s="445"/>
      <c r="K32" s="657" t="s">
        <v>1491</v>
      </c>
      <c r="L32" s="225" t="s">
        <v>1428</v>
      </c>
      <c r="M32" s="225">
        <f>ROUND(0.69/0.1+1,0)*4+ROUND(0.925/0.1+1,0)*2</f>
        <v>52</v>
      </c>
      <c r="N32" s="445"/>
      <c r="O32" s="445"/>
      <c r="P32" s="445"/>
      <c r="Q32" s="445"/>
      <c r="R32" s="608">
        <f>2*(0.23+0.38)-4*0.025</f>
        <v>1.1199999999999999</v>
      </c>
      <c r="S32" s="445">
        <f t="shared" si="2"/>
        <v>58.239999999999995</v>
      </c>
      <c r="T32" s="445"/>
      <c r="U32" s="445">
        <f>S32</f>
        <v>58.239999999999995</v>
      </c>
      <c r="V32" s="445"/>
    </row>
    <row r="33" spans="1:22">
      <c r="A33" s="445"/>
      <c r="B33" s="445"/>
      <c r="C33" s="445"/>
      <c r="D33" s="445"/>
      <c r="E33" s="445"/>
      <c r="F33" s="445"/>
      <c r="G33" s="445"/>
      <c r="H33" s="445"/>
      <c r="I33" s="445"/>
      <c r="J33" s="445"/>
      <c r="K33" s="657" t="s">
        <v>1492</v>
      </c>
      <c r="L33" s="225" t="s">
        <v>1428</v>
      </c>
      <c r="M33" s="225">
        <f>ROUND((3.39+5.22+0.23-3*0.38-4*0.69)/0.13+1,0)</f>
        <v>39</v>
      </c>
      <c r="N33" s="445"/>
      <c r="O33" s="445"/>
      <c r="P33" s="445"/>
      <c r="Q33" s="445"/>
      <c r="R33" s="608">
        <f>2*(0.23+0.38)-4*0.025</f>
        <v>1.1199999999999999</v>
      </c>
      <c r="S33" s="445">
        <f t="shared" si="2"/>
        <v>43.679999999999993</v>
      </c>
      <c r="T33" s="445"/>
      <c r="U33" s="445">
        <f>S33</f>
        <v>43.679999999999993</v>
      </c>
      <c r="V33" s="445"/>
    </row>
    <row r="34" spans="1:22">
      <c r="A34" s="445">
        <v>5</v>
      </c>
      <c r="B34" s="445" t="s">
        <v>1529</v>
      </c>
      <c r="C34" s="608">
        <v>2.95</v>
      </c>
      <c r="D34" s="445">
        <v>2.82</v>
      </c>
      <c r="E34" s="445">
        <v>3.01</v>
      </c>
      <c r="F34" s="608">
        <v>3.4649999999999999</v>
      </c>
      <c r="G34" s="658">
        <f>C34+D34+E34+F34+0.23</f>
        <v>12.475</v>
      </c>
      <c r="H34" s="445">
        <v>0.23</v>
      </c>
      <c r="I34" s="445">
        <v>0.38</v>
      </c>
      <c r="J34" s="445">
        <f>ROUND(I34*H34*G34,2)</f>
        <v>1.0900000000000001</v>
      </c>
      <c r="K34" s="445" t="s">
        <v>1489</v>
      </c>
      <c r="L34" s="225" t="s">
        <v>1427</v>
      </c>
      <c r="M34" s="225">
        <v>2</v>
      </c>
      <c r="N34" s="608">
        <f>G34</f>
        <v>12.475</v>
      </c>
      <c r="O34" s="445">
        <f>0.23-2*0.025</f>
        <v>0.18</v>
      </c>
      <c r="P34" s="445">
        <f>ROUND(2/3*I34,2)</f>
        <v>0.25</v>
      </c>
      <c r="Q34" s="445">
        <f>ROUND(2/3*I34,2)</f>
        <v>0.25</v>
      </c>
      <c r="R34" s="608">
        <f t="shared" ref="R34:R40" si="4">SUM(N34:Q34)</f>
        <v>13.154999999999999</v>
      </c>
      <c r="S34" s="445">
        <f t="shared" si="2"/>
        <v>26.31</v>
      </c>
      <c r="T34" s="445">
        <f t="shared" ref="T34:T40" si="5">S34</f>
        <v>26.31</v>
      </c>
      <c r="U34" s="445"/>
      <c r="V34" s="445"/>
    </row>
    <row r="35" spans="1:22">
      <c r="A35" s="445"/>
      <c r="B35" s="445"/>
      <c r="C35" s="445"/>
      <c r="D35" s="445"/>
      <c r="E35" s="445"/>
      <c r="F35" s="445"/>
      <c r="G35" s="445"/>
      <c r="H35" s="445"/>
      <c r="I35" s="445"/>
      <c r="J35" s="445"/>
      <c r="K35" s="445" t="s">
        <v>1490</v>
      </c>
      <c r="L35" s="225" t="s">
        <v>1427</v>
      </c>
      <c r="M35" s="225">
        <v>2</v>
      </c>
      <c r="N35" s="445">
        <f>N34</f>
        <v>12.475</v>
      </c>
      <c r="O35" s="445">
        <f>0.23-2*0.025</f>
        <v>0.18</v>
      </c>
      <c r="P35" s="445">
        <f>ROUND(2/3*I34,2)</f>
        <v>0.25</v>
      </c>
      <c r="Q35" s="445">
        <f>ROUND(2/3*I34,2)</f>
        <v>0.25</v>
      </c>
      <c r="R35" s="608">
        <f t="shared" si="4"/>
        <v>13.154999999999999</v>
      </c>
      <c r="S35" s="445">
        <f t="shared" si="2"/>
        <v>26.31</v>
      </c>
      <c r="T35" s="445">
        <f t="shared" si="5"/>
        <v>26.31</v>
      </c>
      <c r="U35" s="445"/>
      <c r="V35" s="445"/>
    </row>
    <row r="36" spans="1:22">
      <c r="A36" s="445"/>
      <c r="B36" s="445"/>
      <c r="C36" s="445"/>
      <c r="D36" s="445"/>
      <c r="E36" s="445"/>
      <c r="F36" s="445"/>
      <c r="G36" s="445"/>
      <c r="H36" s="445"/>
      <c r="I36" s="445"/>
      <c r="J36" s="445"/>
      <c r="K36" s="445" t="s">
        <v>1530</v>
      </c>
      <c r="L36" s="225" t="s">
        <v>1427</v>
      </c>
      <c r="M36" s="225">
        <v>1</v>
      </c>
      <c r="N36" s="445">
        <f>ROUND(C34*0.25+0.115,2)</f>
        <v>0.85</v>
      </c>
      <c r="O36" s="445">
        <f>0.115-0.025</f>
        <v>0.09</v>
      </c>
      <c r="P36" s="445">
        <f>ROUND(2/3*I34,2)</f>
        <v>0.25</v>
      </c>
      <c r="Q36" s="445"/>
      <c r="R36" s="608">
        <f t="shared" si="4"/>
        <v>1.19</v>
      </c>
      <c r="S36" s="445">
        <f t="shared" ref="S36:S42" si="6">R36*M36</f>
        <v>1.19</v>
      </c>
      <c r="T36" s="445">
        <f t="shared" si="5"/>
        <v>1.19</v>
      </c>
      <c r="U36" s="445"/>
      <c r="V36" s="445"/>
    </row>
    <row r="37" spans="1:22">
      <c r="A37" s="445"/>
      <c r="B37" s="445"/>
      <c r="C37" s="445"/>
      <c r="D37" s="445"/>
      <c r="E37" s="445"/>
      <c r="F37" s="445"/>
      <c r="G37" s="445"/>
      <c r="H37" s="445"/>
      <c r="I37" s="445"/>
      <c r="J37" s="445"/>
      <c r="K37" s="445" t="s">
        <v>1531</v>
      </c>
      <c r="L37" s="225" t="s">
        <v>1427</v>
      </c>
      <c r="M37" s="225">
        <v>1</v>
      </c>
      <c r="N37" s="608">
        <f>C34*0.25+D34*0.25+0.23</f>
        <v>1.6724999999999999</v>
      </c>
      <c r="O37" s="445"/>
      <c r="P37" s="445"/>
      <c r="Q37" s="445"/>
      <c r="R37" s="608">
        <f t="shared" si="4"/>
        <v>1.6724999999999999</v>
      </c>
      <c r="S37" s="608">
        <f t="shared" si="6"/>
        <v>1.6724999999999999</v>
      </c>
      <c r="T37" s="608">
        <f t="shared" si="5"/>
        <v>1.6724999999999999</v>
      </c>
      <c r="U37" s="445"/>
      <c r="V37" s="445"/>
    </row>
    <row r="38" spans="1:22">
      <c r="A38" s="445"/>
      <c r="B38" s="445"/>
      <c r="C38" s="445"/>
      <c r="D38" s="445"/>
      <c r="E38" s="445"/>
      <c r="F38" s="445"/>
      <c r="G38" s="445"/>
      <c r="H38" s="445"/>
      <c r="I38" s="445"/>
      <c r="J38" s="445"/>
      <c r="K38" s="445" t="s">
        <v>1532</v>
      </c>
      <c r="L38" s="225" t="s">
        <v>1427</v>
      </c>
      <c r="M38" s="225">
        <v>1</v>
      </c>
      <c r="N38" s="608">
        <f>D34*0.25+E34*0.25+0.23</f>
        <v>1.6875</v>
      </c>
      <c r="O38" s="445"/>
      <c r="P38" s="445"/>
      <c r="Q38" s="445"/>
      <c r="R38" s="608">
        <f t="shared" si="4"/>
        <v>1.6875</v>
      </c>
      <c r="S38" s="608">
        <f t="shared" si="6"/>
        <v>1.6875</v>
      </c>
      <c r="T38" s="608">
        <f t="shared" si="5"/>
        <v>1.6875</v>
      </c>
      <c r="U38" s="445"/>
      <c r="V38" s="445"/>
    </row>
    <row r="39" spans="1:22">
      <c r="A39" s="445"/>
      <c r="B39" s="445"/>
      <c r="C39" s="445"/>
      <c r="D39" s="445"/>
      <c r="E39" s="445"/>
      <c r="F39" s="445"/>
      <c r="G39" s="445"/>
      <c r="H39" s="445"/>
      <c r="I39" s="445"/>
      <c r="J39" s="445"/>
      <c r="K39" s="445" t="s">
        <v>1533</v>
      </c>
      <c r="L39" s="225" t="s">
        <v>1427</v>
      </c>
      <c r="M39" s="225">
        <v>1</v>
      </c>
      <c r="N39" s="608">
        <f>E34*0.25+F34*0.25+0.23</f>
        <v>1.8487499999999999</v>
      </c>
      <c r="O39" s="445"/>
      <c r="P39" s="445"/>
      <c r="Q39" s="445"/>
      <c r="R39" s="608">
        <f t="shared" si="4"/>
        <v>1.8487499999999999</v>
      </c>
      <c r="S39" s="608">
        <f t="shared" si="6"/>
        <v>1.8487499999999999</v>
      </c>
      <c r="T39" s="608">
        <f t="shared" si="5"/>
        <v>1.8487499999999999</v>
      </c>
      <c r="U39" s="445"/>
      <c r="V39" s="445"/>
    </row>
    <row r="40" spans="1:22">
      <c r="A40" s="445"/>
      <c r="B40" s="445"/>
      <c r="C40" s="445"/>
      <c r="D40" s="445"/>
      <c r="E40" s="445"/>
      <c r="F40" s="445"/>
      <c r="G40" s="445"/>
      <c r="H40" s="445"/>
      <c r="I40" s="445"/>
      <c r="J40" s="445"/>
      <c r="K40" s="445" t="s">
        <v>1534</v>
      </c>
      <c r="L40" s="225" t="s">
        <v>1427</v>
      </c>
      <c r="M40" s="225">
        <v>1</v>
      </c>
      <c r="N40" s="608">
        <f>F34*0.25+0.115</f>
        <v>0.98124999999999996</v>
      </c>
      <c r="O40" s="445">
        <f>0.115-0.025</f>
        <v>0.09</v>
      </c>
      <c r="P40" s="445"/>
      <c r="Q40" s="445">
        <f>ROUND(2/3*I34,2)</f>
        <v>0.25</v>
      </c>
      <c r="R40" s="608">
        <f t="shared" si="4"/>
        <v>1.32125</v>
      </c>
      <c r="S40" s="445">
        <f t="shared" si="6"/>
        <v>1.32125</v>
      </c>
      <c r="T40" s="445">
        <f t="shared" si="5"/>
        <v>1.32125</v>
      </c>
      <c r="U40" s="445"/>
      <c r="V40" s="445"/>
    </row>
    <row r="41" spans="1:22">
      <c r="A41" s="445"/>
      <c r="B41" s="445"/>
      <c r="C41" s="445"/>
      <c r="D41" s="445"/>
      <c r="E41" s="445"/>
      <c r="F41" s="445"/>
      <c r="G41" s="445"/>
      <c r="H41" s="445"/>
      <c r="I41" s="445"/>
      <c r="J41" s="445"/>
      <c r="K41" s="657" t="s">
        <v>1491</v>
      </c>
      <c r="L41" s="225" t="s">
        <v>1428</v>
      </c>
      <c r="M41" s="225">
        <f>ROUND(0.69/0.1+1,0)*8</f>
        <v>64</v>
      </c>
      <c r="N41" s="445"/>
      <c r="O41" s="445"/>
      <c r="P41" s="445"/>
      <c r="Q41" s="445"/>
      <c r="R41" s="608">
        <f>2*(0.23+0.38)-4*0.025</f>
        <v>1.1199999999999999</v>
      </c>
      <c r="S41" s="445">
        <f t="shared" si="6"/>
        <v>71.679999999999993</v>
      </c>
      <c r="T41" s="445"/>
      <c r="U41" s="445">
        <f>S41</f>
        <v>71.679999999999993</v>
      </c>
      <c r="V41" s="445"/>
    </row>
    <row r="42" spans="1:22">
      <c r="A42" s="445"/>
      <c r="B42" s="445"/>
      <c r="C42" s="445"/>
      <c r="D42" s="445"/>
      <c r="E42" s="445"/>
      <c r="F42" s="445"/>
      <c r="G42" s="445"/>
      <c r="H42" s="445"/>
      <c r="I42" s="445"/>
      <c r="J42" s="445"/>
      <c r="K42" s="657" t="s">
        <v>1492</v>
      </c>
      <c r="L42" s="225" t="s">
        <v>1428</v>
      </c>
      <c r="M42" s="225">
        <f>ROUND((C34+0.23-2*0.23-2*0.69)/0.13+1,0)+ROUND((D34+0.23-2*0.23-2*0.69)/0.13+1,0)+ROUND((E34+0.23-2*0.23-2*0.69)/0.13+1,0)+ROUND((F34+0.23-2*0.23-2*0.69)/0.13+1,0)</f>
        <v>48</v>
      </c>
      <c r="N42" s="445"/>
      <c r="O42" s="445"/>
      <c r="P42" s="445"/>
      <c r="Q42" s="445"/>
      <c r="R42" s="608">
        <f>2*(0.23+0.38)-4*0.025</f>
        <v>1.1199999999999999</v>
      </c>
      <c r="S42" s="445">
        <f t="shared" si="6"/>
        <v>53.759999999999991</v>
      </c>
      <c r="T42" s="445"/>
      <c r="U42" s="445">
        <f>S42</f>
        <v>53.759999999999991</v>
      </c>
      <c r="V42" s="445"/>
    </row>
    <row r="43" spans="1:22">
      <c r="A43" s="445">
        <v>5</v>
      </c>
      <c r="B43" s="445" t="s">
        <v>1535</v>
      </c>
      <c r="C43" s="608">
        <v>2.95</v>
      </c>
      <c r="D43" s="445">
        <v>2.82</v>
      </c>
      <c r="E43" s="445">
        <v>3.01</v>
      </c>
      <c r="F43" s="608">
        <v>3.4649999999999999</v>
      </c>
      <c r="G43" s="658">
        <f>C43+D43+E43+F43+0.23</f>
        <v>12.475</v>
      </c>
      <c r="H43" s="445">
        <v>0.23</v>
      </c>
      <c r="I43" s="445">
        <v>0.38</v>
      </c>
      <c r="J43" s="445">
        <f>ROUND(I43*H43*G43,2)</f>
        <v>1.0900000000000001</v>
      </c>
      <c r="K43" s="445" t="s">
        <v>1489</v>
      </c>
      <c r="L43" s="225" t="s">
        <v>1427</v>
      </c>
      <c r="M43" s="225">
        <v>2</v>
      </c>
      <c r="N43" s="608">
        <f>G43</f>
        <v>12.475</v>
      </c>
      <c r="O43" s="445">
        <f>0.23-2*0.025</f>
        <v>0.18</v>
      </c>
      <c r="P43" s="445">
        <f>ROUND(2/3*I43,2)</f>
        <v>0.25</v>
      </c>
      <c r="Q43" s="445">
        <f>ROUND(2/3*I43,2)</f>
        <v>0.25</v>
      </c>
      <c r="R43" s="608">
        <f>SUM(N43:Q43)</f>
        <v>13.154999999999999</v>
      </c>
      <c r="S43" s="445">
        <f t="shared" ref="S43:S52" si="7">R43*M43</f>
        <v>26.31</v>
      </c>
      <c r="T43" s="445">
        <f>S43</f>
        <v>26.31</v>
      </c>
      <c r="U43" s="445"/>
      <c r="V43" s="445"/>
    </row>
    <row r="44" spans="1:22">
      <c r="A44" s="445"/>
      <c r="B44" s="445"/>
      <c r="C44" s="445"/>
      <c r="D44" s="445"/>
      <c r="E44" s="445"/>
      <c r="F44" s="445"/>
      <c r="G44" s="445"/>
      <c r="H44" s="445"/>
      <c r="I44" s="445"/>
      <c r="J44" s="445"/>
      <c r="K44" s="445" t="s">
        <v>1490</v>
      </c>
      <c r="L44" s="225" t="s">
        <v>1427</v>
      </c>
      <c r="M44" s="225">
        <v>2</v>
      </c>
      <c r="N44" s="445">
        <f>N43</f>
        <v>12.475</v>
      </c>
      <c r="O44" s="445">
        <f>0.23-2*0.025</f>
        <v>0.18</v>
      </c>
      <c r="P44" s="445">
        <f>ROUND(2/3*I43,2)</f>
        <v>0.25</v>
      </c>
      <c r="Q44" s="445">
        <f>ROUND(2/3*I43,2)</f>
        <v>0.25</v>
      </c>
      <c r="R44" s="608">
        <f>SUM(N44:Q44)</f>
        <v>13.154999999999999</v>
      </c>
      <c r="S44" s="445">
        <f t="shared" si="7"/>
        <v>26.31</v>
      </c>
      <c r="T44" s="445">
        <f>S44</f>
        <v>26.31</v>
      </c>
      <c r="U44" s="445"/>
      <c r="V44" s="445"/>
    </row>
    <row r="45" spans="1:22">
      <c r="A45" s="445"/>
      <c r="B45" s="445"/>
      <c r="C45" s="445"/>
      <c r="D45" s="445"/>
      <c r="E45" s="445"/>
      <c r="F45" s="445"/>
      <c r="G45" s="445"/>
      <c r="H45" s="445"/>
      <c r="I45" s="445"/>
      <c r="J45" s="445"/>
      <c r="K45" s="445" t="s">
        <v>1530</v>
      </c>
      <c r="L45" s="225" t="s">
        <v>1427</v>
      </c>
      <c r="M45" s="225">
        <v>1</v>
      </c>
      <c r="N45" s="445">
        <f>ROUND(C43*0.25+0.115,2)</f>
        <v>0.85</v>
      </c>
      <c r="O45" s="445">
        <f>0.115-0.025</f>
        <v>0.09</v>
      </c>
      <c r="P45" s="445">
        <f>ROUND(2/3*I43,2)</f>
        <v>0.25</v>
      </c>
      <c r="Q45" s="445"/>
      <c r="R45" s="608">
        <f>SUM(N45:Q45)</f>
        <v>1.19</v>
      </c>
      <c r="S45" s="445">
        <f t="shared" si="7"/>
        <v>1.19</v>
      </c>
      <c r="T45" s="445">
        <f>S45</f>
        <v>1.19</v>
      </c>
      <c r="U45" s="445"/>
      <c r="V45" s="445"/>
    </row>
    <row r="46" spans="1:22">
      <c r="A46" s="445"/>
      <c r="B46" s="445"/>
      <c r="C46" s="445"/>
      <c r="D46" s="445"/>
      <c r="E46" s="445"/>
      <c r="F46" s="445"/>
      <c r="G46" s="445"/>
      <c r="H46" s="445"/>
      <c r="I46" s="445"/>
      <c r="J46" s="445"/>
      <c r="K46" s="445" t="s">
        <v>1531</v>
      </c>
      <c r="L46" s="225" t="s">
        <v>1427</v>
      </c>
      <c r="M46" s="225">
        <v>1</v>
      </c>
      <c r="N46" s="608">
        <f>C43*0.25+D43*0.25+0.23</f>
        <v>1.6724999999999999</v>
      </c>
      <c r="O46" s="445"/>
      <c r="P46" s="445"/>
      <c r="Q46" s="445"/>
      <c r="R46" s="608">
        <f>SUM(N46:Q46)</f>
        <v>1.6724999999999999</v>
      </c>
      <c r="S46" s="608">
        <f t="shared" si="7"/>
        <v>1.6724999999999999</v>
      </c>
      <c r="T46" s="608">
        <f>S46</f>
        <v>1.6724999999999999</v>
      </c>
      <c r="U46" s="445"/>
      <c r="V46" s="445"/>
    </row>
    <row r="47" spans="1:22">
      <c r="A47" s="445"/>
      <c r="B47" s="445"/>
      <c r="C47" s="445"/>
      <c r="D47" s="445"/>
      <c r="E47" s="445"/>
      <c r="F47" s="445"/>
      <c r="G47" s="445"/>
      <c r="H47" s="445"/>
      <c r="I47" s="445"/>
      <c r="J47" s="445"/>
      <c r="K47" s="445" t="s">
        <v>1532</v>
      </c>
      <c r="L47" s="225" t="s">
        <v>1427</v>
      </c>
      <c r="M47" s="225">
        <v>1</v>
      </c>
      <c r="N47" s="608">
        <f>D43*0.25+E43*0.25+0.23</f>
        <v>1.6875</v>
      </c>
      <c r="O47" s="445"/>
      <c r="P47" s="445"/>
      <c r="Q47" s="445"/>
      <c r="R47" s="608">
        <f>SUM(N47:Q47)</f>
        <v>1.6875</v>
      </c>
      <c r="S47" s="608">
        <f t="shared" si="7"/>
        <v>1.6875</v>
      </c>
      <c r="T47" s="608">
        <f>S47</f>
        <v>1.6875</v>
      </c>
      <c r="U47" s="445"/>
      <c r="V47" s="445"/>
    </row>
    <row r="48" spans="1:22">
      <c r="A48" s="445"/>
      <c r="B48" s="445"/>
      <c r="C48" s="445"/>
      <c r="D48" s="445"/>
      <c r="E48" s="445"/>
      <c r="F48" s="445"/>
      <c r="G48" s="445"/>
      <c r="H48" s="445"/>
      <c r="I48" s="445"/>
      <c r="J48" s="445"/>
      <c r="K48" s="657" t="s">
        <v>1491</v>
      </c>
      <c r="L48" s="225" t="s">
        <v>1428</v>
      </c>
      <c r="M48" s="225">
        <f>ROUND(0.69/0.1+1,0)*8</f>
        <v>64</v>
      </c>
      <c r="N48" s="445"/>
      <c r="O48" s="445"/>
      <c r="P48" s="445"/>
      <c r="Q48" s="445"/>
      <c r="R48" s="608">
        <f>2*(0.23+0.38)-4*0.025</f>
        <v>1.1199999999999999</v>
      </c>
      <c r="S48" s="445">
        <f t="shared" si="7"/>
        <v>71.679999999999993</v>
      </c>
      <c r="T48" s="445"/>
      <c r="U48" s="445">
        <f>S48</f>
        <v>71.679999999999993</v>
      </c>
      <c r="V48" s="445"/>
    </row>
    <row r="49" spans="1:22">
      <c r="A49" s="445"/>
      <c r="B49" s="445"/>
      <c r="C49" s="445"/>
      <c r="D49" s="445"/>
      <c r="E49" s="445"/>
      <c r="F49" s="445"/>
      <c r="G49" s="445"/>
      <c r="H49" s="445"/>
      <c r="I49" s="445"/>
      <c r="J49" s="445"/>
      <c r="K49" s="657" t="s">
        <v>1492</v>
      </c>
      <c r="L49" s="225" t="s">
        <v>1428</v>
      </c>
      <c r="M49" s="225">
        <f>ROUND((C43+0.23-2*0.23-2*0.69)/0.13+1,0)+ROUND((D43+0.23-2*0.23-2*0.69)/0.13+1,0)+ROUND((E43+0.23-2*0.23-2*0.69)/0.13+1,0)+ROUND((F43+0.23-2*0.23-2*0.69)/0.13+1,0)</f>
        <v>48</v>
      </c>
      <c r="N49" s="445"/>
      <c r="O49" s="445"/>
      <c r="P49" s="445"/>
      <c r="Q49" s="445"/>
      <c r="R49" s="608">
        <f>2*(0.23+0.38)-4*0.025</f>
        <v>1.1199999999999999</v>
      </c>
      <c r="S49" s="445">
        <f t="shared" si="7"/>
        <v>53.759999999999991</v>
      </c>
      <c r="T49" s="445"/>
      <c r="U49" s="445">
        <f>S49</f>
        <v>53.759999999999991</v>
      </c>
      <c r="V49" s="445"/>
    </row>
    <row r="50" spans="1:22">
      <c r="A50" s="445">
        <v>5</v>
      </c>
      <c r="B50" s="445" t="s">
        <v>1536</v>
      </c>
      <c r="C50" s="608">
        <v>2.95</v>
      </c>
      <c r="D50" s="445">
        <v>2.82</v>
      </c>
      <c r="E50" s="445">
        <v>3.01</v>
      </c>
      <c r="F50" s="608">
        <v>3.4649999999999999</v>
      </c>
      <c r="G50" s="658">
        <f>C50+D50+E50+F50+0.23</f>
        <v>12.475</v>
      </c>
      <c r="H50" s="445">
        <v>0.23</v>
      </c>
      <c r="I50" s="445">
        <v>0.38</v>
      </c>
      <c r="J50" s="445">
        <f>ROUND(I50*H50*G50,2)</f>
        <v>1.0900000000000001</v>
      </c>
      <c r="K50" s="445" t="s">
        <v>1489</v>
      </c>
      <c r="L50" s="225" t="s">
        <v>1427</v>
      </c>
      <c r="M50" s="225">
        <v>2</v>
      </c>
      <c r="N50" s="608">
        <f>G50</f>
        <v>12.475</v>
      </c>
      <c r="O50" s="445">
        <f>0.23-2*0.025</f>
        <v>0.18</v>
      </c>
      <c r="P50" s="445">
        <f>ROUND(2/3*I50,2)</f>
        <v>0.25</v>
      </c>
      <c r="Q50" s="445">
        <f>ROUND(2/3*I50,2)</f>
        <v>0.25</v>
      </c>
      <c r="R50" s="608">
        <f t="shared" ref="R50:R56" si="8">SUM(N50:Q50)</f>
        <v>13.154999999999999</v>
      </c>
      <c r="S50" s="445">
        <f t="shared" si="7"/>
        <v>26.31</v>
      </c>
      <c r="T50" s="445">
        <f>S50</f>
        <v>26.31</v>
      </c>
      <c r="U50" s="445"/>
      <c r="V50" s="445"/>
    </row>
    <row r="51" spans="1:22">
      <c r="A51" s="445"/>
      <c r="B51" s="445"/>
      <c r="C51" s="608"/>
      <c r="D51" s="445"/>
      <c r="E51" s="445"/>
      <c r="F51" s="608"/>
      <c r="G51" s="658"/>
      <c r="H51" s="445"/>
      <c r="I51" s="445"/>
      <c r="J51" s="445"/>
      <c r="K51" s="445" t="s">
        <v>1524</v>
      </c>
      <c r="L51" s="225" t="s">
        <v>1427</v>
      </c>
      <c r="M51" s="225">
        <v>1</v>
      </c>
      <c r="N51" s="608">
        <f>C50+D50+0.6</f>
        <v>6.3699999999999992</v>
      </c>
      <c r="O51" s="445">
        <f>0.23-1*0.025</f>
        <v>0.20500000000000002</v>
      </c>
      <c r="P51" s="445">
        <f>ROUND(2/3*I50*1,2)</f>
        <v>0.25</v>
      </c>
      <c r="Q51" s="445"/>
      <c r="R51" s="608">
        <f>SUM(N51:P51)</f>
        <v>6.8249999999999993</v>
      </c>
      <c r="S51" s="608">
        <f t="shared" si="7"/>
        <v>6.8249999999999993</v>
      </c>
      <c r="T51" s="608">
        <f>S51</f>
        <v>6.8249999999999993</v>
      </c>
      <c r="U51" s="445"/>
      <c r="V51" s="445"/>
    </row>
    <row r="52" spans="1:22">
      <c r="A52" s="445"/>
      <c r="B52" s="445"/>
      <c r="C52" s="445"/>
      <c r="D52" s="445"/>
      <c r="E52" s="445"/>
      <c r="F52" s="445"/>
      <c r="G52" s="445"/>
      <c r="H52" s="445"/>
      <c r="I52" s="445"/>
      <c r="J52" s="445"/>
      <c r="K52" s="445" t="s">
        <v>1490</v>
      </c>
      <c r="L52" s="225" t="s">
        <v>1427</v>
      </c>
      <c r="M52" s="225">
        <v>2</v>
      </c>
      <c r="N52" s="445">
        <f>N50</f>
        <v>12.475</v>
      </c>
      <c r="O52" s="445">
        <f>0.23-2*0.025</f>
        <v>0.18</v>
      </c>
      <c r="P52" s="445">
        <f>ROUND(2/3*I50,2)</f>
        <v>0.25</v>
      </c>
      <c r="Q52" s="445">
        <f>ROUND(2/3*I50,2)</f>
        <v>0.25</v>
      </c>
      <c r="R52" s="608">
        <f t="shared" si="8"/>
        <v>13.154999999999999</v>
      </c>
      <c r="S52" s="445">
        <f t="shared" si="7"/>
        <v>26.31</v>
      </c>
      <c r="T52" s="445">
        <f>S52</f>
        <v>26.31</v>
      </c>
      <c r="U52" s="445"/>
      <c r="V52" s="445"/>
    </row>
    <row r="53" spans="1:22">
      <c r="A53" s="445"/>
      <c r="B53" s="445"/>
      <c r="C53" s="445"/>
      <c r="D53" s="445"/>
      <c r="E53" s="445"/>
      <c r="F53" s="445"/>
      <c r="G53" s="445"/>
      <c r="H53" s="445"/>
      <c r="I53" s="445"/>
      <c r="J53" s="445"/>
      <c r="K53" s="445" t="s">
        <v>1530</v>
      </c>
      <c r="L53" s="225" t="s">
        <v>1427</v>
      </c>
      <c r="M53" s="225">
        <v>1</v>
      </c>
      <c r="N53" s="445">
        <f>ROUND(C50*0.25+0.115,2)</f>
        <v>0.85</v>
      </c>
      <c r="O53" s="445">
        <f>0.115-0.025</f>
        <v>0.09</v>
      </c>
      <c r="P53" s="445">
        <f>ROUND(2/3*I50,2)</f>
        <v>0.25</v>
      </c>
      <c r="Q53" s="445"/>
      <c r="R53" s="608">
        <f t="shared" si="8"/>
        <v>1.19</v>
      </c>
      <c r="S53" s="445">
        <f t="shared" ref="S53:S59" si="9">R53*M53</f>
        <v>1.19</v>
      </c>
      <c r="T53" s="445">
        <f>S53</f>
        <v>1.19</v>
      </c>
      <c r="U53" s="445"/>
      <c r="V53" s="445"/>
    </row>
    <row r="54" spans="1:22">
      <c r="A54" s="445"/>
      <c r="B54" s="445"/>
      <c r="C54" s="445"/>
      <c r="D54" s="445"/>
      <c r="E54" s="445"/>
      <c r="F54" s="445"/>
      <c r="G54" s="445"/>
      <c r="H54" s="445"/>
      <c r="I54" s="445"/>
      <c r="J54" s="445"/>
      <c r="K54" s="445" t="s">
        <v>1531</v>
      </c>
      <c r="L54" s="225" t="s">
        <v>1429</v>
      </c>
      <c r="M54" s="225">
        <v>1</v>
      </c>
      <c r="N54" s="608">
        <f>C50*0.25+D50*0.25+0.23</f>
        <v>1.6724999999999999</v>
      </c>
      <c r="O54" s="445"/>
      <c r="P54" s="445"/>
      <c r="Q54" s="445"/>
      <c r="R54" s="608">
        <f t="shared" si="8"/>
        <v>1.6724999999999999</v>
      </c>
      <c r="S54" s="608">
        <f t="shared" si="9"/>
        <v>1.6724999999999999</v>
      </c>
      <c r="U54" s="445"/>
      <c r="V54" s="608">
        <f>S54</f>
        <v>1.6724999999999999</v>
      </c>
    </row>
    <row r="55" spans="1:22">
      <c r="A55" s="445"/>
      <c r="B55" s="445"/>
      <c r="C55" s="445"/>
      <c r="D55" s="445"/>
      <c r="E55" s="445"/>
      <c r="F55" s="445"/>
      <c r="G55" s="445"/>
      <c r="H55" s="445"/>
      <c r="I55" s="445"/>
      <c r="J55" s="445"/>
      <c r="K55" s="445" t="s">
        <v>1532</v>
      </c>
      <c r="L55" s="225" t="s">
        <v>1429</v>
      </c>
      <c r="M55" s="225">
        <v>1</v>
      </c>
      <c r="N55" s="608">
        <f>D50*0.25+E50*0.25+0.23</f>
        <v>1.6875</v>
      </c>
      <c r="O55" s="445"/>
      <c r="P55" s="445"/>
      <c r="Q55" s="445"/>
      <c r="R55" s="608">
        <f t="shared" si="8"/>
        <v>1.6875</v>
      </c>
      <c r="S55" s="608">
        <f t="shared" si="9"/>
        <v>1.6875</v>
      </c>
      <c r="U55" s="445"/>
      <c r="V55" s="608">
        <f>S55</f>
        <v>1.6875</v>
      </c>
    </row>
    <row r="56" spans="1:22">
      <c r="A56" s="445"/>
      <c r="B56" s="445"/>
      <c r="C56" s="445"/>
      <c r="D56" s="445"/>
      <c r="E56" s="445"/>
      <c r="F56" s="445"/>
      <c r="G56" s="445"/>
      <c r="H56" s="445"/>
      <c r="I56" s="445"/>
      <c r="J56" s="445"/>
      <c r="K56" s="445" t="s">
        <v>1533</v>
      </c>
      <c r="L56" s="225" t="s">
        <v>1427</v>
      </c>
      <c r="M56" s="225">
        <v>1</v>
      </c>
      <c r="N56" s="608">
        <f>E50*0.25+F50*0.25+0.23</f>
        <v>1.8487499999999999</v>
      </c>
      <c r="O56" s="445"/>
      <c r="P56" s="445"/>
      <c r="Q56" s="445"/>
      <c r="R56" s="608">
        <f t="shared" si="8"/>
        <v>1.8487499999999999</v>
      </c>
      <c r="S56" s="608">
        <f t="shared" si="9"/>
        <v>1.8487499999999999</v>
      </c>
      <c r="T56" s="608">
        <f>S56</f>
        <v>1.8487499999999999</v>
      </c>
      <c r="U56" s="445"/>
      <c r="V56" s="445"/>
    </row>
    <row r="57" spans="1:22">
      <c r="A57" s="445"/>
      <c r="B57" s="445"/>
      <c r="C57" s="445"/>
      <c r="D57" s="445"/>
      <c r="E57" s="445"/>
      <c r="F57" s="445"/>
      <c r="G57" s="445"/>
      <c r="H57" s="445"/>
      <c r="I57" s="445"/>
      <c r="J57" s="445"/>
      <c r="K57" s="445" t="s">
        <v>1534</v>
      </c>
      <c r="L57" s="225" t="s">
        <v>1427</v>
      </c>
      <c r="M57" s="225">
        <v>1</v>
      </c>
      <c r="N57" s="608">
        <f>F50*0.25+0.115</f>
        <v>0.98124999999999996</v>
      </c>
      <c r="O57" s="445">
        <f>0.115-0.025</f>
        <v>0.09</v>
      </c>
      <c r="P57" s="445"/>
      <c r="Q57" s="445">
        <f>ROUND(2/3*I50,2)</f>
        <v>0.25</v>
      </c>
      <c r="R57" s="608">
        <f>SUM(N57:Q57)</f>
        <v>1.32125</v>
      </c>
      <c r="S57" s="445">
        <f t="shared" si="9"/>
        <v>1.32125</v>
      </c>
      <c r="T57" s="445">
        <f>S57</f>
        <v>1.32125</v>
      </c>
      <c r="U57" s="445"/>
      <c r="V57" s="445"/>
    </row>
    <row r="58" spans="1:22">
      <c r="A58" s="445"/>
      <c r="B58" s="445"/>
      <c r="C58" s="445"/>
      <c r="D58" s="445"/>
      <c r="E58" s="445"/>
      <c r="F58" s="445"/>
      <c r="G58" s="445"/>
      <c r="H58" s="445"/>
      <c r="I58" s="445"/>
      <c r="J58" s="445"/>
      <c r="K58" s="657" t="s">
        <v>1491</v>
      </c>
      <c r="L58" s="225" t="s">
        <v>1428</v>
      </c>
      <c r="M58" s="225">
        <f>ROUND(0.69/0.1+1,0)*8</f>
        <v>64</v>
      </c>
      <c r="N58" s="445"/>
      <c r="O58" s="445"/>
      <c r="P58" s="445"/>
      <c r="Q58" s="445"/>
      <c r="R58" s="608">
        <f>2*(0.23+0.38)-4*0.025</f>
        <v>1.1199999999999999</v>
      </c>
      <c r="S58" s="445">
        <f t="shared" si="9"/>
        <v>71.679999999999993</v>
      </c>
      <c r="T58" s="445"/>
      <c r="U58" s="445">
        <f>S58</f>
        <v>71.679999999999993</v>
      </c>
      <c r="V58" s="445"/>
    </row>
    <row r="59" spans="1:22">
      <c r="A59" s="445"/>
      <c r="B59" s="445"/>
      <c r="C59" s="445"/>
      <c r="D59" s="445"/>
      <c r="E59" s="445"/>
      <c r="F59" s="445"/>
      <c r="G59" s="445"/>
      <c r="H59" s="445"/>
      <c r="I59" s="445"/>
      <c r="J59" s="445"/>
      <c r="K59" s="657" t="s">
        <v>1492</v>
      </c>
      <c r="L59" s="225" t="s">
        <v>1428</v>
      </c>
      <c r="M59" s="225">
        <f>ROUND((C50+0.23-2*0.23-2*0.69)/0.13+1,0)+ROUND((D50+0.23-2*0.23-2*0.69)/0.13+1,0)+ROUND((E50+0.23-2*0.23-2*0.69)/0.13+1,0)+ROUND((F50+0.23-2*0.23-2*0.69)/0.13+1,0)</f>
        <v>48</v>
      </c>
      <c r="N59" s="445"/>
      <c r="O59" s="445"/>
      <c r="P59" s="445"/>
      <c r="Q59" s="445"/>
      <c r="R59" s="608">
        <f>2*(0.23+0.38)-4*0.025</f>
        <v>1.1199999999999999</v>
      </c>
      <c r="S59" s="445">
        <f t="shared" si="9"/>
        <v>53.759999999999991</v>
      </c>
      <c r="T59" s="445"/>
      <c r="U59" s="445">
        <f>S59</f>
        <v>53.759999999999991</v>
      </c>
      <c r="V59" s="445"/>
    </row>
    <row r="60" spans="1:22">
      <c r="A60" s="445"/>
      <c r="B60" s="445"/>
      <c r="C60" s="445"/>
      <c r="D60" s="445"/>
      <c r="E60" s="445"/>
      <c r="F60" s="445"/>
      <c r="G60" s="445"/>
      <c r="H60" s="445"/>
      <c r="I60" s="445"/>
      <c r="J60" s="445"/>
      <c r="K60" s="445"/>
      <c r="L60" s="225"/>
      <c r="M60" s="225"/>
      <c r="N60" s="445"/>
      <c r="O60" s="445"/>
      <c r="P60" s="445"/>
      <c r="Q60" s="445"/>
      <c r="R60" s="445"/>
      <c r="S60" s="445"/>
      <c r="T60" s="445">
        <f>SUM(T3:T59)</f>
        <v>297.63499999999999</v>
      </c>
      <c r="U60" s="445">
        <f>SUM(U3:U59)</f>
        <v>699.99999999999989</v>
      </c>
      <c r="V60" s="445">
        <f>SUM(V3:V59)</f>
        <v>88.219999999999985</v>
      </c>
    </row>
    <row r="61" spans="1:22" ht="15">
      <c r="A61" s="445"/>
      <c r="B61" s="445"/>
      <c r="C61" s="668"/>
      <c r="D61" s="668"/>
      <c r="E61" s="445"/>
      <c r="F61" s="445"/>
      <c r="G61" s="445"/>
      <c r="H61" s="445"/>
      <c r="I61" s="445"/>
      <c r="J61" s="445"/>
      <c r="K61" s="612"/>
      <c r="L61" s="653"/>
      <c r="M61" s="225"/>
      <c r="N61" s="445"/>
      <c r="O61" s="445"/>
      <c r="P61" s="445"/>
      <c r="Q61" s="445"/>
      <c r="R61" s="608"/>
      <c r="S61" s="669" t="s">
        <v>136</v>
      </c>
      <c r="T61" s="670">
        <f>SUM(T3:T60)</f>
        <v>595.27</v>
      </c>
      <c r="U61" s="670">
        <f>SUM(U3:U60)</f>
        <v>1399.9999999999998</v>
      </c>
      <c r="V61" s="670">
        <f>SUM(V3:V60)</f>
        <v>176.43999999999997</v>
      </c>
    </row>
    <row r="63" spans="1:22" ht="21">
      <c r="A63" s="1445" t="s">
        <v>1537</v>
      </c>
      <c r="B63" s="1446"/>
      <c r="C63" s="1446"/>
      <c r="D63" s="1446"/>
      <c r="E63" s="1446"/>
      <c r="F63" s="1446"/>
      <c r="G63" s="1446"/>
      <c r="H63" s="1446"/>
      <c r="I63" s="1446"/>
      <c r="J63" s="1446"/>
      <c r="K63" s="1446"/>
      <c r="L63" s="1446"/>
      <c r="M63" s="1446"/>
      <c r="N63" s="1446"/>
      <c r="O63" s="1446"/>
      <c r="P63" s="1446"/>
      <c r="Q63" s="1446"/>
      <c r="R63" s="1446"/>
      <c r="S63" s="1446"/>
      <c r="T63" s="1446"/>
      <c r="U63" s="1446"/>
      <c r="V63" s="1446"/>
    </row>
    <row r="64" spans="1:22">
      <c r="A64" s="445"/>
      <c r="B64" s="1447" t="s">
        <v>1074</v>
      </c>
      <c r="C64" s="1361" t="s">
        <v>1538</v>
      </c>
      <c r="D64" s="1363"/>
      <c r="E64" s="445">
        <v>0.5</v>
      </c>
      <c r="F64" s="445">
        <v>11</v>
      </c>
      <c r="G64" s="445">
        <f>2.95/2</f>
        <v>1.4750000000000001</v>
      </c>
      <c r="H64" s="445">
        <v>0.3</v>
      </c>
      <c r="I64" s="445">
        <v>0.15</v>
      </c>
      <c r="J64" s="445">
        <f>I64*H64*G64*F64*E64</f>
        <v>0.36506250000000001</v>
      </c>
      <c r="K64" s="445" t="s">
        <v>1539</v>
      </c>
      <c r="L64" s="225" t="s">
        <v>1427</v>
      </c>
      <c r="M64" s="225">
        <f>ROUND((2.95-0.23)/2/0.1+1,0)</f>
        <v>15</v>
      </c>
      <c r="N64" s="445">
        <f>3.77+1+0.45</f>
        <v>5.22</v>
      </c>
      <c r="O64" s="445">
        <f>0.23-2*0.025</f>
        <v>0.18</v>
      </c>
      <c r="P64" s="445"/>
      <c r="Q64" s="445"/>
      <c r="R64" s="608">
        <f>SUM(N64:Q64)</f>
        <v>5.3999999999999995</v>
      </c>
      <c r="S64" s="608">
        <f>R64*M64</f>
        <v>80.999999999999986</v>
      </c>
      <c r="T64" s="608">
        <f>S64</f>
        <v>80.999999999999986</v>
      </c>
      <c r="U64" s="445"/>
      <c r="V64" s="445"/>
    </row>
    <row r="65" spans="1:22">
      <c r="A65" s="445"/>
      <c r="B65" s="1447"/>
      <c r="C65" s="1361" t="s">
        <v>1074</v>
      </c>
      <c r="D65" s="1363"/>
      <c r="E65" s="445"/>
      <c r="F65" s="445">
        <v>1</v>
      </c>
      <c r="G65" s="445">
        <v>3.77</v>
      </c>
      <c r="H65" s="445">
        <v>1.4750000000000001</v>
      </c>
      <c r="I65" s="445">
        <v>0.15</v>
      </c>
      <c r="J65" s="445">
        <f>I65*H65*G65*F65</f>
        <v>0.83411250000000003</v>
      </c>
      <c r="K65" s="445" t="s">
        <v>1540</v>
      </c>
      <c r="L65" s="225" t="s">
        <v>1428</v>
      </c>
      <c r="M65" s="225">
        <f>ROUND(3.77/0.175+1,0)</f>
        <v>23</v>
      </c>
      <c r="N65" s="445">
        <f>2.95/2-2*0.025</f>
        <v>1.425</v>
      </c>
      <c r="O65" s="445"/>
      <c r="P65" s="445"/>
      <c r="Q65" s="445"/>
      <c r="R65" s="608">
        <f>SUM(N65:Q65)</f>
        <v>1.425</v>
      </c>
      <c r="S65" s="608">
        <f>R65*M65</f>
        <v>32.774999999999999</v>
      </c>
      <c r="T65" s="445"/>
      <c r="U65" s="608">
        <f>S65</f>
        <v>32.774999999999999</v>
      </c>
      <c r="V65" s="445"/>
    </row>
    <row r="66" spans="1:22">
      <c r="A66" s="445"/>
      <c r="B66" s="1447"/>
      <c r="C66" s="445"/>
      <c r="D66" s="445"/>
      <c r="E66" s="445"/>
      <c r="F66" s="445"/>
      <c r="G66" s="445"/>
      <c r="H66" s="445"/>
      <c r="I66" s="445"/>
      <c r="J66" s="445"/>
      <c r="K66" s="445" t="s">
        <v>1541</v>
      </c>
      <c r="L66" s="225" t="s">
        <v>1427</v>
      </c>
      <c r="M66" s="225">
        <f>ROUND((2.95-0.23)/2/0.1+1,0)</f>
        <v>15</v>
      </c>
      <c r="N66" s="445">
        <f>1.15+0.23+0.25</f>
        <v>1.63</v>
      </c>
      <c r="O66" s="445"/>
      <c r="P66" s="445"/>
      <c r="Q66" s="445"/>
      <c r="R66" s="608">
        <f>SUM(N66:Q66)</f>
        <v>1.63</v>
      </c>
      <c r="S66" s="608">
        <f>R66*M66</f>
        <v>24.45</v>
      </c>
      <c r="T66" s="608">
        <f>S66</f>
        <v>24.45</v>
      </c>
      <c r="U66" s="445"/>
      <c r="V66" s="445"/>
    </row>
    <row r="67" spans="1:22">
      <c r="A67" s="445"/>
      <c r="B67" s="1447"/>
      <c r="C67" s="445"/>
      <c r="D67" s="445"/>
      <c r="E67" s="445"/>
      <c r="F67" s="445"/>
      <c r="G67" s="445"/>
      <c r="H67" s="445"/>
      <c r="I67" s="445"/>
      <c r="J67" s="445"/>
      <c r="K67" s="445" t="s">
        <v>1542</v>
      </c>
      <c r="L67" s="225" t="s">
        <v>1428</v>
      </c>
      <c r="M67" s="225">
        <f>ROUND(1.15/0.175+1,0)</f>
        <v>8</v>
      </c>
      <c r="N67" s="445">
        <f>2.95/2-2*0.025</f>
        <v>1.425</v>
      </c>
      <c r="O67" s="445"/>
      <c r="P67" s="445"/>
      <c r="Q67" s="445"/>
      <c r="R67" s="608">
        <f>SUM(N67:Q67)</f>
        <v>1.425</v>
      </c>
      <c r="S67" s="608">
        <f>R67*M67</f>
        <v>11.4</v>
      </c>
      <c r="T67" s="445"/>
      <c r="U67" s="608">
        <f>S67</f>
        <v>11.4</v>
      </c>
      <c r="V67" s="445"/>
    </row>
    <row r="68" spans="1:22">
      <c r="A68" s="445"/>
      <c r="B68" s="1447"/>
      <c r="C68" s="445"/>
      <c r="D68" s="445"/>
      <c r="E68" s="445"/>
      <c r="F68" s="445"/>
      <c r="G68" s="445"/>
      <c r="H68" s="445"/>
      <c r="I68" s="445"/>
      <c r="J68" s="445"/>
      <c r="K68" s="445" t="s">
        <v>1543</v>
      </c>
      <c r="L68" s="225"/>
      <c r="M68" s="225"/>
      <c r="N68" s="445"/>
      <c r="O68" s="445"/>
      <c r="P68" s="445"/>
      <c r="Q68" s="445"/>
      <c r="R68" s="445"/>
      <c r="S68" s="445"/>
      <c r="T68" s="445"/>
      <c r="U68" s="445"/>
      <c r="V68" s="445"/>
    </row>
    <row r="69" spans="1:22">
      <c r="A69" s="445"/>
      <c r="B69" s="1447"/>
      <c r="C69" s="445"/>
      <c r="D69" s="445"/>
      <c r="E69" s="445"/>
      <c r="F69" s="445"/>
      <c r="G69" s="445"/>
      <c r="H69" s="445"/>
      <c r="I69" s="445"/>
      <c r="J69" s="445"/>
      <c r="K69" s="445" t="s">
        <v>1540</v>
      </c>
      <c r="L69" s="225" t="s">
        <v>1428</v>
      </c>
      <c r="M69" s="225">
        <f>ROUND(1/0.175+1,0)</f>
        <v>7</v>
      </c>
      <c r="N69" s="445">
        <f>2.95-2*0.025</f>
        <v>2.9000000000000004</v>
      </c>
      <c r="O69" s="445"/>
      <c r="P69" s="445"/>
      <c r="Q69" s="445"/>
      <c r="R69" s="608">
        <f t="shared" ref="R69:R76" si="10">SUM(N69:Q69)</f>
        <v>2.9000000000000004</v>
      </c>
      <c r="S69" s="608">
        <f t="shared" ref="S69:S76" si="11">R69*M69</f>
        <v>20.300000000000004</v>
      </c>
      <c r="T69" s="445"/>
      <c r="U69" s="608">
        <f>S69</f>
        <v>20.300000000000004</v>
      </c>
      <c r="V69" s="445"/>
    </row>
    <row r="70" spans="1:22">
      <c r="A70" s="445"/>
      <c r="B70" s="1447"/>
      <c r="C70" s="445"/>
      <c r="D70" s="445"/>
      <c r="E70" s="445"/>
      <c r="F70" s="445"/>
      <c r="G70" s="445"/>
      <c r="H70" s="445"/>
      <c r="I70" s="445"/>
      <c r="J70" s="445"/>
      <c r="K70" s="445" t="s">
        <v>1544</v>
      </c>
      <c r="L70" s="225" t="s">
        <v>1428</v>
      </c>
      <c r="M70" s="225">
        <f>ROUND(1/0.175+1,0)</f>
        <v>7</v>
      </c>
      <c r="N70" s="445">
        <f>2.95-2*0.025</f>
        <v>2.9000000000000004</v>
      </c>
      <c r="O70" s="445"/>
      <c r="P70" s="445"/>
      <c r="Q70" s="445"/>
      <c r="R70" s="608">
        <f t="shared" si="10"/>
        <v>2.9000000000000004</v>
      </c>
      <c r="S70" s="608">
        <f t="shared" si="11"/>
        <v>20.300000000000004</v>
      </c>
      <c r="T70" s="445"/>
      <c r="U70" s="608">
        <f>S70</f>
        <v>20.300000000000004</v>
      </c>
      <c r="V70" s="445"/>
    </row>
    <row r="71" spans="1:22">
      <c r="A71" s="445"/>
      <c r="B71" s="1447"/>
      <c r="C71" s="445"/>
      <c r="D71" s="445"/>
      <c r="E71" s="445"/>
      <c r="F71" s="445"/>
      <c r="G71" s="445"/>
      <c r="H71" s="445"/>
      <c r="I71" s="445"/>
      <c r="J71" s="445"/>
      <c r="K71" s="612" t="s">
        <v>1539</v>
      </c>
      <c r="L71" s="225" t="s">
        <v>1427</v>
      </c>
      <c r="M71" s="225">
        <f>ROUND((2.95-0.23)/2/0.1+1,0)</f>
        <v>15</v>
      </c>
      <c r="N71" s="445">
        <f>1+0.39+0.6</f>
        <v>1.9900000000000002</v>
      </c>
      <c r="O71" s="445">
        <f>0.115-1*0.025</f>
        <v>0.09</v>
      </c>
      <c r="P71" s="445"/>
      <c r="Q71" s="445"/>
      <c r="R71" s="608">
        <f t="shared" si="10"/>
        <v>2.08</v>
      </c>
      <c r="S71" s="608">
        <f t="shared" si="11"/>
        <v>31.200000000000003</v>
      </c>
      <c r="T71" s="608">
        <f>S71</f>
        <v>31.200000000000003</v>
      </c>
      <c r="U71" s="445"/>
      <c r="V71" s="445"/>
    </row>
    <row r="72" spans="1:22">
      <c r="A72" s="445"/>
      <c r="B72" s="1447"/>
      <c r="C72" s="445"/>
      <c r="D72" s="445"/>
      <c r="E72" s="445"/>
      <c r="F72" s="445"/>
      <c r="G72" s="445"/>
      <c r="H72" s="445"/>
      <c r="I72" s="445"/>
      <c r="J72" s="445"/>
      <c r="K72" s="612" t="s">
        <v>1545</v>
      </c>
      <c r="L72" s="225" t="s">
        <v>1427</v>
      </c>
      <c r="M72" s="225">
        <f>ROUND((2.95-0.23)/2/0.1+1,0)</f>
        <v>15</v>
      </c>
      <c r="N72" s="445">
        <f>1+0.39+1.15</f>
        <v>2.54</v>
      </c>
      <c r="O72" s="445">
        <f>0.115-1*0.025</f>
        <v>0.09</v>
      </c>
      <c r="P72" s="445"/>
      <c r="Q72" s="445"/>
      <c r="R72" s="608">
        <f t="shared" si="10"/>
        <v>2.63</v>
      </c>
      <c r="S72" s="608">
        <f t="shared" si="11"/>
        <v>39.449999999999996</v>
      </c>
      <c r="T72" s="608">
        <f>S72</f>
        <v>39.449999999999996</v>
      </c>
      <c r="U72" s="445"/>
      <c r="V72" s="445"/>
    </row>
    <row r="73" spans="1:22">
      <c r="A73" s="445"/>
      <c r="B73" s="1447" t="s">
        <v>1076</v>
      </c>
      <c r="C73" s="1361" t="s">
        <v>1538</v>
      </c>
      <c r="D73" s="1363"/>
      <c r="E73" s="445">
        <v>0.5</v>
      </c>
      <c r="F73" s="445">
        <v>11</v>
      </c>
      <c r="G73" s="445">
        <f>2.95/2</f>
        <v>1.4750000000000001</v>
      </c>
      <c r="H73" s="445">
        <v>0.3</v>
      </c>
      <c r="I73" s="445">
        <v>0.15</v>
      </c>
      <c r="J73" s="445">
        <f>I73*H73*G73*F73*E73</f>
        <v>0.36506250000000001</v>
      </c>
      <c r="K73" s="445" t="s">
        <v>1539</v>
      </c>
      <c r="L73" s="225" t="s">
        <v>1427</v>
      </c>
      <c r="M73" s="225">
        <f>ROUND((2.95-0.23)/2/0.1+1,0)</f>
        <v>15</v>
      </c>
      <c r="N73" s="445">
        <f>1+0.39+3.77+0.39+1</f>
        <v>6.55</v>
      </c>
      <c r="O73" s="445">
        <f>0.115-1*0.025</f>
        <v>0.09</v>
      </c>
      <c r="P73" s="445"/>
      <c r="Q73" s="445"/>
      <c r="R73" s="608">
        <f t="shared" si="10"/>
        <v>6.64</v>
      </c>
      <c r="S73" s="608">
        <f t="shared" si="11"/>
        <v>99.6</v>
      </c>
      <c r="T73" s="608">
        <f>S73</f>
        <v>99.6</v>
      </c>
      <c r="U73" s="445"/>
      <c r="V73" s="445"/>
    </row>
    <row r="74" spans="1:22">
      <c r="A74" s="445"/>
      <c r="B74" s="1447"/>
      <c r="C74" s="1361" t="s">
        <v>1076</v>
      </c>
      <c r="D74" s="1363"/>
      <c r="E74" s="445"/>
      <c r="F74" s="445">
        <v>1</v>
      </c>
      <c r="G74" s="445">
        <v>3.77</v>
      </c>
      <c r="H74" s="445">
        <v>1.4750000000000001</v>
      </c>
      <c r="I74" s="445">
        <v>0.15</v>
      </c>
      <c r="J74" s="445">
        <f>I74*H74*G74*F74</f>
        <v>0.83411250000000003</v>
      </c>
      <c r="K74" s="445" t="s">
        <v>1540</v>
      </c>
      <c r="L74" s="225" t="s">
        <v>1428</v>
      </c>
      <c r="M74" s="225">
        <f>ROUND(3.77/0.175+1,0)</f>
        <v>23</v>
      </c>
      <c r="N74" s="445">
        <f>2.95/2-2*0.025</f>
        <v>1.425</v>
      </c>
      <c r="O74" s="445"/>
      <c r="P74" s="445"/>
      <c r="Q74" s="445"/>
      <c r="R74" s="608">
        <f t="shared" si="10"/>
        <v>1.425</v>
      </c>
      <c r="S74" s="608">
        <f t="shared" si="11"/>
        <v>32.774999999999999</v>
      </c>
      <c r="T74" s="445"/>
      <c r="U74" s="608">
        <f>S74</f>
        <v>32.774999999999999</v>
      </c>
      <c r="V74" s="445"/>
    </row>
    <row r="75" spans="1:22">
      <c r="A75" s="445"/>
      <c r="B75" s="1447"/>
      <c r="C75" s="1361" t="s">
        <v>1075</v>
      </c>
      <c r="D75" s="1363"/>
      <c r="E75" s="445"/>
      <c r="F75" s="445">
        <v>1</v>
      </c>
      <c r="G75" s="445">
        <f>2.92+0.23</f>
        <v>3.15</v>
      </c>
      <c r="H75" s="445">
        <v>1.39</v>
      </c>
      <c r="I75" s="445">
        <v>0.15</v>
      </c>
      <c r="J75" s="445">
        <f>I75*H75*G75*F75</f>
        <v>0.656775</v>
      </c>
      <c r="K75" s="445" t="s">
        <v>1541</v>
      </c>
      <c r="L75" s="225" t="s">
        <v>1427</v>
      </c>
      <c r="M75" s="225">
        <f>ROUND((2.95-0.23)/2/0.1+1,0)</f>
        <v>15</v>
      </c>
      <c r="N75" s="445">
        <f>1+0.39+1.15</f>
        <v>2.54</v>
      </c>
      <c r="O75" s="445"/>
      <c r="P75" s="445"/>
      <c r="Q75" s="445"/>
      <c r="R75" s="608">
        <f t="shared" si="10"/>
        <v>2.54</v>
      </c>
      <c r="S75" s="608">
        <f t="shared" si="11"/>
        <v>38.1</v>
      </c>
      <c r="T75" s="608">
        <f>S75</f>
        <v>38.1</v>
      </c>
      <c r="U75" s="445"/>
      <c r="V75" s="445"/>
    </row>
    <row r="76" spans="1:22">
      <c r="A76" s="445"/>
      <c r="B76" s="1447"/>
      <c r="C76" s="445"/>
      <c r="D76" s="445"/>
      <c r="E76" s="445"/>
      <c r="F76" s="445"/>
      <c r="G76" s="445"/>
      <c r="H76" s="445"/>
      <c r="I76" s="445"/>
      <c r="J76" s="445"/>
      <c r="K76" s="445" t="s">
        <v>1542</v>
      </c>
      <c r="L76" s="225" t="s">
        <v>1428</v>
      </c>
      <c r="M76" s="225">
        <f>ROUND(1.15/0.175+1,0)</f>
        <v>8</v>
      </c>
      <c r="N76" s="445">
        <f>2.95/2-2*0.025</f>
        <v>1.425</v>
      </c>
      <c r="O76" s="445"/>
      <c r="P76" s="445"/>
      <c r="Q76" s="445"/>
      <c r="R76" s="608">
        <f t="shared" si="10"/>
        <v>1.425</v>
      </c>
      <c r="S76" s="608">
        <f t="shared" si="11"/>
        <v>11.4</v>
      </c>
      <c r="T76" s="445"/>
      <c r="U76" s="608">
        <f>S76</f>
        <v>11.4</v>
      </c>
      <c r="V76" s="445"/>
    </row>
    <row r="77" spans="1:22">
      <c r="A77" s="445"/>
      <c r="B77" s="1447"/>
      <c r="C77" s="445"/>
      <c r="D77" s="445"/>
      <c r="E77" s="445"/>
      <c r="F77" s="445"/>
      <c r="G77" s="445"/>
      <c r="H77" s="445" t="s">
        <v>154</v>
      </c>
      <c r="I77" s="445"/>
      <c r="J77" s="445"/>
      <c r="K77" s="445" t="s">
        <v>1546</v>
      </c>
      <c r="L77" s="225"/>
      <c r="M77" s="225"/>
      <c r="N77" s="445"/>
      <c r="O77" s="445"/>
      <c r="P77" s="445"/>
      <c r="Q77" s="445"/>
      <c r="R77" s="445"/>
      <c r="S77" s="445"/>
      <c r="T77" s="445"/>
      <c r="U77" s="445"/>
      <c r="V77" s="445"/>
    </row>
    <row r="78" spans="1:22">
      <c r="A78" s="445"/>
      <c r="B78" s="1447"/>
      <c r="C78" s="445"/>
      <c r="D78" s="445"/>
      <c r="E78" s="445"/>
      <c r="F78" s="445"/>
      <c r="G78" s="445"/>
      <c r="H78" s="445"/>
      <c r="I78" s="445"/>
      <c r="J78" s="445"/>
      <c r="K78" s="445" t="s">
        <v>1540</v>
      </c>
      <c r="L78" s="225" t="s">
        <v>1428</v>
      </c>
      <c r="M78" s="225">
        <f>ROUND(1/0.175+1,0)</f>
        <v>7</v>
      </c>
      <c r="N78" s="445">
        <f>1.495-2*0.025</f>
        <v>1.4450000000000001</v>
      </c>
      <c r="O78" s="445"/>
      <c r="P78" s="445"/>
      <c r="Q78" s="445"/>
      <c r="R78" s="608">
        <f t="shared" ref="R78:R85" si="12">SUM(N78:Q78)</f>
        <v>1.4450000000000001</v>
      </c>
      <c r="S78" s="608">
        <f t="shared" ref="S78:S86" si="13">R78*M78</f>
        <v>10.115</v>
      </c>
      <c r="T78" s="445"/>
      <c r="U78" s="608">
        <f>S78</f>
        <v>10.115</v>
      </c>
      <c r="V78" s="445"/>
    </row>
    <row r="79" spans="1:22">
      <c r="A79" s="445"/>
      <c r="B79" s="1447"/>
      <c r="C79" s="445"/>
      <c r="D79" s="445"/>
      <c r="E79" s="445"/>
      <c r="F79" s="445"/>
      <c r="G79" s="445"/>
      <c r="H79" s="445"/>
      <c r="I79" s="445"/>
      <c r="J79" s="445"/>
      <c r="K79" s="445" t="s">
        <v>1544</v>
      </c>
      <c r="L79" s="225" t="s">
        <v>1428</v>
      </c>
      <c r="M79" s="225">
        <f>ROUND(1/0.175+1,0)</f>
        <v>7</v>
      </c>
      <c r="N79" s="445">
        <f>1.495-2*0.025</f>
        <v>1.4450000000000001</v>
      </c>
      <c r="O79" s="445"/>
      <c r="P79" s="445"/>
      <c r="Q79" s="445"/>
      <c r="R79" s="608">
        <f t="shared" si="12"/>
        <v>1.4450000000000001</v>
      </c>
      <c r="S79" s="608">
        <f t="shared" si="13"/>
        <v>10.115</v>
      </c>
      <c r="T79" s="445"/>
      <c r="U79" s="608">
        <f>S79</f>
        <v>10.115</v>
      </c>
      <c r="V79" s="445"/>
    </row>
    <row r="80" spans="1:22">
      <c r="A80" s="445"/>
      <c r="B80" s="1447"/>
      <c r="C80" s="445"/>
      <c r="D80" s="445"/>
      <c r="E80" s="445"/>
      <c r="F80" s="445"/>
      <c r="G80" s="445"/>
      <c r="H80" s="445"/>
      <c r="I80" s="445"/>
      <c r="J80" s="445"/>
      <c r="K80" s="612" t="s">
        <v>1539</v>
      </c>
      <c r="L80" s="225" t="s">
        <v>1427</v>
      </c>
      <c r="M80" s="225">
        <f>ROUND((2.95-0.23)/2/0.1+1,0)</f>
        <v>15</v>
      </c>
      <c r="N80" s="445">
        <f>1+0.39+0.6</f>
        <v>1.9900000000000002</v>
      </c>
      <c r="O80" s="445">
        <f>0.115-1*0.025</f>
        <v>0.09</v>
      </c>
      <c r="P80" s="445"/>
      <c r="Q80" s="445"/>
      <c r="R80" s="608">
        <f t="shared" si="12"/>
        <v>2.08</v>
      </c>
      <c r="S80" s="608">
        <f t="shared" si="13"/>
        <v>31.200000000000003</v>
      </c>
      <c r="T80" s="608">
        <f>S80</f>
        <v>31.200000000000003</v>
      </c>
      <c r="U80" s="445"/>
      <c r="V80" s="445"/>
    </row>
    <row r="81" spans="1:22">
      <c r="A81" s="445"/>
      <c r="B81" s="1447"/>
      <c r="C81" s="445"/>
      <c r="D81" s="445"/>
      <c r="E81" s="445"/>
      <c r="F81" s="445"/>
      <c r="G81" s="445"/>
      <c r="H81" s="445"/>
      <c r="I81" s="445"/>
      <c r="J81" s="445"/>
      <c r="K81" s="612" t="s">
        <v>1545</v>
      </c>
      <c r="L81" s="225" t="s">
        <v>1427</v>
      </c>
      <c r="M81" s="225">
        <f>ROUND((2.95-0.23)/2/0.1+1,0)</f>
        <v>15</v>
      </c>
      <c r="N81" s="445">
        <f>1+0.39+1.15</f>
        <v>2.54</v>
      </c>
      <c r="O81" s="445">
        <f>0.115-1*0.025</f>
        <v>0.09</v>
      </c>
      <c r="P81" s="445"/>
      <c r="Q81" s="445"/>
      <c r="R81" s="608">
        <f t="shared" si="12"/>
        <v>2.63</v>
      </c>
      <c r="S81" s="608">
        <f t="shared" si="13"/>
        <v>39.449999999999996</v>
      </c>
      <c r="T81" s="608">
        <f>S81</f>
        <v>39.449999999999996</v>
      </c>
      <c r="U81" s="445"/>
      <c r="V81" s="445"/>
    </row>
    <row r="82" spans="1:22">
      <c r="A82" s="445"/>
      <c r="B82" s="1330" t="s">
        <v>1547</v>
      </c>
      <c r="C82" s="445">
        <v>2.95</v>
      </c>
      <c r="D82" s="445"/>
      <c r="E82" s="445"/>
      <c r="F82" s="445"/>
      <c r="G82" s="445">
        <f>2.965+0.23</f>
        <v>3.1949999999999998</v>
      </c>
      <c r="H82" s="445">
        <v>0.23</v>
      </c>
      <c r="I82" s="445">
        <v>0.45</v>
      </c>
      <c r="J82" s="445">
        <f>ROUND(I82*H82*G82,2)</f>
        <v>0.33</v>
      </c>
      <c r="K82" s="445" t="s">
        <v>1489</v>
      </c>
      <c r="L82" s="225" t="s">
        <v>1494</v>
      </c>
      <c r="M82" s="225">
        <v>2</v>
      </c>
      <c r="N82" s="445">
        <f>2.95+0.23</f>
        <v>3.18</v>
      </c>
      <c r="O82" s="445">
        <f>0.23-2*0.025</f>
        <v>0.18</v>
      </c>
      <c r="P82" s="445">
        <f>ROUND(2/3*I82,2)</f>
        <v>0.3</v>
      </c>
      <c r="Q82" s="445">
        <f>ROUND(2/3*I82,2)</f>
        <v>0.3</v>
      </c>
      <c r="R82" s="608">
        <f t="shared" si="12"/>
        <v>3.96</v>
      </c>
      <c r="S82" s="445">
        <f t="shared" si="13"/>
        <v>7.92</v>
      </c>
      <c r="T82" s="445">
        <f>S82</f>
        <v>7.92</v>
      </c>
      <c r="U82" s="445"/>
      <c r="V82" s="445"/>
    </row>
    <row r="83" spans="1:22">
      <c r="A83" s="445"/>
      <c r="B83" s="1449"/>
      <c r="C83" s="445"/>
      <c r="D83" s="445"/>
      <c r="E83" s="445"/>
      <c r="F83" s="445"/>
      <c r="G83" s="445"/>
      <c r="H83" s="445"/>
      <c r="I83" s="445"/>
      <c r="J83" s="445"/>
      <c r="K83" s="445" t="s">
        <v>1490</v>
      </c>
      <c r="L83" s="225" t="s">
        <v>1429</v>
      </c>
      <c r="M83" s="225">
        <v>2</v>
      </c>
      <c r="N83" s="445">
        <f>N82</f>
        <v>3.18</v>
      </c>
      <c r="O83" s="445">
        <f>0.23-2*0.025</f>
        <v>0.18</v>
      </c>
      <c r="P83" s="445">
        <f>ROUND(2/3*I82,2)</f>
        <v>0.3</v>
      </c>
      <c r="Q83" s="445">
        <f>ROUND(2/3*I82,2)</f>
        <v>0.3</v>
      </c>
      <c r="R83" s="608">
        <f t="shared" si="12"/>
        <v>3.96</v>
      </c>
      <c r="S83" s="445">
        <f t="shared" si="13"/>
        <v>7.92</v>
      </c>
      <c r="T83" s="445"/>
      <c r="U83" s="445"/>
      <c r="V83" s="445">
        <f>S83</f>
        <v>7.92</v>
      </c>
    </row>
    <row r="84" spans="1:22">
      <c r="A84" s="445"/>
      <c r="B84" s="1449"/>
      <c r="C84" s="445"/>
      <c r="D84" s="445"/>
      <c r="E84" s="445"/>
      <c r="F84" s="445"/>
      <c r="G84" s="445"/>
      <c r="H84" s="445"/>
      <c r="I84" s="445"/>
      <c r="J84" s="445"/>
      <c r="K84" s="445" t="s">
        <v>1513</v>
      </c>
      <c r="L84" s="225" t="s">
        <v>1494</v>
      </c>
      <c r="M84" s="225">
        <v>1</v>
      </c>
      <c r="N84" s="445">
        <f>ROUND(C82*0.25,2)</f>
        <v>0.74</v>
      </c>
      <c r="O84" s="445">
        <f>0.115-1*0.025</f>
        <v>0.09</v>
      </c>
      <c r="P84" s="445">
        <f>ROUND(2/3*I82,2)</f>
        <v>0.3</v>
      </c>
      <c r="Q84" s="445"/>
      <c r="R84" s="608">
        <f t="shared" si="12"/>
        <v>1.1299999999999999</v>
      </c>
      <c r="S84" s="445">
        <f t="shared" si="13"/>
        <v>1.1299999999999999</v>
      </c>
      <c r="T84" s="445"/>
      <c r="U84" s="445"/>
      <c r="V84" s="445">
        <f>S84</f>
        <v>1.1299999999999999</v>
      </c>
    </row>
    <row r="85" spans="1:22">
      <c r="A85" s="445"/>
      <c r="B85" s="1449"/>
      <c r="C85" s="445"/>
      <c r="D85" s="445"/>
      <c r="E85" s="445"/>
      <c r="F85" s="445"/>
      <c r="G85" s="445"/>
      <c r="H85" s="445"/>
      <c r="I85" s="445"/>
      <c r="J85" s="445"/>
      <c r="K85" s="445" t="s">
        <v>1507</v>
      </c>
      <c r="L85" s="225" t="s">
        <v>1494</v>
      </c>
      <c r="M85" s="225">
        <v>1</v>
      </c>
      <c r="N85" s="445">
        <f>ROUND(C82*0.25,2)</f>
        <v>0.74</v>
      </c>
      <c r="O85" s="445">
        <f>0.115-1*0.025</f>
        <v>0.09</v>
      </c>
      <c r="P85" s="445"/>
      <c r="Q85" s="445">
        <f>Q83</f>
        <v>0.3</v>
      </c>
      <c r="R85" s="608">
        <f t="shared" si="12"/>
        <v>1.1299999999999999</v>
      </c>
      <c r="S85" s="445">
        <f t="shared" si="13"/>
        <v>1.1299999999999999</v>
      </c>
      <c r="T85" s="445"/>
      <c r="U85" s="445"/>
      <c r="V85" s="445">
        <f>S85</f>
        <v>1.1299999999999999</v>
      </c>
    </row>
    <row r="86" spans="1:22">
      <c r="A86" s="445"/>
      <c r="B86" s="1331"/>
      <c r="C86" s="445"/>
      <c r="D86" s="445"/>
      <c r="E86" s="445"/>
      <c r="F86" s="445"/>
      <c r="G86" s="445"/>
      <c r="H86" s="445"/>
      <c r="I86" s="445"/>
      <c r="J86" s="445"/>
      <c r="K86" s="657" t="s">
        <v>1548</v>
      </c>
      <c r="L86" s="225" t="s">
        <v>1428</v>
      </c>
      <c r="M86" s="225">
        <f>ROUND((C82-0.23)/0.1+1,0)</f>
        <v>28</v>
      </c>
      <c r="N86" s="445"/>
      <c r="O86" s="445"/>
      <c r="P86" s="445"/>
      <c r="Q86" s="445"/>
      <c r="R86" s="608">
        <f>2*(0.23+0.45)-4*0.025</f>
        <v>1.26</v>
      </c>
      <c r="S86" s="445">
        <f t="shared" si="13"/>
        <v>35.28</v>
      </c>
      <c r="T86" s="445"/>
      <c r="U86" s="445">
        <f>S86</f>
        <v>35.28</v>
      </c>
      <c r="V86" s="445"/>
    </row>
    <row r="87" spans="1:22" ht="15">
      <c r="A87" s="445"/>
      <c r="B87" s="445"/>
      <c r="C87" s="668"/>
      <c r="D87" s="668"/>
      <c r="E87" s="445"/>
      <c r="F87" s="445"/>
      <c r="G87" s="445"/>
      <c r="H87" s="445"/>
      <c r="I87" s="445"/>
      <c r="J87" s="445"/>
      <c r="K87" s="612"/>
      <c r="L87" s="653"/>
      <c r="M87" s="225"/>
      <c r="N87" s="445"/>
      <c r="O87" s="445"/>
      <c r="P87" s="445"/>
      <c r="Q87" s="445"/>
      <c r="R87" s="608"/>
      <c r="S87" s="669" t="s">
        <v>136</v>
      </c>
      <c r="T87" s="670">
        <f>SUM(T64:T86)</f>
        <v>392.36999999999995</v>
      </c>
      <c r="U87" s="670">
        <f>SUM(U64:U86)</f>
        <v>184.46000000000004</v>
      </c>
      <c r="V87" s="670">
        <f>SUM(V64:V86)</f>
        <v>10.18</v>
      </c>
    </row>
    <row r="88" spans="1:22" ht="21">
      <c r="A88" s="1445" t="s">
        <v>1549</v>
      </c>
      <c r="B88" s="1446"/>
      <c r="C88" s="1446"/>
      <c r="D88" s="1446"/>
      <c r="E88" s="1446"/>
      <c r="F88" s="1446"/>
      <c r="G88" s="1446"/>
      <c r="H88" s="1446"/>
      <c r="I88" s="1446"/>
      <c r="J88" s="1446"/>
      <c r="K88" s="1446"/>
      <c r="L88" s="1446"/>
      <c r="M88" s="1446"/>
      <c r="N88" s="1446"/>
      <c r="O88" s="1446"/>
      <c r="P88" s="1446"/>
      <c r="Q88" s="1446"/>
      <c r="R88" s="1446"/>
      <c r="S88" s="1446"/>
      <c r="T88" s="1446"/>
      <c r="U88" s="1446"/>
      <c r="V88" s="1446"/>
    </row>
    <row r="89" spans="1:22">
      <c r="A89" s="445"/>
      <c r="B89" s="445" t="s">
        <v>1550</v>
      </c>
      <c r="C89" s="1448" t="s">
        <v>1551</v>
      </c>
      <c r="D89" s="1448"/>
      <c r="E89" s="445"/>
      <c r="F89" s="445"/>
      <c r="G89" s="445">
        <f>3.465+3.01+2.82+0.23</f>
        <v>9.5250000000000004</v>
      </c>
      <c r="H89" s="445">
        <v>0.23</v>
      </c>
      <c r="I89" s="445">
        <v>0.15</v>
      </c>
      <c r="J89" s="445">
        <f>ROUND(I89*H89*G89,2)</f>
        <v>0.33</v>
      </c>
      <c r="K89" s="612" t="s">
        <v>1552</v>
      </c>
      <c r="L89" s="225" t="s">
        <v>1427</v>
      </c>
      <c r="M89" s="225">
        <v>2</v>
      </c>
      <c r="N89" s="445">
        <f>G89</f>
        <v>9.5250000000000004</v>
      </c>
      <c r="O89" s="445">
        <f>0.1-2*0.025</f>
        <v>0.05</v>
      </c>
      <c r="P89" s="445"/>
      <c r="Q89" s="445"/>
      <c r="R89" s="608">
        <f t="shared" ref="R89:R105" si="14">SUM(N89:Q89)</f>
        <v>9.5750000000000011</v>
      </c>
      <c r="S89" s="608">
        <f t="shared" ref="S89:S103" si="15">R89*M89</f>
        <v>19.150000000000002</v>
      </c>
      <c r="T89" s="608">
        <f>S89</f>
        <v>19.150000000000002</v>
      </c>
      <c r="U89" s="445"/>
      <c r="V89" s="445"/>
    </row>
    <row r="90" spans="1:22">
      <c r="A90" s="445"/>
      <c r="B90" s="445"/>
      <c r="C90" s="668"/>
      <c r="D90" s="668"/>
      <c r="E90" s="445"/>
      <c r="F90" s="445"/>
      <c r="G90" s="445"/>
      <c r="H90" s="445"/>
      <c r="I90" s="445"/>
      <c r="J90" s="445"/>
      <c r="K90" s="612" t="s">
        <v>1553</v>
      </c>
      <c r="L90" s="225" t="s">
        <v>1427</v>
      </c>
      <c r="M90" s="225">
        <v>2</v>
      </c>
      <c r="N90" s="445">
        <f>N89</f>
        <v>9.5250000000000004</v>
      </c>
      <c r="O90" s="445">
        <f>0.1-2*0.025</f>
        <v>0.05</v>
      </c>
      <c r="P90" s="445"/>
      <c r="Q90" s="445"/>
      <c r="R90" s="608">
        <f t="shared" si="14"/>
        <v>9.5750000000000011</v>
      </c>
      <c r="S90" s="608">
        <f t="shared" si="15"/>
        <v>19.150000000000002</v>
      </c>
      <c r="T90" s="608">
        <f>S90</f>
        <v>19.150000000000002</v>
      </c>
      <c r="U90" s="445"/>
      <c r="V90" s="445"/>
    </row>
    <row r="91" spans="1:22">
      <c r="A91" s="445"/>
      <c r="B91" s="445"/>
      <c r="C91" s="668"/>
      <c r="D91" s="668"/>
      <c r="E91" s="445"/>
      <c r="F91" s="445"/>
      <c r="G91" s="445"/>
      <c r="H91" s="445"/>
      <c r="I91" s="445"/>
      <c r="J91" s="445"/>
      <c r="K91" s="612" t="s">
        <v>1548</v>
      </c>
      <c r="L91" s="225" t="s">
        <v>1428</v>
      </c>
      <c r="M91" s="225">
        <f>ROUND((3.465-0.23)/0.15+1,0)+ROUND((3.01-0.23)/0.15+1,0)+ROUND((2.82-0.23)/0.15+1,0)</f>
        <v>61</v>
      </c>
      <c r="N91" s="445">
        <f>2*(0.23+0.15)-4*0.025+2*0.075</f>
        <v>0.81</v>
      </c>
      <c r="O91" s="445"/>
      <c r="P91" s="445"/>
      <c r="Q91" s="445"/>
      <c r="R91" s="608">
        <f t="shared" si="14"/>
        <v>0.81</v>
      </c>
      <c r="S91" s="608">
        <f t="shared" si="15"/>
        <v>49.410000000000004</v>
      </c>
      <c r="T91" s="445"/>
      <c r="U91" s="608">
        <f>S91</f>
        <v>49.410000000000004</v>
      </c>
      <c r="V91" s="445"/>
    </row>
    <row r="92" spans="1:22">
      <c r="A92" s="445"/>
      <c r="B92" s="445" t="s">
        <v>1554</v>
      </c>
      <c r="C92" s="1448" t="s">
        <v>1555</v>
      </c>
      <c r="D92" s="1448"/>
      <c r="E92" s="445"/>
      <c r="F92" s="445"/>
      <c r="G92" s="445">
        <f>2.95+0.23</f>
        <v>3.18</v>
      </c>
      <c r="H92" s="445">
        <v>0.23</v>
      </c>
      <c r="I92" s="445">
        <v>0.15</v>
      </c>
      <c r="J92" s="445">
        <f>ROUND(I92*H92*G92,2)</f>
        <v>0.11</v>
      </c>
      <c r="K92" s="612" t="s">
        <v>1552</v>
      </c>
      <c r="L92" s="225" t="s">
        <v>1427</v>
      </c>
      <c r="M92" s="225">
        <v>2</v>
      </c>
      <c r="N92" s="445">
        <f>G92</f>
        <v>3.18</v>
      </c>
      <c r="O92" s="445">
        <f>0.1-2*0.025</f>
        <v>0.05</v>
      </c>
      <c r="P92" s="445"/>
      <c r="Q92" s="445"/>
      <c r="R92" s="608">
        <f t="shared" si="14"/>
        <v>3.23</v>
      </c>
      <c r="S92" s="608">
        <f t="shared" si="15"/>
        <v>6.46</v>
      </c>
      <c r="T92" s="608">
        <f>S92</f>
        <v>6.46</v>
      </c>
      <c r="U92" s="445"/>
      <c r="V92" s="445"/>
    </row>
    <row r="93" spans="1:22">
      <c r="A93" s="445"/>
      <c r="B93" s="445"/>
      <c r="C93" s="668"/>
      <c r="D93" s="668"/>
      <c r="E93" s="445"/>
      <c r="F93" s="445"/>
      <c r="G93" s="445"/>
      <c r="H93" s="445"/>
      <c r="I93" s="445"/>
      <c r="J93" s="445"/>
      <c r="K93" s="612" t="s">
        <v>1553</v>
      </c>
      <c r="L93" s="225" t="s">
        <v>1427</v>
      </c>
      <c r="M93" s="225">
        <v>2</v>
      </c>
      <c r="N93" s="445">
        <f>N92</f>
        <v>3.18</v>
      </c>
      <c r="O93" s="445">
        <f>0.1-2*0.025</f>
        <v>0.05</v>
      </c>
      <c r="P93" s="445"/>
      <c r="Q93" s="445"/>
      <c r="R93" s="608">
        <f t="shared" si="14"/>
        <v>3.23</v>
      </c>
      <c r="S93" s="608">
        <f t="shared" si="15"/>
        <v>6.46</v>
      </c>
      <c r="T93" s="608">
        <f>S93</f>
        <v>6.46</v>
      </c>
      <c r="U93" s="445"/>
      <c r="V93" s="445"/>
    </row>
    <row r="94" spans="1:22">
      <c r="A94" s="445"/>
      <c r="B94" s="445"/>
      <c r="C94" s="668"/>
      <c r="D94" s="668"/>
      <c r="E94" s="445"/>
      <c r="F94" s="445"/>
      <c r="G94" s="445"/>
      <c r="H94" s="445"/>
      <c r="I94" s="445"/>
      <c r="J94" s="445"/>
      <c r="K94" s="612" t="s">
        <v>1548</v>
      </c>
      <c r="L94" s="225" t="s">
        <v>1428</v>
      </c>
      <c r="M94" s="225">
        <f>+ROUND((2.95-0.23)/0.15+1,0)</f>
        <v>19</v>
      </c>
      <c r="N94" s="445">
        <f>2*(0.23+0.15)-4*0.025+2*0.075</f>
        <v>0.81</v>
      </c>
      <c r="O94" s="445"/>
      <c r="P94" s="445"/>
      <c r="Q94" s="445"/>
      <c r="R94" s="608">
        <f t="shared" si="14"/>
        <v>0.81</v>
      </c>
      <c r="S94" s="608">
        <f t="shared" si="15"/>
        <v>15.39</v>
      </c>
      <c r="T94" s="445"/>
      <c r="U94" s="608">
        <f>S94</f>
        <v>15.39</v>
      </c>
      <c r="V94" s="445"/>
    </row>
    <row r="95" spans="1:22">
      <c r="A95" s="445"/>
      <c r="B95" s="445" t="s">
        <v>1550</v>
      </c>
      <c r="C95" s="1448" t="s">
        <v>1556</v>
      </c>
      <c r="D95" s="1448"/>
      <c r="E95" s="445"/>
      <c r="F95" s="445"/>
      <c r="G95" s="445">
        <f>G89</f>
        <v>9.5250000000000004</v>
      </c>
      <c r="H95" s="445">
        <v>0.23</v>
      </c>
      <c r="I95" s="445">
        <v>0.15</v>
      </c>
      <c r="J95" s="445">
        <f>ROUND(I95*H95*G95,2)</f>
        <v>0.33</v>
      </c>
      <c r="K95" s="612" t="s">
        <v>1552</v>
      </c>
      <c r="L95" s="225" t="s">
        <v>1427</v>
      </c>
      <c r="M95" s="225">
        <v>2</v>
      </c>
      <c r="N95" s="445">
        <f>N89</f>
        <v>9.5250000000000004</v>
      </c>
      <c r="O95" s="445">
        <f>0.1-2*0.025</f>
        <v>0.05</v>
      </c>
      <c r="P95" s="445"/>
      <c r="Q95" s="445"/>
      <c r="R95" s="608">
        <f t="shared" si="14"/>
        <v>9.5750000000000011</v>
      </c>
      <c r="S95" s="608">
        <f t="shared" si="15"/>
        <v>19.150000000000002</v>
      </c>
      <c r="T95" s="608">
        <f>S95</f>
        <v>19.150000000000002</v>
      </c>
      <c r="U95" s="445"/>
      <c r="V95" s="445"/>
    </row>
    <row r="96" spans="1:22">
      <c r="A96" s="445"/>
      <c r="B96" s="445"/>
      <c r="C96" s="445"/>
      <c r="D96" s="445"/>
      <c r="E96" s="445"/>
      <c r="F96" s="445"/>
      <c r="G96" s="445"/>
      <c r="H96" s="445"/>
      <c r="I96" s="445"/>
      <c r="J96" s="445"/>
      <c r="K96" s="612" t="s">
        <v>1553</v>
      </c>
      <c r="L96" s="225" t="s">
        <v>1427</v>
      </c>
      <c r="M96" s="225">
        <v>2</v>
      </c>
      <c r="N96" s="445">
        <f>N89</f>
        <v>9.5250000000000004</v>
      </c>
      <c r="O96" s="445">
        <f>0.1-2*0.025</f>
        <v>0.05</v>
      </c>
      <c r="P96" s="445"/>
      <c r="Q96" s="445"/>
      <c r="R96" s="608">
        <f t="shared" si="14"/>
        <v>9.5750000000000011</v>
      </c>
      <c r="S96" s="608">
        <f t="shared" si="15"/>
        <v>19.150000000000002</v>
      </c>
      <c r="T96" s="608">
        <f>S96</f>
        <v>19.150000000000002</v>
      </c>
      <c r="U96" s="445"/>
      <c r="V96" s="445"/>
    </row>
    <row r="97" spans="1:23">
      <c r="A97" s="445"/>
      <c r="B97" s="445"/>
      <c r="C97" s="445"/>
      <c r="D97" s="445"/>
      <c r="E97" s="445"/>
      <c r="F97" s="445"/>
      <c r="G97" s="445"/>
      <c r="H97" s="445"/>
      <c r="I97" s="445"/>
      <c r="J97" s="445"/>
      <c r="K97" s="612" t="s">
        <v>1548</v>
      </c>
      <c r="L97" s="225" t="s">
        <v>1428</v>
      </c>
      <c r="M97" s="225">
        <f>ROUND((3.465-0.23)/0.15+1,0)+ROUND((3.01-0.23)/0.15+1,0)+ROUND((2.82-0.23)/0.15+1,0)+ROUND((2.95-0.23)/0.15+1,0)</f>
        <v>80</v>
      </c>
      <c r="N97" s="445">
        <f>2*(0.23+0.15)-4*0.025+2*0.075</f>
        <v>0.81</v>
      </c>
      <c r="O97" s="445"/>
      <c r="P97" s="445"/>
      <c r="Q97" s="445"/>
      <c r="R97" s="608">
        <f t="shared" si="14"/>
        <v>0.81</v>
      </c>
      <c r="S97" s="608">
        <f t="shared" si="15"/>
        <v>64.800000000000011</v>
      </c>
      <c r="T97" s="445"/>
      <c r="U97" s="608">
        <f>S97</f>
        <v>64.800000000000011</v>
      </c>
      <c r="V97" s="445"/>
    </row>
    <row r="98" spans="1:23">
      <c r="A98" s="445"/>
      <c r="B98" s="445" t="s">
        <v>1550</v>
      </c>
      <c r="C98" s="1448" t="s">
        <v>1557</v>
      </c>
      <c r="D98" s="1448"/>
      <c r="E98" s="445"/>
      <c r="F98" s="445"/>
      <c r="G98" s="445">
        <f>3.01+2.82+0.23</f>
        <v>6.0600000000000005</v>
      </c>
      <c r="H98" s="445">
        <v>0.115</v>
      </c>
      <c r="I98" s="445">
        <v>0.15</v>
      </c>
      <c r="J98" s="608">
        <f>ROUND(I98*H98*G98,2)</f>
        <v>0.1</v>
      </c>
      <c r="K98" s="612" t="s">
        <v>1552</v>
      </c>
      <c r="L98" s="225" t="s">
        <v>1427</v>
      </c>
      <c r="M98" s="225">
        <v>2</v>
      </c>
      <c r="N98" s="445">
        <f>G98</f>
        <v>6.0600000000000005</v>
      </c>
      <c r="O98" s="445">
        <f>0.1-2*0.025</f>
        <v>0.05</v>
      </c>
      <c r="P98" s="445"/>
      <c r="Q98" s="445"/>
      <c r="R98" s="608">
        <f t="shared" si="14"/>
        <v>6.11</v>
      </c>
      <c r="S98" s="608">
        <f t="shared" si="15"/>
        <v>12.22</v>
      </c>
      <c r="T98" s="608">
        <f>S98</f>
        <v>12.22</v>
      </c>
      <c r="U98" s="445"/>
      <c r="V98" s="445"/>
    </row>
    <row r="99" spans="1:23">
      <c r="A99" s="445"/>
      <c r="B99" s="445"/>
      <c r="C99" s="445"/>
      <c r="D99" s="445"/>
      <c r="E99" s="445"/>
      <c r="F99" s="445"/>
      <c r="G99" s="445"/>
      <c r="H99" s="445"/>
      <c r="I99" s="445"/>
      <c r="J99" s="445"/>
      <c r="K99" s="612" t="s">
        <v>1553</v>
      </c>
      <c r="L99" s="225" t="s">
        <v>1427</v>
      </c>
      <c r="M99" s="225">
        <v>2</v>
      </c>
      <c r="N99" s="445">
        <f>G98</f>
        <v>6.0600000000000005</v>
      </c>
      <c r="O99" s="445">
        <f>0.1-2*0.025</f>
        <v>0.05</v>
      </c>
      <c r="P99" s="445"/>
      <c r="Q99" s="445"/>
      <c r="R99" s="608">
        <f t="shared" si="14"/>
        <v>6.11</v>
      </c>
      <c r="S99" s="608">
        <f t="shared" si="15"/>
        <v>12.22</v>
      </c>
      <c r="T99" s="608">
        <f>S99</f>
        <v>12.22</v>
      </c>
      <c r="U99" s="445"/>
      <c r="V99" s="445"/>
    </row>
    <row r="100" spans="1:23">
      <c r="A100" s="445"/>
      <c r="B100" s="445"/>
      <c r="C100" s="445"/>
      <c r="D100" s="445"/>
      <c r="E100" s="445"/>
      <c r="F100" s="445"/>
      <c r="G100" s="445"/>
      <c r="H100" s="445"/>
      <c r="I100" s="445"/>
      <c r="J100" s="445"/>
      <c r="K100" s="612" t="s">
        <v>1548</v>
      </c>
      <c r="L100" s="225" t="s">
        <v>1428</v>
      </c>
      <c r="M100" s="225">
        <f>+ROUND((3.01-0.23)/0.15+1,0)+ROUND((2.82-0.23)/0.15+1,0)</f>
        <v>38</v>
      </c>
      <c r="N100" s="445">
        <f>2*(0.115+0.15)-4*0.025+2*0.075</f>
        <v>0.58000000000000007</v>
      </c>
      <c r="O100" s="445"/>
      <c r="P100" s="445"/>
      <c r="Q100" s="445"/>
      <c r="R100" s="608">
        <f t="shared" si="14"/>
        <v>0.58000000000000007</v>
      </c>
      <c r="S100" s="608">
        <f t="shared" si="15"/>
        <v>22.040000000000003</v>
      </c>
      <c r="T100" s="445"/>
      <c r="U100" s="608">
        <f>S100</f>
        <v>22.040000000000003</v>
      </c>
      <c r="V100" s="445"/>
    </row>
    <row r="101" spans="1:23">
      <c r="A101" s="445"/>
      <c r="B101" s="445" t="s">
        <v>1558</v>
      </c>
      <c r="C101" s="1448" t="s">
        <v>1559</v>
      </c>
      <c r="D101" s="1448"/>
      <c r="E101" s="445"/>
      <c r="F101" s="445"/>
      <c r="G101" s="445">
        <f>5.22+0.23</f>
        <v>5.45</v>
      </c>
      <c r="H101" s="445">
        <v>0.23</v>
      </c>
      <c r="I101" s="445">
        <v>0.15</v>
      </c>
      <c r="J101" s="608">
        <f>ROUND(I101*H101*G101,2)</f>
        <v>0.19</v>
      </c>
      <c r="K101" s="612" t="s">
        <v>1552</v>
      </c>
      <c r="L101" s="225" t="s">
        <v>1427</v>
      </c>
      <c r="M101" s="225">
        <v>2</v>
      </c>
      <c r="N101" s="445">
        <f>G101</f>
        <v>5.45</v>
      </c>
      <c r="O101" s="445">
        <f>0.1-2*0.025</f>
        <v>0.05</v>
      </c>
      <c r="P101" s="445"/>
      <c r="Q101" s="445"/>
      <c r="R101" s="608">
        <f t="shared" si="14"/>
        <v>5.5</v>
      </c>
      <c r="S101" s="608">
        <f t="shared" si="15"/>
        <v>11</v>
      </c>
      <c r="T101" s="608">
        <f>S101</f>
        <v>11</v>
      </c>
      <c r="U101" s="445"/>
      <c r="V101" s="445"/>
    </row>
    <row r="102" spans="1:23">
      <c r="A102" s="445"/>
      <c r="B102" s="445"/>
      <c r="C102" s="445"/>
      <c r="D102" s="445"/>
      <c r="E102" s="445"/>
      <c r="F102" s="445"/>
      <c r="G102" s="445"/>
      <c r="H102" s="445"/>
      <c r="I102" s="445"/>
      <c r="J102" s="445"/>
      <c r="K102" s="612" t="s">
        <v>1553</v>
      </c>
      <c r="L102" s="225" t="s">
        <v>1427</v>
      </c>
      <c r="M102" s="225">
        <v>2</v>
      </c>
      <c r="N102" s="445">
        <f>G101</f>
        <v>5.45</v>
      </c>
      <c r="O102" s="445">
        <f>0.1-2*0.025</f>
        <v>0.05</v>
      </c>
      <c r="P102" s="445"/>
      <c r="Q102" s="445"/>
      <c r="R102" s="608">
        <f t="shared" si="14"/>
        <v>5.5</v>
      </c>
      <c r="S102" s="608">
        <f t="shared" si="15"/>
        <v>11</v>
      </c>
      <c r="T102" s="608">
        <f>S102</f>
        <v>11</v>
      </c>
      <c r="U102" s="445"/>
      <c r="V102" s="445"/>
    </row>
    <row r="103" spans="1:23">
      <c r="A103" s="445"/>
      <c r="B103" s="445"/>
      <c r="C103" s="445"/>
      <c r="D103" s="445"/>
      <c r="E103" s="445"/>
      <c r="F103" s="445"/>
      <c r="G103" s="445"/>
      <c r="H103" s="445"/>
      <c r="I103" s="445"/>
      <c r="J103" s="445"/>
      <c r="K103" s="612" t="s">
        <v>1548</v>
      </c>
      <c r="L103" s="225" t="s">
        <v>1428</v>
      </c>
      <c r="M103" s="225">
        <f>+ROUND((3.01-0.23)/0.15+1,0)+ROUND((2.82-0.23)/0.15+1,0)</f>
        <v>38</v>
      </c>
      <c r="N103" s="445">
        <f>2*(0.115+0.15)-4*0.025+2*0.075</f>
        <v>0.58000000000000007</v>
      </c>
      <c r="O103" s="445"/>
      <c r="P103" s="445"/>
      <c r="Q103" s="445"/>
      <c r="R103" s="608">
        <f t="shared" si="14"/>
        <v>0.58000000000000007</v>
      </c>
      <c r="S103" s="608">
        <f t="shared" si="15"/>
        <v>22.040000000000003</v>
      </c>
      <c r="T103" s="445"/>
      <c r="U103" s="608">
        <f>S103</f>
        <v>22.040000000000003</v>
      </c>
      <c r="V103" s="445"/>
    </row>
    <row r="104" spans="1:23" ht="25.5">
      <c r="A104" s="610"/>
      <c r="B104" s="654" t="s">
        <v>1560</v>
      </c>
      <c r="C104" s="1416" t="s">
        <v>1561</v>
      </c>
      <c r="D104" s="1416"/>
      <c r="E104" s="610"/>
      <c r="F104" s="610">
        <v>5</v>
      </c>
      <c r="G104" s="610">
        <f>1.5+2*0.15</f>
        <v>1.8</v>
      </c>
      <c r="H104" s="610">
        <v>0.6</v>
      </c>
      <c r="I104" s="610"/>
      <c r="J104" s="610">
        <f>ROUND(F104*H104*G104,2)</f>
        <v>5.4</v>
      </c>
      <c r="K104" s="672" t="s">
        <v>1476</v>
      </c>
      <c r="L104" s="653" t="s">
        <v>1428</v>
      </c>
      <c r="M104" s="653">
        <f>ROUND(G104/0.15,0)+1</f>
        <v>13</v>
      </c>
      <c r="N104" s="610">
        <f>H104+0.23-2*0.05+0.1</f>
        <v>0.83</v>
      </c>
      <c r="O104" s="610"/>
      <c r="P104" s="610"/>
      <c r="Q104" s="610"/>
      <c r="R104" s="673">
        <f t="shared" si="14"/>
        <v>0.83</v>
      </c>
      <c r="S104" s="673">
        <f>R104*M104*F104</f>
        <v>53.949999999999996</v>
      </c>
      <c r="T104" s="610"/>
      <c r="U104" s="673">
        <f>S104</f>
        <v>53.949999999999996</v>
      </c>
      <c r="V104" s="610"/>
      <c r="W104" s="480"/>
    </row>
    <row r="105" spans="1:23">
      <c r="A105" s="445"/>
      <c r="B105" s="445"/>
      <c r="C105" s="668"/>
      <c r="D105" s="668"/>
      <c r="E105" s="445"/>
      <c r="F105" s="445"/>
      <c r="G105" s="445"/>
      <c r="H105" s="445"/>
      <c r="I105" s="445"/>
      <c r="J105" s="445"/>
      <c r="K105" s="612" t="s">
        <v>1475</v>
      </c>
      <c r="L105" s="653" t="s">
        <v>1428</v>
      </c>
      <c r="M105" s="225">
        <f>ROUND(H104/0.15,0)+1</f>
        <v>5</v>
      </c>
      <c r="N105" s="445">
        <f>G104-2*0.025</f>
        <v>1.75</v>
      </c>
      <c r="O105" s="445"/>
      <c r="P105" s="445"/>
      <c r="Q105" s="445"/>
      <c r="R105" s="608">
        <f t="shared" si="14"/>
        <v>1.75</v>
      </c>
      <c r="S105" s="608">
        <f>R105*M105*F104</f>
        <v>43.75</v>
      </c>
      <c r="T105" s="610"/>
      <c r="U105" s="608">
        <f>S105</f>
        <v>43.75</v>
      </c>
      <c r="V105" s="445"/>
    </row>
    <row r="106" spans="1:23" ht="15">
      <c r="A106" s="445"/>
      <c r="B106" s="445"/>
      <c r="C106" s="668"/>
      <c r="D106" s="668"/>
      <c r="E106" s="445"/>
      <c r="F106" s="445"/>
      <c r="G106" s="445"/>
      <c r="H106" s="445"/>
      <c r="I106" s="445"/>
      <c r="J106" s="445"/>
      <c r="K106" s="612"/>
      <c r="L106" s="653"/>
      <c r="M106" s="225"/>
      <c r="N106" s="445"/>
      <c r="O106" s="445"/>
      <c r="P106" s="445"/>
      <c r="Q106" s="445"/>
      <c r="R106" s="608"/>
      <c r="S106" s="669" t="s">
        <v>136</v>
      </c>
      <c r="T106" s="670">
        <f>SUM(T89:T105)</f>
        <v>135.96</v>
      </c>
      <c r="U106" s="670">
        <f>SUM(U89:U105)</f>
        <v>271.38</v>
      </c>
      <c r="V106" s="670">
        <f>SUM(V89:V105)</f>
        <v>0</v>
      </c>
    </row>
    <row r="107" spans="1:23" ht="21">
      <c r="A107" s="1445" t="s">
        <v>1562</v>
      </c>
      <c r="B107" s="1446"/>
      <c r="C107" s="1446"/>
      <c r="D107" s="1446"/>
      <c r="E107" s="1446"/>
      <c r="F107" s="1446"/>
      <c r="G107" s="1446"/>
      <c r="H107" s="1446"/>
      <c r="I107" s="1446"/>
      <c r="J107" s="1446"/>
      <c r="K107" s="1446"/>
      <c r="L107" s="1446"/>
      <c r="M107" s="1446"/>
      <c r="N107" s="1446"/>
      <c r="O107" s="1446"/>
      <c r="P107" s="1446"/>
      <c r="Q107" s="1446"/>
      <c r="R107" s="1446"/>
      <c r="S107" s="1446"/>
      <c r="T107" s="1446"/>
      <c r="U107" s="1446"/>
      <c r="V107" s="1446"/>
    </row>
    <row r="108" spans="1:23">
      <c r="A108" s="445"/>
      <c r="B108" s="445" t="s">
        <v>1550</v>
      </c>
      <c r="C108" s="1448" t="s">
        <v>1551</v>
      </c>
      <c r="D108" s="1448"/>
      <c r="E108" s="445"/>
      <c r="F108" s="445"/>
      <c r="G108" s="445">
        <f>3.465+3.01+2.82+0.23</f>
        <v>9.5250000000000004</v>
      </c>
      <c r="H108" s="445">
        <v>0.23</v>
      </c>
      <c r="I108" s="445">
        <v>0.15</v>
      </c>
      <c r="J108" s="445">
        <f>ROUND(I108*H108*G108,2)</f>
        <v>0.33</v>
      </c>
      <c r="K108" s="612" t="s">
        <v>1552</v>
      </c>
      <c r="L108" s="225" t="s">
        <v>1427</v>
      </c>
      <c r="M108" s="225">
        <v>2</v>
      </c>
      <c r="N108" s="445">
        <f>G108</f>
        <v>9.5250000000000004</v>
      </c>
      <c r="O108" s="445">
        <f>0.1-2*0.025</f>
        <v>0.05</v>
      </c>
      <c r="P108" s="445"/>
      <c r="Q108" s="445"/>
      <c r="R108" s="608">
        <f t="shared" ref="R108:R127" si="16">SUM(N108:Q108)</f>
        <v>9.5750000000000011</v>
      </c>
      <c r="S108" s="608">
        <f t="shared" ref="S108:S125" si="17">R108*M108</f>
        <v>19.150000000000002</v>
      </c>
      <c r="T108" s="608">
        <f>S108</f>
        <v>19.150000000000002</v>
      </c>
      <c r="U108" s="445"/>
      <c r="V108" s="445"/>
    </row>
    <row r="109" spans="1:23">
      <c r="A109" s="445"/>
      <c r="B109" s="445"/>
      <c r="C109" s="668"/>
      <c r="D109" s="668"/>
      <c r="E109" s="445"/>
      <c r="F109" s="445"/>
      <c r="G109" s="445"/>
      <c r="H109" s="445"/>
      <c r="I109" s="445"/>
      <c r="J109" s="445"/>
      <c r="K109" s="612" t="s">
        <v>1553</v>
      </c>
      <c r="L109" s="225" t="s">
        <v>1427</v>
      </c>
      <c r="M109" s="225">
        <v>2</v>
      </c>
      <c r="N109" s="445">
        <f>N108</f>
        <v>9.5250000000000004</v>
      </c>
      <c r="O109" s="445">
        <f>0.1-2*0.025</f>
        <v>0.05</v>
      </c>
      <c r="P109" s="445"/>
      <c r="Q109" s="445"/>
      <c r="R109" s="608">
        <f t="shared" si="16"/>
        <v>9.5750000000000011</v>
      </c>
      <c r="S109" s="608">
        <f t="shared" si="17"/>
        <v>19.150000000000002</v>
      </c>
      <c r="T109" s="608">
        <f>S109</f>
        <v>19.150000000000002</v>
      </c>
      <c r="U109" s="445"/>
      <c r="V109" s="445"/>
    </row>
    <row r="110" spans="1:23">
      <c r="A110" s="445"/>
      <c r="B110" s="445"/>
      <c r="C110" s="668"/>
      <c r="D110" s="668"/>
      <c r="E110" s="445"/>
      <c r="F110" s="445"/>
      <c r="G110" s="445"/>
      <c r="H110" s="445"/>
      <c r="I110" s="445"/>
      <c r="J110" s="445"/>
      <c r="K110" s="612" t="s">
        <v>1548</v>
      </c>
      <c r="L110" s="225" t="s">
        <v>1428</v>
      </c>
      <c r="M110" s="225">
        <f>ROUND((3.465-0.23)/0.15+1,0)+ROUND((3.01-0.23)/0.15+1,0)+ROUND((2.82-0.23)/0.15+1,0)</f>
        <v>61</v>
      </c>
      <c r="N110" s="445">
        <f>2*(0.23+0.15)-4*0.025+2*0.075</f>
        <v>0.81</v>
      </c>
      <c r="O110" s="445"/>
      <c r="P110" s="445"/>
      <c r="Q110" s="445"/>
      <c r="R110" s="608">
        <f t="shared" si="16"/>
        <v>0.81</v>
      </c>
      <c r="S110" s="608">
        <f t="shared" si="17"/>
        <v>49.410000000000004</v>
      </c>
      <c r="T110" s="445"/>
      <c r="U110" s="608">
        <f>S110</f>
        <v>49.410000000000004</v>
      </c>
      <c r="V110" s="445"/>
    </row>
    <row r="111" spans="1:23">
      <c r="A111" s="445"/>
      <c r="B111" s="445" t="s">
        <v>1554</v>
      </c>
      <c r="C111" s="1448" t="s">
        <v>1555</v>
      </c>
      <c r="D111" s="1448"/>
      <c r="E111" s="445"/>
      <c r="F111" s="445"/>
      <c r="G111" s="445">
        <f>2.95+0.23</f>
        <v>3.18</v>
      </c>
      <c r="H111" s="445">
        <v>0.23</v>
      </c>
      <c r="I111" s="445">
        <v>0.15</v>
      </c>
      <c r="J111" s="445">
        <f>ROUND(I111*H111*G111,2)</f>
        <v>0.11</v>
      </c>
      <c r="K111" s="612" t="s">
        <v>1552</v>
      </c>
      <c r="L111" s="225" t="s">
        <v>1427</v>
      </c>
      <c r="M111" s="225">
        <v>2</v>
      </c>
      <c r="N111" s="445">
        <f>G111</f>
        <v>3.18</v>
      </c>
      <c r="O111" s="445">
        <f>0.1-2*0.025</f>
        <v>0.05</v>
      </c>
      <c r="P111" s="445"/>
      <c r="Q111" s="445"/>
      <c r="R111" s="608">
        <f t="shared" si="16"/>
        <v>3.23</v>
      </c>
      <c r="S111" s="608">
        <f t="shared" si="17"/>
        <v>6.46</v>
      </c>
      <c r="T111" s="608">
        <f>S111</f>
        <v>6.46</v>
      </c>
      <c r="U111" s="445"/>
      <c r="V111" s="445"/>
    </row>
    <row r="112" spans="1:23">
      <c r="A112" s="445"/>
      <c r="B112" s="445"/>
      <c r="C112" s="668"/>
      <c r="D112" s="668"/>
      <c r="E112" s="445"/>
      <c r="F112" s="445"/>
      <c r="G112" s="445"/>
      <c r="H112" s="445"/>
      <c r="I112" s="445"/>
      <c r="J112" s="445"/>
      <c r="K112" s="612" t="s">
        <v>1553</v>
      </c>
      <c r="L112" s="225" t="s">
        <v>1427</v>
      </c>
      <c r="M112" s="225">
        <v>2</v>
      </c>
      <c r="N112" s="445">
        <f>N111</f>
        <v>3.18</v>
      </c>
      <c r="O112" s="445">
        <f>0.1-2*0.025</f>
        <v>0.05</v>
      </c>
      <c r="P112" s="445"/>
      <c r="Q112" s="445"/>
      <c r="R112" s="608">
        <f t="shared" si="16"/>
        <v>3.23</v>
      </c>
      <c r="S112" s="608">
        <f t="shared" si="17"/>
        <v>6.46</v>
      </c>
      <c r="T112" s="608">
        <f>S112</f>
        <v>6.46</v>
      </c>
      <c r="U112" s="445"/>
      <c r="V112" s="445"/>
    </row>
    <row r="113" spans="1:23">
      <c r="A113" s="445"/>
      <c r="B113" s="445"/>
      <c r="C113" s="668"/>
      <c r="D113" s="668"/>
      <c r="E113" s="445"/>
      <c r="F113" s="445"/>
      <c r="G113" s="445"/>
      <c r="H113" s="445"/>
      <c r="I113" s="445"/>
      <c r="J113" s="445"/>
      <c r="K113" s="612" t="s">
        <v>1548</v>
      </c>
      <c r="L113" s="225" t="s">
        <v>1428</v>
      </c>
      <c r="M113" s="225">
        <f>+ROUND((2.95-0.23)/0.15+1,0)</f>
        <v>19</v>
      </c>
      <c r="N113" s="445">
        <f>2*(0.23+0.15)-4*0.025+2*0.075</f>
        <v>0.81</v>
      </c>
      <c r="O113" s="445"/>
      <c r="P113" s="445"/>
      <c r="Q113" s="445"/>
      <c r="R113" s="608">
        <f t="shared" si="16"/>
        <v>0.81</v>
      </c>
      <c r="S113" s="608">
        <f t="shared" si="17"/>
        <v>15.39</v>
      </c>
      <c r="T113" s="445"/>
      <c r="U113" s="608">
        <f>S113</f>
        <v>15.39</v>
      </c>
      <c r="V113" s="445"/>
    </row>
    <row r="114" spans="1:23">
      <c r="A114" s="445"/>
      <c r="B114" s="445" t="s">
        <v>1550</v>
      </c>
      <c r="C114" s="1448" t="s">
        <v>1556</v>
      </c>
      <c r="D114" s="1448"/>
      <c r="E114" s="445"/>
      <c r="F114" s="445"/>
      <c r="G114" s="445">
        <f>G108+2.95</f>
        <v>12.475000000000001</v>
      </c>
      <c r="H114" s="445">
        <v>0.23</v>
      </c>
      <c r="I114" s="445">
        <v>0.15</v>
      </c>
      <c r="J114" s="445">
        <f>ROUND(I114*H114*G114,2)</f>
        <v>0.43</v>
      </c>
      <c r="K114" s="612" t="s">
        <v>1552</v>
      </c>
      <c r="L114" s="225" t="s">
        <v>1427</v>
      </c>
      <c r="M114" s="225">
        <v>2</v>
      </c>
      <c r="N114" s="445">
        <f>G114</f>
        <v>12.475000000000001</v>
      </c>
      <c r="O114" s="445">
        <f>0.1-2*0.025</f>
        <v>0.05</v>
      </c>
      <c r="P114" s="445"/>
      <c r="Q114" s="445"/>
      <c r="R114" s="608">
        <f t="shared" si="16"/>
        <v>12.525000000000002</v>
      </c>
      <c r="S114" s="608">
        <f t="shared" si="17"/>
        <v>25.050000000000004</v>
      </c>
      <c r="T114" s="608">
        <f>S114</f>
        <v>25.050000000000004</v>
      </c>
      <c r="U114" s="445"/>
      <c r="V114" s="445"/>
    </row>
    <row r="115" spans="1:23">
      <c r="A115" s="445"/>
      <c r="B115" s="445"/>
      <c r="C115" s="445"/>
      <c r="D115" s="445"/>
      <c r="E115" s="445"/>
      <c r="F115" s="445"/>
      <c r="G115" s="445"/>
      <c r="H115" s="445"/>
      <c r="I115" s="445"/>
      <c r="J115" s="445"/>
      <c r="K115" s="612" t="s">
        <v>1553</v>
      </c>
      <c r="L115" s="225" t="s">
        <v>1427</v>
      </c>
      <c r="M115" s="225">
        <v>2</v>
      </c>
      <c r="N115" s="445">
        <f>G114</f>
        <v>12.475000000000001</v>
      </c>
      <c r="O115" s="445">
        <f>0.1-2*0.025</f>
        <v>0.05</v>
      </c>
      <c r="P115" s="445"/>
      <c r="Q115" s="445"/>
      <c r="R115" s="608">
        <f t="shared" si="16"/>
        <v>12.525000000000002</v>
      </c>
      <c r="S115" s="608">
        <f t="shared" si="17"/>
        <v>25.050000000000004</v>
      </c>
      <c r="T115" s="608">
        <f>S115</f>
        <v>25.050000000000004</v>
      </c>
      <c r="U115" s="445"/>
      <c r="V115" s="445"/>
    </row>
    <row r="116" spans="1:23">
      <c r="A116" s="445"/>
      <c r="B116" s="445"/>
      <c r="C116" s="445"/>
      <c r="D116" s="445"/>
      <c r="E116" s="445"/>
      <c r="F116" s="445"/>
      <c r="G116" s="445"/>
      <c r="H116" s="445"/>
      <c r="I116" s="445"/>
      <c r="J116" s="445"/>
      <c r="K116" s="612" t="s">
        <v>1548</v>
      </c>
      <c r="L116" s="225" t="s">
        <v>1428</v>
      </c>
      <c r="M116" s="225">
        <f>ROUND((3.465-0.23)/0.15+1,0)+ROUND((3.01-0.23)/0.15+1,0)+ROUND((2.82-0.23)/0.15+1,0)+ROUND((2.95-0.23)/0.15+1,0)</f>
        <v>80</v>
      </c>
      <c r="N116" s="445">
        <f>2*(0.23+0.15)-4*0.025+2*0.075</f>
        <v>0.81</v>
      </c>
      <c r="O116" s="445"/>
      <c r="P116" s="445"/>
      <c r="Q116" s="445"/>
      <c r="R116" s="608">
        <f t="shared" si="16"/>
        <v>0.81</v>
      </c>
      <c r="S116" s="608">
        <f t="shared" si="17"/>
        <v>64.800000000000011</v>
      </c>
      <c r="T116" s="445"/>
      <c r="U116" s="608">
        <f>S116</f>
        <v>64.800000000000011</v>
      </c>
      <c r="V116" s="445"/>
    </row>
    <row r="117" spans="1:23">
      <c r="A117" s="445"/>
      <c r="B117" s="445" t="s">
        <v>1550</v>
      </c>
      <c r="C117" s="1448" t="s">
        <v>1563</v>
      </c>
      <c r="D117" s="1448"/>
      <c r="E117" s="445"/>
      <c r="F117" s="445"/>
      <c r="G117" s="445">
        <f>2.82+3.01+3.465+0.23</f>
        <v>9.5250000000000004</v>
      </c>
      <c r="H117" s="445">
        <v>0.115</v>
      </c>
      <c r="I117" s="445">
        <v>0.15</v>
      </c>
      <c r="J117" s="608">
        <f>ROUND(I117*H117*G117,2)</f>
        <v>0.16</v>
      </c>
      <c r="K117" s="612" t="s">
        <v>1552</v>
      </c>
      <c r="L117" s="225" t="s">
        <v>1427</v>
      </c>
      <c r="M117" s="225">
        <v>2</v>
      </c>
      <c r="N117" s="445">
        <f>G117</f>
        <v>9.5250000000000004</v>
      </c>
      <c r="O117" s="445">
        <f>0.1-2*0.025</f>
        <v>0.05</v>
      </c>
      <c r="P117" s="445"/>
      <c r="Q117" s="445"/>
      <c r="R117" s="608">
        <f t="shared" si="16"/>
        <v>9.5750000000000011</v>
      </c>
      <c r="S117" s="608">
        <f t="shared" si="17"/>
        <v>19.150000000000002</v>
      </c>
      <c r="T117" s="608">
        <f>S117</f>
        <v>19.150000000000002</v>
      </c>
      <c r="U117" s="445"/>
      <c r="V117" s="445"/>
    </row>
    <row r="118" spans="1:23">
      <c r="A118" s="445"/>
      <c r="B118" s="445"/>
      <c r="C118" s="445"/>
      <c r="D118" s="445"/>
      <c r="E118" s="445"/>
      <c r="F118" s="445"/>
      <c r="G118" s="445"/>
      <c r="H118" s="445"/>
      <c r="I118" s="445"/>
      <c r="J118" s="445"/>
      <c r="K118" s="612" t="s">
        <v>1553</v>
      </c>
      <c r="L118" s="225" t="s">
        <v>1427</v>
      </c>
      <c r="M118" s="225">
        <v>2</v>
      </c>
      <c r="N118" s="445">
        <f>G117</f>
        <v>9.5250000000000004</v>
      </c>
      <c r="O118" s="445">
        <f>0.1-2*0.025</f>
        <v>0.05</v>
      </c>
      <c r="P118" s="445"/>
      <c r="Q118" s="445"/>
      <c r="R118" s="608">
        <f t="shared" si="16"/>
        <v>9.5750000000000011</v>
      </c>
      <c r="S118" s="608">
        <f t="shared" si="17"/>
        <v>19.150000000000002</v>
      </c>
      <c r="T118" s="608">
        <f>S118</f>
        <v>19.150000000000002</v>
      </c>
      <c r="U118" s="445"/>
      <c r="V118" s="445"/>
    </row>
    <row r="119" spans="1:23">
      <c r="A119" s="445"/>
      <c r="B119" s="445"/>
      <c r="C119" s="445"/>
      <c r="D119" s="445"/>
      <c r="E119" s="445"/>
      <c r="F119" s="445"/>
      <c r="G119" s="445"/>
      <c r="H119" s="445"/>
      <c r="I119" s="445"/>
      <c r="J119" s="445"/>
      <c r="K119" s="612" t="s">
        <v>1548</v>
      </c>
      <c r="L119" s="225" t="s">
        <v>1428</v>
      </c>
      <c r="M119" s="225">
        <f>+ROUND((3.01-0.23)/0.15+1,0)+ROUND((2.82-0.23)/0.15+1,0)+ROUND((3.465-0.23)/0.15+1,0)</f>
        <v>61</v>
      </c>
      <c r="N119" s="445">
        <f>2*(0.115+0.15)-4*0.025+2*0.075</f>
        <v>0.58000000000000007</v>
      </c>
      <c r="O119" s="445"/>
      <c r="P119" s="445"/>
      <c r="Q119" s="445"/>
      <c r="R119" s="608">
        <f t="shared" si="16"/>
        <v>0.58000000000000007</v>
      </c>
      <c r="S119" s="608">
        <f t="shared" si="17"/>
        <v>35.380000000000003</v>
      </c>
      <c r="T119" s="445"/>
      <c r="U119" s="608">
        <f>S119</f>
        <v>35.380000000000003</v>
      </c>
      <c r="V119" s="445"/>
    </row>
    <row r="120" spans="1:23">
      <c r="A120" s="445"/>
      <c r="B120" s="445" t="s">
        <v>1550</v>
      </c>
      <c r="C120" s="1448" t="s">
        <v>1564</v>
      </c>
      <c r="D120" s="1448"/>
      <c r="E120" s="445"/>
      <c r="F120" s="445"/>
      <c r="G120" s="445">
        <f>2.82+3.01+3.465+0.23</f>
        <v>9.5250000000000004</v>
      </c>
      <c r="H120" s="445">
        <v>0.115</v>
      </c>
      <c r="I120" s="445">
        <v>0.15</v>
      </c>
      <c r="J120" s="608">
        <f>ROUND(I120*H120*G120,2)</f>
        <v>0.16</v>
      </c>
      <c r="K120" s="612" t="s">
        <v>1552</v>
      </c>
      <c r="L120" s="225" t="s">
        <v>1427</v>
      </c>
      <c r="M120" s="225">
        <v>2</v>
      </c>
      <c r="N120" s="445">
        <f>G120</f>
        <v>9.5250000000000004</v>
      </c>
      <c r="O120" s="445">
        <f>0.1-2*0.025</f>
        <v>0.05</v>
      </c>
      <c r="P120" s="445"/>
      <c r="Q120" s="445"/>
      <c r="R120" s="608">
        <f>SUM(N120:Q120)</f>
        <v>9.5750000000000011</v>
      </c>
      <c r="S120" s="608">
        <f t="shared" si="17"/>
        <v>19.150000000000002</v>
      </c>
      <c r="T120" s="608">
        <f>S120</f>
        <v>19.150000000000002</v>
      </c>
      <c r="U120" s="445"/>
      <c r="V120" s="445"/>
    </row>
    <row r="121" spans="1:23">
      <c r="A121" s="445"/>
      <c r="B121" s="445"/>
      <c r="C121" s="445"/>
      <c r="D121" s="445"/>
      <c r="E121" s="445"/>
      <c r="F121" s="445"/>
      <c r="G121" s="445"/>
      <c r="H121" s="445"/>
      <c r="I121" s="445"/>
      <c r="J121" s="445"/>
      <c r="K121" s="612" t="s">
        <v>1553</v>
      </c>
      <c r="L121" s="225" t="s">
        <v>1427</v>
      </c>
      <c r="M121" s="225">
        <v>2</v>
      </c>
      <c r="N121" s="445">
        <f>G120</f>
        <v>9.5250000000000004</v>
      </c>
      <c r="O121" s="445">
        <f>0.1-2*0.025</f>
        <v>0.05</v>
      </c>
      <c r="P121" s="445"/>
      <c r="Q121" s="445"/>
      <c r="R121" s="608">
        <f>SUM(N121:Q121)</f>
        <v>9.5750000000000011</v>
      </c>
      <c r="S121" s="608">
        <f t="shared" si="17"/>
        <v>19.150000000000002</v>
      </c>
      <c r="T121" s="608">
        <f>S121</f>
        <v>19.150000000000002</v>
      </c>
      <c r="U121" s="445"/>
      <c r="V121" s="445"/>
    </row>
    <row r="122" spans="1:23">
      <c r="A122" s="445"/>
      <c r="B122" s="445"/>
      <c r="C122" s="445"/>
      <c r="D122" s="445"/>
      <c r="E122" s="445"/>
      <c r="F122" s="445"/>
      <c r="G122" s="445"/>
      <c r="H122" s="445"/>
      <c r="I122" s="445"/>
      <c r="J122" s="445"/>
      <c r="K122" s="612" t="s">
        <v>1548</v>
      </c>
      <c r="L122" s="225" t="s">
        <v>1428</v>
      </c>
      <c r="M122" s="225">
        <f>+ROUND((3.01-0.23)/0.15+1,0)+ROUND((2.82-0.23)/0.15+1,0)+ROUND((3.465-0.23)/0.15+1,0)</f>
        <v>61</v>
      </c>
      <c r="N122" s="445">
        <f>2*(0.115+0.15)-4*0.025+2*0.075</f>
        <v>0.58000000000000007</v>
      </c>
      <c r="O122" s="445"/>
      <c r="P122" s="445"/>
      <c r="Q122" s="445"/>
      <c r="R122" s="608">
        <f>SUM(N122:Q122)</f>
        <v>0.58000000000000007</v>
      </c>
      <c r="S122" s="608">
        <f t="shared" si="17"/>
        <v>35.380000000000003</v>
      </c>
      <c r="T122" s="445"/>
      <c r="U122" s="608">
        <f>S122</f>
        <v>35.380000000000003</v>
      </c>
      <c r="V122" s="445"/>
    </row>
    <row r="123" spans="1:23">
      <c r="A123" s="445"/>
      <c r="B123" s="445" t="s">
        <v>1558</v>
      </c>
      <c r="C123" s="1448" t="s">
        <v>1565</v>
      </c>
      <c r="D123" s="1448"/>
      <c r="E123" s="445"/>
      <c r="F123" s="445"/>
      <c r="G123" s="445">
        <f>5.22+0.23</f>
        <v>5.45</v>
      </c>
      <c r="H123" s="445">
        <v>0.23</v>
      </c>
      <c r="I123" s="445">
        <v>0.15</v>
      </c>
      <c r="J123" s="608">
        <f>ROUND(I123*H123*G123,2)</f>
        <v>0.19</v>
      </c>
      <c r="K123" s="612" t="s">
        <v>1552</v>
      </c>
      <c r="L123" s="225" t="s">
        <v>1427</v>
      </c>
      <c r="M123" s="225">
        <v>2</v>
      </c>
      <c r="N123" s="445">
        <f>G123</f>
        <v>5.45</v>
      </c>
      <c r="O123" s="445">
        <f>0.1-2*0.025</f>
        <v>0.05</v>
      </c>
      <c r="P123" s="445"/>
      <c r="Q123" s="445"/>
      <c r="R123" s="608">
        <f t="shared" si="16"/>
        <v>5.5</v>
      </c>
      <c r="S123" s="608">
        <f t="shared" si="17"/>
        <v>11</v>
      </c>
      <c r="T123" s="608">
        <f>S123</f>
        <v>11</v>
      </c>
      <c r="U123" s="445"/>
      <c r="V123" s="445"/>
    </row>
    <row r="124" spans="1:23">
      <c r="A124" s="445"/>
      <c r="B124" s="445"/>
      <c r="C124" s="445"/>
      <c r="D124" s="445"/>
      <c r="E124" s="445"/>
      <c r="F124" s="445"/>
      <c r="G124" s="445"/>
      <c r="H124" s="445"/>
      <c r="I124" s="445"/>
      <c r="J124" s="445"/>
      <c r="K124" s="612" t="s">
        <v>1553</v>
      </c>
      <c r="L124" s="225" t="s">
        <v>1427</v>
      </c>
      <c r="M124" s="225">
        <v>2</v>
      </c>
      <c r="N124" s="445">
        <f>G123</f>
        <v>5.45</v>
      </c>
      <c r="O124" s="445">
        <f>0.1-2*0.025</f>
        <v>0.05</v>
      </c>
      <c r="P124" s="445"/>
      <c r="Q124" s="445"/>
      <c r="R124" s="608">
        <f t="shared" si="16"/>
        <v>5.5</v>
      </c>
      <c r="S124" s="608">
        <f t="shared" si="17"/>
        <v>11</v>
      </c>
      <c r="T124" s="608">
        <f>S124</f>
        <v>11</v>
      </c>
      <c r="U124" s="445"/>
      <c r="V124" s="445"/>
    </row>
    <row r="125" spans="1:23">
      <c r="A125" s="445"/>
      <c r="B125" s="445"/>
      <c r="C125" s="445"/>
      <c r="D125" s="445"/>
      <c r="E125" s="445"/>
      <c r="F125" s="445"/>
      <c r="G125" s="445"/>
      <c r="H125" s="445"/>
      <c r="I125" s="445"/>
      <c r="J125" s="445"/>
      <c r="K125" s="612" t="s">
        <v>1548</v>
      </c>
      <c r="L125" s="225" t="s">
        <v>1428</v>
      </c>
      <c r="M125" s="225">
        <f>+ROUND((3.01-0.23)/0.15+1,0)+ROUND((2.82-0.23)/0.15+1,0)</f>
        <v>38</v>
      </c>
      <c r="N125" s="445">
        <f>2*(0.115+0.15)-4*0.025+2*0.075</f>
        <v>0.58000000000000007</v>
      </c>
      <c r="O125" s="445"/>
      <c r="P125" s="445"/>
      <c r="Q125" s="445"/>
      <c r="R125" s="608">
        <f t="shared" si="16"/>
        <v>0.58000000000000007</v>
      </c>
      <c r="S125" s="608">
        <f t="shared" si="17"/>
        <v>22.040000000000003</v>
      </c>
      <c r="T125" s="445"/>
      <c r="U125" s="608">
        <f>S125</f>
        <v>22.040000000000003</v>
      </c>
      <c r="V125" s="445"/>
    </row>
    <row r="126" spans="1:23" ht="25.5">
      <c r="A126" s="610"/>
      <c r="B126" s="654" t="s">
        <v>1560</v>
      </c>
      <c r="C126" s="1416" t="s">
        <v>1561</v>
      </c>
      <c r="D126" s="1416"/>
      <c r="E126" s="610"/>
      <c r="F126" s="610">
        <v>8</v>
      </c>
      <c r="G126" s="610">
        <f>1.5+2*0.15</f>
        <v>1.8</v>
      </c>
      <c r="H126" s="610">
        <v>0.6</v>
      </c>
      <c r="I126" s="610"/>
      <c r="J126" s="610">
        <f>ROUND(F126*H126*G126,2)</f>
        <v>8.64</v>
      </c>
      <c r="K126" s="672" t="s">
        <v>1476</v>
      </c>
      <c r="L126" s="653" t="s">
        <v>1428</v>
      </c>
      <c r="M126" s="653">
        <f>ROUND(G126/0.15,0)+1</f>
        <v>13</v>
      </c>
      <c r="N126" s="610">
        <f>H126+0.23-2*0.05+0.1</f>
        <v>0.83</v>
      </c>
      <c r="O126" s="610"/>
      <c r="P126" s="610"/>
      <c r="Q126" s="610"/>
      <c r="R126" s="673">
        <f t="shared" si="16"/>
        <v>0.83</v>
      </c>
      <c r="S126" s="673">
        <f>R126*M126*F126</f>
        <v>86.32</v>
      </c>
      <c r="T126" s="610"/>
      <c r="U126" s="673">
        <f>S126</f>
        <v>86.32</v>
      </c>
      <c r="V126" s="610"/>
      <c r="W126" s="480"/>
    </row>
    <row r="127" spans="1:23">
      <c r="A127" s="445"/>
      <c r="B127" s="445"/>
      <c r="C127" s="668"/>
      <c r="D127" s="668"/>
      <c r="E127" s="445"/>
      <c r="F127" s="445"/>
      <c r="G127" s="445"/>
      <c r="H127" s="445"/>
      <c r="I127" s="445"/>
      <c r="J127" s="445"/>
      <c r="K127" s="612" t="s">
        <v>1475</v>
      </c>
      <c r="L127" s="653" t="s">
        <v>1428</v>
      </c>
      <c r="M127" s="225">
        <f>ROUND(H126/0.15,0)+1</f>
        <v>5</v>
      </c>
      <c r="N127" s="445">
        <f>G126-2*0.025</f>
        <v>1.75</v>
      </c>
      <c r="O127" s="445"/>
      <c r="P127" s="445"/>
      <c r="Q127" s="445"/>
      <c r="R127" s="608">
        <f t="shared" si="16"/>
        <v>1.75</v>
      </c>
      <c r="S127" s="608">
        <f>R127*M127*F126</f>
        <v>70</v>
      </c>
      <c r="T127" s="610"/>
      <c r="U127" s="608">
        <f>S127</f>
        <v>70</v>
      </c>
      <c r="V127" s="445"/>
    </row>
    <row r="128" spans="1:23" ht="25.5">
      <c r="A128" s="610"/>
      <c r="B128" s="654" t="s">
        <v>1566</v>
      </c>
      <c r="C128" s="1415" t="s">
        <v>1567</v>
      </c>
      <c r="D128" s="1416"/>
      <c r="E128" s="610"/>
      <c r="F128" s="610">
        <v>1</v>
      </c>
      <c r="G128" s="610">
        <f>5.22+2.95+0.23+2*0.15</f>
        <v>8.7000000000000011</v>
      </c>
      <c r="H128" s="610">
        <v>0.6</v>
      </c>
      <c r="I128" s="610"/>
      <c r="J128" s="610">
        <f>ROUND(F128*H128*G128,2)</f>
        <v>5.22</v>
      </c>
      <c r="K128" s="672" t="s">
        <v>1476</v>
      </c>
      <c r="L128" s="653" t="s">
        <v>1428</v>
      </c>
      <c r="M128" s="653">
        <f>ROUND(G128/0.15,0)+1</f>
        <v>59</v>
      </c>
      <c r="N128" s="610">
        <f>H128+0.23-2*0.05+0.1</f>
        <v>0.83</v>
      </c>
      <c r="O128" s="610"/>
      <c r="P128" s="610"/>
      <c r="Q128" s="610"/>
      <c r="R128" s="673">
        <f>SUM(N128:Q128)</f>
        <v>0.83</v>
      </c>
      <c r="S128" s="673">
        <f>R128*M128*F128</f>
        <v>48.97</v>
      </c>
      <c r="T128" s="610"/>
      <c r="U128" s="673">
        <f>S128</f>
        <v>48.97</v>
      </c>
      <c r="V128" s="610"/>
      <c r="W128" s="480"/>
    </row>
    <row r="129" spans="1:22">
      <c r="A129" s="445"/>
      <c r="B129" s="445"/>
      <c r="C129" s="668"/>
      <c r="D129" s="668"/>
      <c r="E129" s="445"/>
      <c r="F129" s="445"/>
      <c r="G129" s="445"/>
      <c r="H129" s="445"/>
      <c r="I129" s="445"/>
      <c r="J129" s="445"/>
      <c r="K129" s="612" t="s">
        <v>1475</v>
      </c>
      <c r="L129" s="653" t="s">
        <v>1428</v>
      </c>
      <c r="M129" s="225">
        <f>ROUND(H128/0.15,0)+1</f>
        <v>5</v>
      </c>
      <c r="N129" s="445">
        <f>G128-2*0.025</f>
        <v>8.65</v>
      </c>
      <c r="O129" s="445"/>
      <c r="P129" s="445"/>
      <c r="Q129" s="445"/>
      <c r="R129" s="608">
        <f>SUM(N129:Q129)</f>
        <v>8.65</v>
      </c>
      <c r="S129" s="608">
        <f>R129*M129*F128</f>
        <v>43.25</v>
      </c>
      <c r="T129" s="610"/>
      <c r="U129" s="608">
        <f>S129</f>
        <v>43.25</v>
      </c>
      <c r="V129" s="445"/>
    </row>
    <row r="130" spans="1:22" ht="15">
      <c r="A130" s="445"/>
      <c r="B130" s="445"/>
      <c r="C130" s="668"/>
      <c r="D130" s="668"/>
      <c r="E130" s="445"/>
      <c r="F130" s="445"/>
      <c r="G130" s="445"/>
      <c r="H130" s="445"/>
      <c r="I130" s="445"/>
      <c r="J130" s="445"/>
      <c r="K130" s="612"/>
      <c r="L130" s="653"/>
      <c r="M130" s="225"/>
      <c r="N130" s="445"/>
      <c r="O130" s="445"/>
      <c r="P130" s="445"/>
      <c r="Q130" s="445"/>
      <c r="R130" s="608"/>
      <c r="S130" s="669" t="s">
        <v>136</v>
      </c>
      <c r="T130" s="670">
        <f>SUM(T112:T129)</f>
        <v>155.16000000000003</v>
      </c>
      <c r="U130" s="670">
        <f>SUM(U112:U129)</f>
        <v>421.53</v>
      </c>
      <c r="V130" s="670">
        <f>SUM(V112:V129)</f>
        <v>0</v>
      </c>
    </row>
  </sheetData>
  <mergeCells count="26">
    <mergeCell ref="C117:D117"/>
    <mergeCell ref="C120:D120"/>
    <mergeCell ref="C123:D123"/>
    <mergeCell ref="C126:D126"/>
    <mergeCell ref="C128:D128"/>
    <mergeCell ref="B73:B81"/>
    <mergeCell ref="C73:D73"/>
    <mergeCell ref="C74:D74"/>
    <mergeCell ref="C75:D75"/>
    <mergeCell ref="C114:D114"/>
    <mergeCell ref="B82:B86"/>
    <mergeCell ref="A88:V88"/>
    <mergeCell ref="C89:D89"/>
    <mergeCell ref="C92:D92"/>
    <mergeCell ref="C95:D95"/>
    <mergeCell ref="C98:D98"/>
    <mergeCell ref="C101:D101"/>
    <mergeCell ref="C104:D104"/>
    <mergeCell ref="A107:V107"/>
    <mergeCell ref="C108:D108"/>
    <mergeCell ref="C111:D111"/>
    <mergeCell ref="A2:V2"/>
    <mergeCell ref="A63:V63"/>
    <mergeCell ref="B64:B72"/>
    <mergeCell ref="C64:D64"/>
    <mergeCell ref="C65:D65"/>
  </mergeCells>
  <pageMargins left="0.7" right="0.7" top="0.75" bottom="0.75" header="0.3" footer="0.3"/>
  <pageSetup paperSize="9" scale="89" orientation="landscape" verticalDpi="0" r:id="rId1"/>
  <rowBreaks count="4" manualBreakCount="4">
    <brk id="33" max="21" man="1"/>
    <brk id="62" max="21" man="1"/>
    <brk id="87" max="21" man="1"/>
    <brk id="106" max="21" man="1"/>
  </rowBreaks>
  <colBreaks count="1" manualBreakCount="1">
    <brk id="22" max="1048575" man="1"/>
  </colBreaks>
</worksheet>
</file>

<file path=xl/worksheets/sheet27.xml><?xml version="1.0" encoding="utf-8"?>
<worksheet xmlns="http://schemas.openxmlformats.org/spreadsheetml/2006/main" xmlns:r="http://schemas.openxmlformats.org/officeDocument/2006/relationships">
  <dimension ref="A1:X111"/>
  <sheetViews>
    <sheetView view="pageBreakPreview" zoomScaleNormal="85" zoomScaleSheetLayoutView="100" workbookViewId="0">
      <selection activeCell="G35" sqref="G35:I35"/>
    </sheetView>
  </sheetViews>
  <sheetFormatPr defaultRowHeight="12.75"/>
  <cols>
    <col min="1" max="1" width="4.85546875" style="543" customWidth="1"/>
    <col min="2" max="2" width="12.85546875" customWidth="1"/>
    <col min="3" max="5" width="5.7109375" customWidth="1"/>
    <col min="6" max="7" width="6.140625" customWidth="1"/>
    <col min="8" max="8" width="7.28515625" customWidth="1"/>
    <col min="9" max="9" width="5.140625" customWidth="1"/>
    <col min="10" max="10" width="5.7109375" customWidth="1"/>
    <col min="11" max="11" width="5.28515625" customWidth="1"/>
    <col min="12" max="12" width="14.140625" customWidth="1"/>
    <col min="13" max="14" width="6" style="543" customWidth="1"/>
    <col min="15" max="15" width="6.5703125" customWidth="1"/>
    <col min="16" max="16" width="7.140625" customWidth="1"/>
    <col min="17" max="18" width="5.7109375" customWidth="1"/>
    <col min="19" max="19" width="5.42578125" customWidth="1"/>
    <col min="20" max="20" width="6.42578125" customWidth="1"/>
    <col min="21" max="21" width="7" bestFit="1" customWidth="1"/>
    <col min="22" max="24" width="6.42578125" customWidth="1"/>
  </cols>
  <sheetData>
    <row r="1" spans="1:24" ht="21">
      <c r="A1" s="1450" t="s">
        <v>1505</v>
      </c>
      <c r="B1" s="1450"/>
      <c r="C1" s="1450"/>
      <c r="D1" s="1450"/>
      <c r="E1" s="1450"/>
      <c r="F1" s="1450"/>
      <c r="G1" s="1450"/>
      <c r="H1" s="1450"/>
      <c r="I1" s="1450"/>
      <c r="J1" s="1450"/>
      <c r="K1" s="1450"/>
      <c r="L1" s="1450"/>
      <c r="M1" s="1450"/>
      <c r="N1" s="1450"/>
      <c r="O1" s="1450"/>
      <c r="P1" s="1450"/>
      <c r="Q1" s="1450"/>
      <c r="R1" s="1450"/>
      <c r="S1" s="1450"/>
      <c r="T1" s="1450"/>
      <c r="U1" s="1450"/>
      <c r="V1" s="1450"/>
      <c r="W1" s="1450"/>
      <c r="X1" s="1450"/>
    </row>
    <row r="2" spans="1:24" ht="33.75">
      <c r="A2" s="653" t="s">
        <v>1004</v>
      </c>
      <c r="B2" s="654" t="s">
        <v>1481</v>
      </c>
      <c r="C2" s="654"/>
      <c r="D2" s="654"/>
      <c r="E2" s="654"/>
      <c r="F2" s="654"/>
      <c r="G2" s="654"/>
      <c r="H2" s="655" t="s">
        <v>97</v>
      </c>
      <c r="I2" s="655" t="s">
        <v>1482</v>
      </c>
      <c r="J2" s="655" t="s">
        <v>99</v>
      </c>
      <c r="K2" s="654" t="s">
        <v>100</v>
      </c>
      <c r="L2" s="654"/>
      <c r="M2" s="656"/>
      <c r="N2" s="656" t="s">
        <v>1425</v>
      </c>
      <c r="O2" s="609" t="s">
        <v>1483</v>
      </c>
      <c r="P2" s="609" t="s">
        <v>1484</v>
      </c>
      <c r="Q2" s="609" t="s">
        <v>1485</v>
      </c>
      <c r="R2" s="609" t="s">
        <v>1486</v>
      </c>
      <c r="S2" s="609" t="s">
        <v>1487</v>
      </c>
      <c r="T2" s="609" t="s">
        <v>1423</v>
      </c>
      <c r="U2" s="653">
        <v>12</v>
      </c>
      <c r="V2" s="653">
        <v>8</v>
      </c>
      <c r="W2" s="653">
        <v>16</v>
      </c>
      <c r="X2" s="653">
        <v>20</v>
      </c>
    </row>
    <row r="3" spans="1:24">
      <c r="A3" s="225">
        <v>1</v>
      </c>
      <c r="B3" s="445" t="s">
        <v>1506</v>
      </c>
      <c r="C3" s="445"/>
      <c r="D3" s="445"/>
      <c r="E3" s="445">
        <v>3.39</v>
      </c>
      <c r="F3" s="445">
        <v>5.22</v>
      </c>
      <c r="G3" s="445"/>
      <c r="H3" s="445">
        <f>E3</f>
        <v>3.39</v>
      </c>
      <c r="I3" s="445">
        <v>0.23</v>
      </c>
      <c r="J3" s="445">
        <v>0.42499999999999999</v>
      </c>
      <c r="K3" s="445">
        <f>ROUND(J3*I3*H3,2)</f>
        <v>0.33</v>
      </c>
      <c r="L3" s="445" t="s">
        <v>1489</v>
      </c>
      <c r="M3" s="225" t="s">
        <v>1427</v>
      </c>
      <c r="N3" s="225">
        <v>3</v>
      </c>
      <c r="O3" s="445">
        <f>E3</f>
        <v>3.39</v>
      </c>
      <c r="P3" s="445">
        <f>0.23-1*0.025+0.6</f>
        <v>0.80499999999999994</v>
      </c>
      <c r="Q3" s="445">
        <f>ROUND(2/3*J3,2)</f>
        <v>0.28000000000000003</v>
      </c>
      <c r="R3" s="445"/>
      <c r="S3" s="608">
        <f>SUM(O3:R3)</f>
        <v>4.4750000000000005</v>
      </c>
      <c r="T3" s="445">
        <f>S3*N3</f>
        <v>13.425000000000001</v>
      </c>
      <c r="U3" s="445">
        <f>T3</f>
        <v>13.425000000000001</v>
      </c>
      <c r="V3" s="445"/>
      <c r="W3" s="445"/>
      <c r="X3" s="445"/>
    </row>
    <row r="4" spans="1:24">
      <c r="A4" s="225"/>
      <c r="B4" s="445"/>
      <c r="C4" s="445"/>
      <c r="D4" s="445"/>
      <c r="E4" s="445"/>
      <c r="F4" s="445"/>
      <c r="G4" s="445"/>
      <c r="H4" s="445">
        <f>F3+0.23</f>
        <v>5.45</v>
      </c>
      <c r="I4" s="445">
        <v>0.23</v>
      </c>
      <c r="J4" s="445">
        <v>0.505</v>
      </c>
      <c r="K4" s="445">
        <f>ROUND(J4*I4*H4,2)</f>
        <v>0.63</v>
      </c>
      <c r="L4" s="445" t="s">
        <v>1489</v>
      </c>
      <c r="M4" s="225" t="s">
        <v>1494</v>
      </c>
      <c r="N4" s="225">
        <v>2</v>
      </c>
      <c r="O4" s="445">
        <v>5.22</v>
      </c>
      <c r="P4" s="445">
        <f>0.23-2*0.025</f>
        <v>0.18</v>
      </c>
      <c r="Q4" s="445">
        <f>ROUND(2/3*J4,2)</f>
        <v>0.34</v>
      </c>
      <c r="R4" s="445">
        <f>ROUND(2/3*J4*1,2)</f>
        <v>0.34</v>
      </c>
      <c r="S4" s="608">
        <f>SUM(O4:R4)</f>
        <v>6.0799999999999992</v>
      </c>
      <c r="T4" s="608">
        <f t="shared" ref="T4:T11" si="0">S4*N4</f>
        <v>12.159999999999998</v>
      </c>
      <c r="U4" s="445"/>
      <c r="V4" s="445"/>
      <c r="W4" s="445"/>
      <c r="X4" s="608">
        <f>T4</f>
        <v>12.159999999999998</v>
      </c>
    </row>
    <row r="5" spans="1:24">
      <c r="A5" s="225"/>
      <c r="B5" s="445"/>
      <c r="C5" s="445"/>
      <c r="D5" s="445"/>
      <c r="E5" s="445"/>
      <c r="F5" s="445"/>
      <c r="G5" s="445"/>
      <c r="H5" s="445"/>
      <c r="I5" s="445"/>
      <c r="J5" s="445"/>
      <c r="K5" s="445"/>
      <c r="L5" s="445" t="s">
        <v>1490</v>
      </c>
      <c r="M5" s="225" t="s">
        <v>1429</v>
      </c>
      <c r="N5" s="225">
        <v>2</v>
      </c>
      <c r="O5" s="445">
        <f>E3+F3</f>
        <v>8.61</v>
      </c>
      <c r="P5" s="445">
        <f>0.23-2*0.025</f>
        <v>0.18</v>
      </c>
      <c r="Q5" s="445">
        <f>ROUND(2/3*J3,2)</f>
        <v>0.28000000000000003</v>
      </c>
      <c r="R5" s="445">
        <f>ROUND(2/3*J4,2)</f>
        <v>0.34</v>
      </c>
      <c r="S5" s="608">
        <f>SUM(O5:R5)</f>
        <v>9.4099999999999984</v>
      </c>
      <c r="T5" s="445">
        <f t="shared" si="0"/>
        <v>18.819999999999997</v>
      </c>
      <c r="U5" s="445"/>
      <c r="V5" s="445"/>
      <c r="W5" s="445">
        <f>T5</f>
        <v>18.819999999999997</v>
      </c>
      <c r="X5" s="445"/>
    </row>
    <row r="6" spans="1:24">
      <c r="A6" s="225"/>
      <c r="B6" s="445"/>
      <c r="C6" s="445"/>
      <c r="D6" s="445"/>
      <c r="E6" s="445"/>
      <c r="F6" s="445"/>
      <c r="G6" s="445"/>
      <c r="H6" s="445"/>
      <c r="I6" s="445"/>
      <c r="J6" s="445"/>
      <c r="K6" s="445"/>
      <c r="L6" s="445" t="s">
        <v>1507</v>
      </c>
      <c r="M6" s="225" t="s">
        <v>1494</v>
      </c>
      <c r="N6" s="225">
        <v>1</v>
      </c>
      <c r="O6" s="445">
        <f>1.04+1.5</f>
        <v>2.54</v>
      </c>
      <c r="P6" s="445"/>
      <c r="Q6" s="445"/>
      <c r="R6" s="445"/>
      <c r="S6" s="608">
        <f>SUM(O6:R6)</f>
        <v>2.54</v>
      </c>
      <c r="T6" s="445">
        <f t="shared" si="0"/>
        <v>2.54</v>
      </c>
      <c r="V6" s="445"/>
      <c r="X6" s="445">
        <f>T6</f>
        <v>2.54</v>
      </c>
    </row>
    <row r="7" spans="1:24">
      <c r="A7" s="225"/>
      <c r="B7" s="445"/>
      <c r="C7" s="445"/>
      <c r="D7" s="445"/>
      <c r="E7" s="445"/>
      <c r="F7" s="445"/>
      <c r="G7" s="445"/>
      <c r="H7" s="445"/>
      <c r="I7" s="445"/>
      <c r="J7" s="445"/>
      <c r="K7" s="445"/>
      <c r="L7" s="445" t="s">
        <v>1508</v>
      </c>
      <c r="M7" s="225" t="s">
        <v>1429</v>
      </c>
      <c r="N7" s="225">
        <v>1</v>
      </c>
      <c r="O7" s="608">
        <f>ROUND(0.25*5.22,2)</f>
        <v>1.31</v>
      </c>
      <c r="P7" s="445">
        <f>0.115-1*0.025</f>
        <v>0.09</v>
      </c>
      <c r="Q7" s="445"/>
      <c r="R7" s="445">
        <f>R5</f>
        <v>0.34</v>
      </c>
      <c r="S7" s="608">
        <f>SUM(O7:R7)</f>
        <v>1.7400000000000002</v>
      </c>
      <c r="T7" s="445">
        <f t="shared" si="0"/>
        <v>1.7400000000000002</v>
      </c>
      <c r="U7" s="445"/>
      <c r="V7" s="445"/>
      <c r="W7" s="445">
        <f>T7</f>
        <v>1.7400000000000002</v>
      </c>
      <c r="X7" s="445"/>
    </row>
    <row r="8" spans="1:24">
      <c r="A8" s="225"/>
      <c r="B8" s="445"/>
      <c r="C8" s="445"/>
      <c r="D8" s="445"/>
      <c r="E8" s="445"/>
      <c r="F8" s="445"/>
      <c r="G8" s="445"/>
      <c r="H8" s="445"/>
      <c r="I8" s="445"/>
      <c r="J8" s="445"/>
      <c r="K8" s="445"/>
      <c r="L8" s="657" t="s">
        <v>1491</v>
      </c>
      <c r="M8" s="225" t="s">
        <v>1428</v>
      </c>
      <c r="N8" s="225">
        <f>ROUND(0.75/0.1+1,0)*2</f>
        <v>18</v>
      </c>
      <c r="O8" s="445"/>
      <c r="P8" s="445"/>
      <c r="Q8" s="445"/>
      <c r="R8" s="445"/>
      <c r="S8" s="608">
        <f>2*(0.23+0.425)-4*0.025</f>
        <v>1.21</v>
      </c>
      <c r="T8" s="445">
        <f t="shared" si="0"/>
        <v>21.78</v>
      </c>
      <c r="U8" s="445"/>
      <c r="V8" s="445">
        <f>T8</f>
        <v>21.78</v>
      </c>
      <c r="W8" s="445"/>
      <c r="X8" s="445"/>
    </row>
    <row r="9" spans="1:24">
      <c r="A9" s="225"/>
      <c r="B9" s="445"/>
      <c r="C9" s="445"/>
      <c r="D9" s="445"/>
      <c r="E9" s="445"/>
      <c r="F9" s="445"/>
      <c r="G9" s="445"/>
      <c r="H9" s="445"/>
      <c r="I9" s="445"/>
      <c r="J9" s="445"/>
      <c r="K9" s="445"/>
      <c r="L9" s="657" t="s">
        <v>1491</v>
      </c>
      <c r="M9" s="225" t="s">
        <v>1428</v>
      </c>
      <c r="N9" s="225">
        <f>ROUND(0.94/0.1+1,0)*2</f>
        <v>20</v>
      </c>
      <c r="O9" s="445"/>
      <c r="P9" s="445"/>
      <c r="Q9" s="445"/>
      <c r="R9" s="445"/>
      <c r="S9" s="608">
        <f>2*(0.23+0.505)-4*0.025</f>
        <v>1.3699999999999999</v>
      </c>
      <c r="T9" s="445">
        <f t="shared" si="0"/>
        <v>27.4</v>
      </c>
      <c r="U9" s="445"/>
      <c r="V9" s="445">
        <f>T9</f>
        <v>27.4</v>
      </c>
      <c r="W9" s="445"/>
      <c r="X9" s="445"/>
    </row>
    <row r="10" spans="1:24">
      <c r="A10" s="225"/>
      <c r="B10" s="445"/>
      <c r="C10" s="445"/>
      <c r="D10" s="445"/>
      <c r="E10" s="445"/>
      <c r="F10" s="445"/>
      <c r="G10" s="445"/>
      <c r="H10" s="445"/>
      <c r="I10" s="445"/>
      <c r="J10" s="445"/>
      <c r="K10" s="445"/>
      <c r="L10" s="657" t="s">
        <v>1492</v>
      </c>
      <c r="M10" s="225" t="s">
        <v>1428</v>
      </c>
      <c r="N10" s="225">
        <f>ROUND((3.39+0.23-2*0.38-2*0.75)/0.14+1,0)</f>
        <v>11</v>
      </c>
      <c r="O10" s="445"/>
      <c r="P10" s="445"/>
      <c r="Q10" s="445"/>
      <c r="R10" s="445"/>
      <c r="S10" s="608">
        <f>2*(0.23+0.425)-4*0.025</f>
        <v>1.21</v>
      </c>
      <c r="T10" s="445">
        <f t="shared" si="0"/>
        <v>13.309999999999999</v>
      </c>
      <c r="U10" s="445"/>
      <c r="V10" s="445">
        <f>T10</f>
        <v>13.309999999999999</v>
      </c>
      <c r="W10" s="445"/>
      <c r="X10" s="445"/>
    </row>
    <row r="11" spans="1:24">
      <c r="A11" s="225"/>
      <c r="B11" s="445"/>
      <c r="C11" s="445"/>
      <c r="D11" s="445"/>
      <c r="E11" s="445"/>
      <c r="F11" s="445"/>
      <c r="G11" s="445"/>
      <c r="H11" s="445"/>
      <c r="I11" s="445"/>
      <c r="J11" s="445"/>
      <c r="K11" s="445"/>
      <c r="L11" s="657" t="s">
        <v>1492</v>
      </c>
      <c r="M11" s="225" t="s">
        <v>1428</v>
      </c>
      <c r="N11" s="225">
        <f>ROUND((5.22+0.23-2*0.38-2*0.94)/0.16+1,0)</f>
        <v>19</v>
      </c>
      <c r="O11" s="445"/>
      <c r="P11" s="445"/>
      <c r="Q11" s="445"/>
      <c r="R11" s="445"/>
      <c r="S11" s="608">
        <f>2*(0.23+0.505)-4*0.025</f>
        <v>1.3699999999999999</v>
      </c>
      <c r="T11" s="445">
        <f t="shared" si="0"/>
        <v>26.029999999999998</v>
      </c>
      <c r="U11" s="445"/>
      <c r="V11" s="445">
        <f>T11</f>
        <v>26.029999999999998</v>
      </c>
      <c r="W11" s="445"/>
      <c r="X11" s="445"/>
    </row>
    <row r="12" spans="1:24">
      <c r="A12" s="225">
        <v>2</v>
      </c>
      <c r="B12" s="445" t="s">
        <v>1509</v>
      </c>
      <c r="C12" s="445"/>
      <c r="D12" s="445"/>
      <c r="E12" s="445">
        <v>3.39</v>
      </c>
      <c r="F12" s="445">
        <v>5.22</v>
      </c>
      <c r="G12" s="445"/>
      <c r="H12" s="445">
        <f>E12</f>
        <v>3.39</v>
      </c>
      <c r="I12" s="445">
        <v>0.23</v>
      </c>
      <c r="J12" s="445">
        <v>0.42499999999999999</v>
      </c>
      <c r="K12" s="445">
        <f>ROUND(J12*I12*H12,2)</f>
        <v>0.33</v>
      </c>
      <c r="L12" s="445" t="s">
        <v>1489</v>
      </c>
      <c r="M12" s="225" t="s">
        <v>1427</v>
      </c>
      <c r="N12" s="225">
        <v>3</v>
      </c>
      <c r="O12" s="445">
        <f>E12</f>
        <v>3.39</v>
      </c>
      <c r="P12" s="445">
        <f>0.23-1*0.025+0.6</f>
        <v>0.80499999999999994</v>
      </c>
      <c r="Q12" s="445">
        <f>ROUND(2/3*J12,2)</f>
        <v>0.28000000000000003</v>
      </c>
      <c r="R12" s="445"/>
      <c r="S12" s="608">
        <f>SUM(O12:R12)</f>
        <v>4.4750000000000005</v>
      </c>
      <c r="T12" s="445">
        <f>S12*N12</f>
        <v>13.425000000000001</v>
      </c>
      <c r="U12" s="445">
        <f>T12</f>
        <v>13.425000000000001</v>
      </c>
      <c r="V12" s="445"/>
      <c r="W12" s="445"/>
      <c r="X12" s="445"/>
    </row>
    <row r="13" spans="1:24">
      <c r="A13" s="225"/>
      <c r="B13" s="445"/>
      <c r="C13" s="445"/>
      <c r="D13" s="445"/>
      <c r="E13" s="445"/>
      <c r="F13" s="445"/>
      <c r="G13" s="445"/>
      <c r="H13" s="445">
        <f>F12+0.23</f>
        <v>5.45</v>
      </c>
      <c r="I13" s="445">
        <v>0.23</v>
      </c>
      <c r="J13" s="445">
        <v>0.505</v>
      </c>
      <c r="K13" s="445">
        <f>ROUND(J13*I13*H13,2)</f>
        <v>0.63</v>
      </c>
      <c r="L13" s="445" t="s">
        <v>1489</v>
      </c>
      <c r="M13" s="225" t="s">
        <v>1494</v>
      </c>
      <c r="N13" s="225">
        <v>2</v>
      </c>
      <c r="O13" s="445">
        <v>5.22</v>
      </c>
      <c r="P13" s="445">
        <f>0.23-2*0.025</f>
        <v>0.18</v>
      </c>
      <c r="Q13" s="445">
        <f>ROUND(2/3*J13,2)</f>
        <v>0.34</v>
      </c>
      <c r="R13" s="445">
        <f>ROUND(2/3*J13*1,2)</f>
        <v>0.34</v>
      </c>
      <c r="S13" s="608">
        <f>SUM(O13:R13)</f>
        <v>6.0799999999999992</v>
      </c>
      <c r="T13" s="608">
        <f t="shared" ref="T13:T20" si="1">S13*N13</f>
        <v>12.159999999999998</v>
      </c>
      <c r="U13" s="445"/>
      <c r="V13" s="445"/>
      <c r="W13" s="445"/>
      <c r="X13" s="608">
        <f>T13</f>
        <v>12.159999999999998</v>
      </c>
    </row>
    <row r="14" spans="1:24">
      <c r="A14" s="225"/>
      <c r="B14" s="445"/>
      <c r="C14" s="445"/>
      <c r="D14" s="445"/>
      <c r="E14" s="445"/>
      <c r="F14" s="445"/>
      <c r="G14" s="445"/>
      <c r="H14" s="445"/>
      <c r="I14" s="445"/>
      <c r="J14" s="445"/>
      <c r="K14" s="445"/>
      <c r="L14" s="445" t="s">
        <v>1490</v>
      </c>
      <c r="M14" s="225" t="s">
        <v>1429</v>
      </c>
      <c r="N14" s="225">
        <v>2</v>
      </c>
      <c r="O14" s="445">
        <f>E12+F12</f>
        <v>8.61</v>
      </c>
      <c r="P14" s="445">
        <f>0.23-2*0.025</f>
        <v>0.18</v>
      </c>
      <c r="Q14" s="445">
        <f>ROUND(2/3*J12,2)</f>
        <v>0.28000000000000003</v>
      </c>
      <c r="R14" s="445">
        <f>ROUND(2/3*J13,2)</f>
        <v>0.34</v>
      </c>
      <c r="S14" s="608">
        <f>SUM(O14:R14)</f>
        <v>9.4099999999999984</v>
      </c>
      <c r="T14" s="445">
        <f t="shared" si="1"/>
        <v>18.819999999999997</v>
      </c>
      <c r="U14" s="445"/>
      <c r="V14" s="445"/>
      <c r="W14" s="445">
        <f>T14</f>
        <v>18.819999999999997</v>
      </c>
      <c r="X14" s="445"/>
    </row>
    <row r="15" spans="1:24">
      <c r="A15" s="225"/>
      <c r="B15" s="445"/>
      <c r="C15" s="445"/>
      <c r="D15" s="445"/>
      <c r="E15" s="445"/>
      <c r="F15" s="445"/>
      <c r="G15" s="445"/>
      <c r="H15" s="445"/>
      <c r="I15" s="445"/>
      <c r="J15" s="445"/>
      <c r="K15" s="445"/>
      <c r="L15" s="445" t="s">
        <v>1507</v>
      </c>
      <c r="M15" s="225" t="s">
        <v>1429</v>
      </c>
      <c r="N15" s="225">
        <v>2</v>
      </c>
      <c r="O15" s="445">
        <f>1.04+1.5</f>
        <v>2.54</v>
      </c>
      <c r="P15" s="445"/>
      <c r="Q15" s="445"/>
      <c r="R15" s="445"/>
      <c r="S15" s="608">
        <f>SUM(O15:R15)</f>
        <v>2.54</v>
      </c>
      <c r="T15" s="445">
        <f t="shared" si="1"/>
        <v>5.08</v>
      </c>
      <c r="U15" s="445"/>
      <c r="V15" s="445"/>
      <c r="W15" s="445">
        <f>T15</f>
        <v>5.08</v>
      </c>
      <c r="X15" s="445"/>
    </row>
    <row r="16" spans="1:24">
      <c r="A16" s="225"/>
      <c r="B16" s="445"/>
      <c r="C16" s="445"/>
      <c r="D16" s="445"/>
      <c r="E16" s="445"/>
      <c r="F16" s="445"/>
      <c r="G16" s="445"/>
      <c r="H16" s="445"/>
      <c r="I16" s="445"/>
      <c r="J16" s="445"/>
      <c r="K16" s="445"/>
      <c r="L16" s="445" t="s">
        <v>1508</v>
      </c>
      <c r="M16" s="225" t="s">
        <v>1494</v>
      </c>
      <c r="N16" s="225">
        <v>1</v>
      </c>
      <c r="O16" s="608">
        <f>ROUND(0.25*5.22,2)</f>
        <v>1.31</v>
      </c>
      <c r="P16" s="445">
        <f>0.115-1*0.025</f>
        <v>0.09</v>
      </c>
      <c r="Q16" s="445"/>
      <c r="R16" s="445">
        <f>R14</f>
        <v>0.34</v>
      </c>
      <c r="S16" s="608">
        <f>SUM(O16:R16)</f>
        <v>1.7400000000000002</v>
      </c>
      <c r="T16" s="445">
        <f t="shared" si="1"/>
        <v>1.7400000000000002</v>
      </c>
      <c r="V16" s="445"/>
      <c r="X16" s="445">
        <f>T16</f>
        <v>1.7400000000000002</v>
      </c>
    </row>
    <row r="17" spans="1:24">
      <c r="A17" s="225"/>
      <c r="B17" s="445"/>
      <c r="C17" s="445"/>
      <c r="D17" s="445"/>
      <c r="E17" s="445"/>
      <c r="F17" s="445"/>
      <c r="G17" s="445"/>
      <c r="H17" s="445"/>
      <c r="I17" s="445"/>
      <c r="J17" s="445"/>
      <c r="K17" s="445"/>
      <c r="L17" s="657" t="s">
        <v>1491</v>
      </c>
      <c r="M17" s="225" t="s">
        <v>1428</v>
      </c>
      <c r="N17" s="225">
        <f>ROUND(0.75/0.1+1,0)*2</f>
        <v>18</v>
      </c>
      <c r="O17" s="445"/>
      <c r="P17" s="445"/>
      <c r="Q17" s="445"/>
      <c r="R17" s="445"/>
      <c r="S17" s="608">
        <f>2*(0.23+0.425)-4*0.025</f>
        <v>1.21</v>
      </c>
      <c r="T17" s="445">
        <f t="shared" si="1"/>
        <v>21.78</v>
      </c>
      <c r="U17" s="445"/>
      <c r="V17" s="445">
        <f>T17</f>
        <v>21.78</v>
      </c>
      <c r="W17" s="445"/>
      <c r="X17" s="445"/>
    </row>
    <row r="18" spans="1:24">
      <c r="A18" s="225"/>
      <c r="B18" s="445"/>
      <c r="C18" s="445"/>
      <c r="D18" s="445"/>
      <c r="E18" s="445"/>
      <c r="F18" s="445"/>
      <c r="G18" s="445"/>
      <c r="H18" s="445"/>
      <c r="I18" s="445"/>
      <c r="J18" s="445"/>
      <c r="K18" s="445"/>
      <c r="L18" s="657" t="s">
        <v>1491</v>
      </c>
      <c r="M18" s="225" t="s">
        <v>1428</v>
      </c>
      <c r="N18" s="225">
        <f>ROUND(0.96/0.1+1,0)*2</f>
        <v>22</v>
      </c>
      <c r="O18" s="445"/>
      <c r="P18" s="445"/>
      <c r="Q18" s="445"/>
      <c r="R18" s="445"/>
      <c r="S18" s="608">
        <f>2*(0.23+0.505)-4*0.025</f>
        <v>1.3699999999999999</v>
      </c>
      <c r="T18" s="445">
        <f t="shared" si="1"/>
        <v>30.139999999999997</v>
      </c>
      <c r="U18" s="445"/>
      <c r="V18" s="445">
        <f>T18</f>
        <v>30.139999999999997</v>
      </c>
      <c r="W18" s="445"/>
      <c r="X18" s="445"/>
    </row>
    <row r="19" spans="1:24">
      <c r="A19" s="225"/>
      <c r="B19" s="445"/>
      <c r="C19" s="445"/>
      <c r="D19" s="445"/>
      <c r="E19" s="445"/>
      <c r="F19" s="445"/>
      <c r="G19" s="445"/>
      <c r="H19" s="445"/>
      <c r="I19" s="445"/>
      <c r="J19" s="445"/>
      <c r="K19" s="445"/>
      <c r="L19" s="657" t="s">
        <v>1492</v>
      </c>
      <c r="M19" s="225" t="s">
        <v>1428</v>
      </c>
      <c r="N19" s="225">
        <f>ROUND((3.39+0.23-2*0.38-2*0.75)/0.14+1,0)</f>
        <v>11</v>
      </c>
      <c r="O19" s="445"/>
      <c r="P19" s="445"/>
      <c r="Q19" s="445"/>
      <c r="R19" s="445"/>
      <c r="S19" s="608">
        <f>2*(0.23+0.425)-4*0.025</f>
        <v>1.21</v>
      </c>
      <c r="T19" s="445">
        <f t="shared" si="1"/>
        <v>13.309999999999999</v>
      </c>
      <c r="U19" s="445"/>
      <c r="V19" s="445">
        <f>T19</f>
        <v>13.309999999999999</v>
      </c>
      <c r="W19" s="445"/>
      <c r="X19" s="445"/>
    </row>
    <row r="20" spans="1:24">
      <c r="A20" s="225"/>
      <c r="B20" s="445"/>
      <c r="C20" s="445"/>
      <c r="D20" s="445"/>
      <c r="E20" s="445"/>
      <c r="F20" s="445"/>
      <c r="G20" s="445"/>
      <c r="H20" s="445"/>
      <c r="I20" s="445"/>
      <c r="J20" s="445"/>
      <c r="K20" s="445"/>
      <c r="L20" s="657" t="s">
        <v>1492</v>
      </c>
      <c r="M20" s="225" t="s">
        <v>1428</v>
      </c>
      <c r="N20" s="225">
        <f>ROUND((5.22+0.23-2*0.38-2*0.96)/0.16+1,0)</f>
        <v>18</v>
      </c>
      <c r="O20" s="445"/>
      <c r="P20" s="445"/>
      <c r="Q20" s="445"/>
      <c r="R20" s="445"/>
      <c r="S20" s="608">
        <f>2*(0.23+0.505)-4*0.025</f>
        <v>1.3699999999999999</v>
      </c>
      <c r="T20" s="445">
        <f t="shared" si="1"/>
        <v>24.659999999999997</v>
      </c>
      <c r="U20" s="445"/>
      <c r="V20" s="445">
        <f>T20</f>
        <v>24.659999999999997</v>
      </c>
      <c r="W20" s="445"/>
      <c r="X20" s="445"/>
    </row>
    <row r="21" spans="1:24">
      <c r="A21" s="225">
        <v>3</v>
      </c>
      <c r="B21" s="445" t="s">
        <v>1510</v>
      </c>
      <c r="C21" s="445"/>
      <c r="D21" s="445"/>
      <c r="E21" s="445">
        <v>3.39</v>
      </c>
      <c r="F21" s="445"/>
      <c r="G21" s="445"/>
      <c r="H21" s="445">
        <f>E21</f>
        <v>3.39</v>
      </c>
      <c r="I21" s="445">
        <v>0.23</v>
      </c>
      <c r="J21" s="445">
        <v>0.42499999999999999</v>
      </c>
      <c r="K21" s="445">
        <f>ROUND(J21*I21*H21,2)</f>
        <v>0.33</v>
      </c>
      <c r="L21" s="445" t="s">
        <v>1489</v>
      </c>
      <c r="M21" s="225" t="s">
        <v>1429</v>
      </c>
      <c r="N21" s="225">
        <v>2</v>
      </c>
      <c r="O21" s="445">
        <f>O3</f>
        <v>3.39</v>
      </c>
      <c r="P21" s="445">
        <f>0.23-2*0.025</f>
        <v>0.18</v>
      </c>
      <c r="Q21" s="445">
        <f>ROUND(2/3*J21,2)</f>
        <v>0.28000000000000003</v>
      </c>
      <c r="R21" s="445">
        <f>ROUND(2/3*J21,2)</f>
        <v>0.28000000000000003</v>
      </c>
      <c r="S21" s="608">
        <f>SUM(O21:R21)</f>
        <v>4.1300000000000008</v>
      </c>
      <c r="T21" s="445">
        <f>S21*N21</f>
        <v>8.2600000000000016</v>
      </c>
      <c r="U21" s="445"/>
      <c r="V21" s="445"/>
      <c r="W21" s="445">
        <f>T21</f>
        <v>8.2600000000000016</v>
      </c>
      <c r="X21" s="445"/>
    </row>
    <row r="22" spans="1:24">
      <c r="A22" s="225"/>
      <c r="B22" s="445"/>
      <c r="C22" s="445"/>
      <c r="D22" s="445"/>
      <c r="E22" s="445"/>
      <c r="F22" s="445"/>
      <c r="G22" s="445" t="s">
        <v>154</v>
      </c>
      <c r="H22" s="445"/>
      <c r="I22" s="445"/>
      <c r="J22" s="445"/>
      <c r="K22" s="445"/>
      <c r="L22" s="445" t="s">
        <v>1490</v>
      </c>
      <c r="M22" s="225" t="s">
        <v>1427</v>
      </c>
      <c r="N22" s="225">
        <v>3</v>
      </c>
      <c r="O22" s="445">
        <f>O21</f>
        <v>3.39</v>
      </c>
      <c r="P22" s="445">
        <f>0.23-2*0.025</f>
        <v>0.18</v>
      </c>
      <c r="Q22" s="445">
        <f>ROUND(2/3*J21,2)</f>
        <v>0.28000000000000003</v>
      </c>
      <c r="R22" s="445">
        <f>ROUND(2/3*J21*1,2)</f>
        <v>0.28000000000000003</v>
      </c>
      <c r="S22" s="608">
        <f>SUM(O22:R22)</f>
        <v>4.1300000000000008</v>
      </c>
      <c r="T22" s="445">
        <f>S22*N22</f>
        <v>12.390000000000002</v>
      </c>
      <c r="U22">
        <f>T22</f>
        <v>12.390000000000002</v>
      </c>
      <c r="V22" s="445"/>
      <c r="X22" s="445"/>
    </row>
    <row r="23" spans="1:24">
      <c r="A23" s="225"/>
      <c r="B23" s="445"/>
      <c r="C23" s="445"/>
      <c r="D23" s="445"/>
      <c r="E23" s="445"/>
      <c r="F23" s="445"/>
      <c r="G23" s="445"/>
      <c r="H23" s="445"/>
      <c r="I23" s="445"/>
      <c r="J23" s="445"/>
      <c r="K23" s="445"/>
      <c r="L23" s="657" t="s">
        <v>1491</v>
      </c>
      <c r="M23" s="225" t="s">
        <v>1428</v>
      </c>
      <c r="N23" s="225">
        <f>ROUND(0.75/0.1+1,0)*2</f>
        <v>18</v>
      </c>
      <c r="O23" s="445"/>
      <c r="P23" s="445"/>
      <c r="Q23" s="445"/>
      <c r="R23" s="445"/>
      <c r="S23" s="608">
        <f>2*(0.23+0.425)-4*0.025</f>
        <v>1.21</v>
      </c>
      <c r="T23" s="445">
        <f>S23*N23</f>
        <v>21.78</v>
      </c>
      <c r="U23" s="445"/>
      <c r="V23" s="445">
        <f>T23</f>
        <v>21.78</v>
      </c>
      <c r="W23" s="445"/>
      <c r="X23" s="445"/>
    </row>
    <row r="24" spans="1:24">
      <c r="A24" s="225"/>
      <c r="B24" s="445"/>
      <c r="C24" s="445"/>
      <c r="D24" s="445"/>
      <c r="E24" s="445"/>
      <c r="F24" s="445"/>
      <c r="G24" s="445"/>
      <c r="H24" s="445"/>
      <c r="I24" s="445"/>
      <c r="J24" s="445"/>
      <c r="K24" s="445"/>
      <c r="L24" s="657" t="s">
        <v>1492</v>
      </c>
      <c r="M24" s="225" t="s">
        <v>1428</v>
      </c>
      <c r="N24" s="225">
        <f>ROUND((H21+0.23-2*0.38-2*0.75)/0.14+1,0)</f>
        <v>11</v>
      </c>
      <c r="O24" s="445"/>
      <c r="P24" s="445"/>
      <c r="Q24" s="445"/>
      <c r="R24" s="445"/>
      <c r="S24" s="608">
        <f>2*(0.23+0.425)-4*0.025</f>
        <v>1.21</v>
      </c>
      <c r="T24" s="445">
        <f>S24*N24</f>
        <v>13.309999999999999</v>
      </c>
      <c r="U24" s="445"/>
      <c r="V24" s="445">
        <f>T24</f>
        <v>13.309999999999999</v>
      </c>
      <c r="W24" s="445"/>
      <c r="X24" s="445"/>
    </row>
    <row r="25" spans="1:24">
      <c r="A25" s="225">
        <v>4</v>
      </c>
      <c r="B25" s="445" t="s">
        <v>1511</v>
      </c>
      <c r="C25" s="445"/>
      <c r="D25" s="445"/>
      <c r="E25" s="445">
        <v>3.39</v>
      </c>
      <c r="F25" s="445">
        <v>5.22</v>
      </c>
      <c r="G25" s="445"/>
      <c r="H25" s="445">
        <f>E25</f>
        <v>3.39</v>
      </c>
      <c r="I25" s="445">
        <v>0.23</v>
      </c>
      <c r="J25" s="445">
        <v>0.42499999999999999</v>
      </c>
      <c r="K25" s="445">
        <f>ROUND(J25*I25*H25,2)</f>
        <v>0.33</v>
      </c>
      <c r="L25" s="445" t="s">
        <v>1489</v>
      </c>
      <c r="M25" s="225" t="s">
        <v>1427</v>
      </c>
      <c r="N25" s="225">
        <v>3</v>
      </c>
      <c r="O25" s="445">
        <f>E25</f>
        <v>3.39</v>
      </c>
      <c r="P25" s="445">
        <f>0.23-1*0.025+0.6</f>
        <v>0.80499999999999994</v>
      </c>
      <c r="Q25" s="445">
        <f>ROUND(2/3*J25,2)</f>
        <v>0.28000000000000003</v>
      </c>
      <c r="R25" s="445"/>
      <c r="S25" s="608">
        <f>SUM(O25:R25)</f>
        <v>4.4750000000000005</v>
      </c>
      <c r="T25" s="445">
        <f>S25*N25</f>
        <v>13.425000000000001</v>
      </c>
      <c r="U25" s="445">
        <f>T25</f>
        <v>13.425000000000001</v>
      </c>
      <c r="V25" s="445"/>
      <c r="W25" s="445"/>
      <c r="X25" s="445"/>
    </row>
    <row r="26" spans="1:24">
      <c r="A26" s="225"/>
      <c r="B26" s="445"/>
      <c r="C26" s="445"/>
      <c r="D26" s="445"/>
      <c r="E26" s="445"/>
      <c r="F26" s="445"/>
      <c r="G26" s="445"/>
      <c r="H26" s="445">
        <f>F25+0.23</f>
        <v>5.45</v>
      </c>
      <c r="I26" s="445">
        <v>0.23</v>
      </c>
      <c r="J26" s="445">
        <v>0.505</v>
      </c>
      <c r="K26" s="445">
        <f>ROUND(J26*I26*H26,2)</f>
        <v>0.63</v>
      </c>
      <c r="L26" s="445" t="s">
        <v>1489</v>
      </c>
      <c r="M26" s="225" t="s">
        <v>1494</v>
      </c>
      <c r="N26" s="225">
        <v>3</v>
      </c>
      <c r="O26" s="445">
        <v>5.22</v>
      </c>
      <c r="P26" s="445">
        <f>0.23-2*0.025</f>
        <v>0.18</v>
      </c>
      <c r="Q26" s="445">
        <f>ROUND(2/3*J26,2)</f>
        <v>0.34</v>
      </c>
      <c r="R26" s="445">
        <f>ROUND(2/3*J26*1,2)</f>
        <v>0.34</v>
      </c>
      <c r="S26" s="608">
        <f>SUM(O26:R26)</f>
        <v>6.0799999999999992</v>
      </c>
      <c r="T26" s="608">
        <f t="shared" ref="T26:T32" si="2">S26*N26</f>
        <v>18.239999999999998</v>
      </c>
      <c r="U26" s="445"/>
      <c r="V26" s="445"/>
      <c r="W26" s="445"/>
      <c r="X26" s="608">
        <f>T26</f>
        <v>18.239999999999998</v>
      </c>
    </row>
    <row r="27" spans="1:24">
      <c r="A27" s="225"/>
      <c r="B27" s="445"/>
      <c r="C27" s="445"/>
      <c r="D27" s="445"/>
      <c r="E27" s="445"/>
      <c r="F27" s="445"/>
      <c r="G27" s="445"/>
      <c r="H27" s="445"/>
      <c r="I27" s="445"/>
      <c r="J27" s="445"/>
      <c r="K27" s="445"/>
      <c r="L27" s="445" t="s">
        <v>1490</v>
      </c>
      <c r="M27" s="225" t="s">
        <v>1429</v>
      </c>
      <c r="N27" s="225">
        <v>2</v>
      </c>
      <c r="O27" s="445">
        <f>E25+F25</f>
        <v>8.61</v>
      </c>
      <c r="P27" s="445">
        <f>0.23-2*0.025</f>
        <v>0.18</v>
      </c>
      <c r="Q27" s="445">
        <f>ROUND(2/3*J25,2)</f>
        <v>0.28000000000000003</v>
      </c>
      <c r="R27" s="445">
        <f>ROUND(2/3*J26,2)</f>
        <v>0.34</v>
      </c>
      <c r="S27" s="608">
        <f>SUM(O27:R27)</f>
        <v>9.4099999999999984</v>
      </c>
      <c r="T27" s="445">
        <f t="shared" si="2"/>
        <v>18.819999999999997</v>
      </c>
      <c r="U27" s="445"/>
      <c r="V27" s="445"/>
      <c r="W27" s="445">
        <f>T27</f>
        <v>18.819999999999997</v>
      </c>
      <c r="X27" s="445"/>
    </row>
    <row r="28" spans="1:24">
      <c r="A28" s="225"/>
      <c r="B28" s="445"/>
      <c r="C28" s="445"/>
      <c r="D28" s="445"/>
      <c r="E28" s="445"/>
      <c r="F28" s="445"/>
      <c r="G28" s="445"/>
      <c r="H28" s="445"/>
      <c r="I28" s="445"/>
      <c r="J28" s="445"/>
      <c r="K28" s="445"/>
      <c r="L28" s="445" t="s">
        <v>1507</v>
      </c>
      <c r="M28" s="225" t="s">
        <v>1494</v>
      </c>
      <c r="N28" s="225">
        <v>1</v>
      </c>
      <c r="O28" s="445">
        <f>1.04+1.5</f>
        <v>2.54</v>
      </c>
      <c r="P28" s="445"/>
      <c r="Q28" s="445"/>
      <c r="R28" s="445"/>
      <c r="S28" s="608">
        <f>SUM(O28:R28)</f>
        <v>2.54</v>
      </c>
      <c r="T28" s="445">
        <f t="shared" si="2"/>
        <v>2.54</v>
      </c>
      <c r="U28" s="445"/>
      <c r="V28" s="445"/>
      <c r="W28" s="445"/>
      <c r="X28" s="445">
        <f>T28</f>
        <v>2.54</v>
      </c>
    </row>
    <row r="29" spans="1:24">
      <c r="A29" s="225"/>
      <c r="B29" s="445"/>
      <c r="C29" s="445"/>
      <c r="D29" s="445"/>
      <c r="E29" s="445"/>
      <c r="F29" s="445"/>
      <c r="G29" s="445"/>
      <c r="H29" s="445"/>
      <c r="I29" s="445"/>
      <c r="J29" s="445"/>
      <c r="K29" s="445"/>
      <c r="L29" s="657" t="s">
        <v>1491</v>
      </c>
      <c r="M29" s="225" t="s">
        <v>1428</v>
      </c>
      <c r="N29" s="225">
        <f>ROUND(0.75/0.1+1,0)*2</f>
        <v>18</v>
      </c>
      <c r="O29" s="445"/>
      <c r="P29" s="445"/>
      <c r="Q29" s="445"/>
      <c r="R29" s="445"/>
      <c r="S29" s="608">
        <f>2*(0.23+0.425)-4*0.025</f>
        <v>1.21</v>
      </c>
      <c r="T29" s="445">
        <f t="shared" si="2"/>
        <v>21.78</v>
      </c>
      <c r="U29" s="445"/>
      <c r="V29" s="445">
        <f>T29</f>
        <v>21.78</v>
      </c>
      <c r="W29" s="445"/>
      <c r="X29" s="445"/>
    </row>
    <row r="30" spans="1:24">
      <c r="A30" s="225"/>
      <c r="B30" s="445"/>
      <c r="C30" s="445"/>
      <c r="D30" s="445"/>
      <c r="E30" s="445"/>
      <c r="F30" s="445"/>
      <c r="G30" s="445"/>
      <c r="H30" s="445"/>
      <c r="I30" s="445"/>
      <c r="J30" s="445"/>
      <c r="K30" s="445"/>
      <c r="L30" s="657" t="s">
        <v>1491</v>
      </c>
      <c r="M30" s="225" t="s">
        <v>1428</v>
      </c>
      <c r="N30" s="225">
        <f>ROUND(0.96/0.1+1,0)*2</f>
        <v>22</v>
      </c>
      <c r="O30" s="445"/>
      <c r="P30" s="445"/>
      <c r="Q30" s="445"/>
      <c r="R30" s="445"/>
      <c r="S30" s="608">
        <f>2*(0.23+0.505)-4*0.025</f>
        <v>1.3699999999999999</v>
      </c>
      <c r="T30" s="445">
        <f t="shared" si="2"/>
        <v>30.139999999999997</v>
      </c>
      <c r="U30" s="445"/>
      <c r="V30" s="445">
        <f>T30</f>
        <v>30.139999999999997</v>
      </c>
      <c r="W30" s="445"/>
      <c r="X30" s="445"/>
    </row>
    <row r="31" spans="1:24">
      <c r="A31" s="225"/>
      <c r="B31" s="445"/>
      <c r="C31" s="445"/>
      <c r="D31" s="445"/>
      <c r="E31" s="445"/>
      <c r="F31" s="445"/>
      <c r="G31" s="445"/>
      <c r="H31" s="445"/>
      <c r="I31" s="445"/>
      <c r="J31" s="445"/>
      <c r="K31" s="445"/>
      <c r="L31" s="657" t="s">
        <v>1492</v>
      </c>
      <c r="M31" s="225" t="s">
        <v>1428</v>
      </c>
      <c r="N31" s="225">
        <f>ROUND((3.39+0.23-2*0.38-2*0.75)/0.14+1,0)</f>
        <v>11</v>
      </c>
      <c r="O31" s="445"/>
      <c r="P31" s="445"/>
      <c r="Q31" s="445"/>
      <c r="R31" s="445"/>
      <c r="S31" s="608">
        <f>2*(0.23+0.425)-4*0.025</f>
        <v>1.21</v>
      </c>
      <c r="T31" s="445">
        <f t="shared" si="2"/>
        <v>13.309999999999999</v>
      </c>
      <c r="U31" s="445"/>
      <c r="V31" s="445">
        <f>T31</f>
        <v>13.309999999999999</v>
      </c>
      <c r="W31" s="445"/>
      <c r="X31" s="445"/>
    </row>
    <row r="32" spans="1:24">
      <c r="A32" s="225"/>
      <c r="B32" s="445"/>
      <c r="C32" s="445"/>
      <c r="D32" s="445"/>
      <c r="E32" s="445"/>
      <c r="F32" s="445"/>
      <c r="G32" s="445"/>
      <c r="H32" s="445"/>
      <c r="I32" s="445"/>
      <c r="J32" s="445"/>
      <c r="K32" s="445"/>
      <c r="L32" s="657" t="s">
        <v>1492</v>
      </c>
      <c r="M32" s="225" t="s">
        <v>1428</v>
      </c>
      <c r="N32" s="225">
        <f>ROUND((5.22+0.23-2*0.38-2*0.96)/0.16+1,0)</f>
        <v>18</v>
      </c>
      <c r="O32" s="445"/>
      <c r="P32" s="445"/>
      <c r="Q32" s="445"/>
      <c r="R32" s="445"/>
      <c r="S32" s="608">
        <f>2*(0.23+0.505)-4*0.025</f>
        <v>1.3699999999999999</v>
      </c>
      <c r="T32" s="445">
        <f t="shared" si="2"/>
        <v>24.659999999999997</v>
      </c>
      <c r="U32" s="445"/>
      <c r="V32" s="445">
        <f>T32</f>
        <v>24.659999999999997</v>
      </c>
      <c r="W32" s="445"/>
      <c r="X32" s="445"/>
    </row>
    <row r="33" spans="1:24">
      <c r="A33" s="225">
        <v>5</v>
      </c>
      <c r="B33" s="445" t="s">
        <v>1512</v>
      </c>
      <c r="C33" s="608"/>
      <c r="D33" s="608">
        <v>1</v>
      </c>
      <c r="E33" s="445">
        <v>3.39</v>
      </c>
      <c r="F33" s="445">
        <v>5.22</v>
      </c>
      <c r="G33" s="445"/>
      <c r="H33" s="445">
        <f>E33</f>
        <v>3.39</v>
      </c>
      <c r="I33" s="445">
        <v>0.23</v>
      </c>
      <c r="J33" s="445">
        <v>0.42499999999999999</v>
      </c>
      <c r="K33" s="445">
        <f>ROUND(J33*I33*H33,2)</f>
        <v>0.33</v>
      </c>
      <c r="L33" s="445" t="s">
        <v>1489</v>
      </c>
      <c r="M33" s="225" t="s">
        <v>1427</v>
      </c>
      <c r="N33" s="225">
        <v>3</v>
      </c>
      <c r="O33" s="445">
        <f>E33</f>
        <v>3.39</v>
      </c>
      <c r="P33" s="445">
        <f>1+0.23-1*0.025+0.6</f>
        <v>1.8050000000000002</v>
      </c>
      <c r="Q33" s="445">
        <f>ROUND(2/3*J33,2)</f>
        <v>0.28000000000000003</v>
      </c>
      <c r="R33" s="445"/>
      <c r="S33" s="608">
        <f>SUM(O33:R33)</f>
        <v>5.4750000000000005</v>
      </c>
      <c r="T33" s="445">
        <f>S33*N33</f>
        <v>16.425000000000001</v>
      </c>
      <c r="U33" s="445">
        <f>T33</f>
        <v>16.425000000000001</v>
      </c>
      <c r="V33" s="445"/>
      <c r="W33" s="445"/>
      <c r="X33" s="445"/>
    </row>
    <row r="34" spans="1:24">
      <c r="A34" s="225"/>
      <c r="B34" s="445"/>
      <c r="C34" s="445"/>
      <c r="D34" s="445"/>
      <c r="E34" s="445"/>
      <c r="F34" s="445"/>
      <c r="G34" s="445"/>
      <c r="H34" s="445">
        <f>F33+0.23</f>
        <v>5.45</v>
      </c>
      <c r="I34" s="445">
        <v>0.23</v>
      </c>
      <c r="J34" s="445">
        <v>0.505</v>
      </c>
      <c r="K34" s="445">
        <f>ROUND(J34*I34*H34,2)</f>
        <v>0.63</v>
      </c>
      <c r="L34" s="445" t="s">
        <v>1489</v>
      </c>
      <c r="M34" s="225" t="s">
        <v>1494</v>
      </c>
      <c r="N34" s="225">
        <v>3</v>
      </c>
      <c r="O34" s="445">
        <v>5.22</v>
      </c>
      <c r="P34" s="445">
        <f>0.23-2*0.025</f>
        <v>0.18</v>
      </c>
      <c r="Q34" s="445">
        <f>ROUND(2/3*J34,2)</f>
        <v>0.34</v>
      </c>
      <c r="R34" s="445">
        <f>ROUND(2/3*J34*1,2)</f>
        <v>0.34</v>
      </c>
      <c r="S34" s="608">
        <f>SUM(O34:R34)</f>
        <v>6.0799999999999992</v>
      </c>
      <c r="T34" s="608">
        <f t="shared" ref="T34:T42" si="3">S34*N34</f>
        <v>18.239999999999998</v>
      </c>
      <c r="U34" s="445"/>
      <c r="V34" s="445"/>
      <c r="W34" s="445"/>
      <c r="X34" s="608">
        <f>T34</f>
        <v>18.239999999999998</v>
      </c>
    </row>
    <row r="35" spans="1:24">
      <c r="A35" s="225"/>
      <c r="B35" s="445"/>
      <c r="C35" s="445"/>
      <c r="D35" s="445"/>
      <c r="E35" s="445"/>
      <c r="F35" s="445"/>
      <c r="G35" s="445"/>
      <c r="H35" s="445"/>
      <c r="I35" s="445"/>
      <c r="J35" s="445"/>
      <c r="K35" s="445"/>
      <c r="L35" s="445" t="s">
        <v>1490</v>
      </c>
      <c r="M35" s="225" t="s">
        <v>1429</v>
      </c>
      <c r="N35" s="225">
        <v>2</v>
      </c>
      <c r="O35" s="608">
        <f>C33+E33+F33</f>
        <v>8.61</v>
      </c>
      <c r="P35" s="445">
        <f>0.23-2*0.025</f>
        <v>0.18</v>
      </c>
      <c r="Q35" s="445">
        <f>ROUND(2/3*J33,2)</f>
        <v>0.28000000000000003</v>
      </c>
      <c r="R35" s="445">
        <f>ROUND(2/3*J34,2)</f>
        <v>0.34</v>
      </c>
      <c r="S35" s="608">
        <f>SUM(O35:R35)</f>
        <v>9.4099999999999984</v>
      </c>
      <c r="T35" s="445">
        <f t="shared" si="3"/>
        <v>18.819999999999997</v>
      </c>
      <c r="U35" s="445"/>
      <c r="V35" s="445"/>
      <c r="W35" s="445">
        <f>T35</f>
        <v>18.819999999999997</v>
      </c>
      <c r="X35" s="445"/>
    </row>
    <row r="36" spans="1:24">
      <c r="A36" s="225"/>
      <c r="B36" s="445"/>
      <c r="C36" s="445"/>
      <c r="D36" s="445"/>
      <c r="E36" s="445"/>
      <c r="F36" s="445"/>
      <c r="G36" s="445"/>
      <c r="H36" s="445"/>
      <c r="I36" s="445"/>
      <c r="J36" s="445"/>
      <c r="K36" s="445"/>
      <c r="L36" s="445" t="s">
        <v>1513</v>
      </c>
      <c r="M36" s="225" t="s">
        <v>1429</v>
      </c>
      <c r="N36" s="225">
        <v>2</v>
      </c>
      <c r="O36" s="445">
        <f>1+1.04</f>
        <v>2.04</v>
      </c>
      <c r="P36" s="445">
        <f>0.115-1*0.025</f>
        <v>0.09</v>
      </c>
      <c r="Q36" s="445">
        <f>ROUND(2/3*J34,2)</f>
        <v>0.34</v>
      </c>
      <c r="R36" s="445"/>
      <c r="S36" s="608">
        <f>SUM(O36:R36)</f>
        <v>2.4699999999999998</v>
      </c>
      <c r="T36" s="445">
        <f t="shared" si="3"/>
        <v>4.9399999999999995</v>
      </c>
      <c r="U36" s="445"/>
      <c r="V36" s="445"/>
      <c r="W36" s="445">
        <f>T36</f>
        <v>4.9399999999999995</v>
      </c>
      <c r="X36" s="445"/>
    </row>
    <row r="37" spans="1:24">
      <c r="A37" s="225"/>
      <c r="B37" s="445"/>
      <c r="C37" s="445"/>
      <c r="D37" s="445"/>
      <c r="E37" s="445"/>
      <c r="F37" s="445"/>
      <c r="G37" s="445"/>
      <c r="H37" s="445"/>
      <c r="I37" s="445"/>
      <c r="J37" s="445"/>
      <c r="K37" s="445"/>
      <c r="L37" s="445" t="s">
        <v>1508</v>
      </c>
      <c r="M37" s="225" t="s">
        <v>1429</v>
      </c>
      <c r="N37" s="225">
        <v>2</v>
      </c>
      <c r="O37" s="608">
        <f>1.04+1.5</f>
        <v>2.54</v>
      </c>
      <c r="P37" s="445"/>
      <c r="Q37" s="445"/>
      <c r="R37" s="445"/>
      <c r="S37" s="608">
        <f>SUM(O37:R37)</f>
        <v>2.54</v>
      </c>
      <c r="T37" s="445">
        <f t="shared" si="3"/>
        <v>5.08</v>
      </c>
      <c r="U37" s="445"/>
      <c r="V37" s="445"/>
      <c r="W37" s="445">
        <f>T37</f>
        <v>5.08</v>
      </c>
      <c r="X37" s="445"/>
    </row>
    <row r="38" spans="1:24">
      <c r="A38" s="225"/>
      <c r="B38" s="445"/>
      <c r="C38" s="445"/>
      <c r="D38" s="445"/>
      <c r="E38" s="445"/>
      <c r="F38" s="445"/>
      <c r="G38" s="445"/>
      <c r="H38" s="445"/>
      <c r="I38" s="445"/>
      <c r="J38" s="445"/>
      <c r="K38" s="445"/>
      <c r="L38" s="657" t="s">
        <v>1497</v>
      </c>
      <c r="M38" s="225" t="s">
        <v>1428</v>
      </c>
      <c r="N38" s="225">
        <f>ROUND(0.96/0.1+1,0)</f>
        <v>11</v>
      </c>
      <c r="O38" s="445"/>
      <c r="P38" s="445"/>
      <c r="Q38" s="445"/>
      <c r="R38" s="445"/>
      <c r="S38" s="608">
        <f>2*(0.23+0.425)-4*0.025</f>
        <v>1.21</v>
      </c>
      <c r="T38" s="445">
        <f t="shared" si="3"/>
        <v>13.309999999999999</v>
      </c>
      <c r="U38" s="445"/>
      <c r="V38" s="445">
        <f>T38</f>
        <v>13.309999999999999</v>
      </c>
      <c r="W38" s="445"/>
      <c r="X38" s="445"/>
    </row>
    <row r="39" spans="1:24">
      <c r="A39" s="225"/>
      <c r="B39" s="445"/>
      <c r="C39" s="445"/>
      <c r="D39" s="445"/>
      <c r="E39" s="445"/>
      <c r="F39" s="445"/>
      <c r="G39" s="445"/>
      <c r="H39" s="445"/>
      <c r="I39" s="445"/>
      <c r="J39" s="445"/>
      <c r="K39" s="445"/>
      <c r="L39" s="657" t="s">
        <v>1491</v>
      </c>
      <c r="M39" s="225" t="s">
        <v>1428</v>
      </c>
      <c r="N39" s="225">
        <f>ROUND(0.75/0.1+1,0)*2</f>
        <v>18</v>
      </c>
      <c r="O39" s="445"/>
      <c r="P39" s="445"/>
      <c r="Q39" s="445"/>
      <c r="R39" s="445"/>
      <c r="S39" s="608">
        <f>2*(0.23+0.425)-4*0.025</f>
        <v>1.21</v>
      </c>
      <c r="T39" s="445">
        <f t="shared" si="3"/>
        <v>21.78</v>
      </c>
      <c r="U39" s="445"/>
      <c r="V39" s="445">
        <f>T39</f>
        <v>21.78</v>
      </c>
      <c r="W39" s="445"/>
      <c r="X39" s="445"/>
    </row>
    <row r="40" spans="1:24">
      <c r="A40" s="225"/>
      <c r="B40" s="445"/>
      <c r="C40" s="445"/>
      <c r="D40" s="445"/>
      <c r="E40" s="445"/>
      <c r="F40" s="445"/>
      <c r="G40" s="445"/>
      <c r="H40" s="445"/>
      <c r="I40" s="445"/>
      <c r="J40" s="445"/>
      <c r="K40" s="445"/>
      <c r="L40" s="657" t="s">
        <v>1491</v>
      </c>
      <c r="M40" s="225" t="s">
        <v>1428</v>
      </c>
      <c r="N40" s="225">
        <f>ROUND(0.96/0.1+1,0)*2</f>
        <v>22</v>
      </c>
      <c r="O40" s="445"/>
      <c r="P40" s="445"/>
      <c r="Q40" s="445"/>
      <c r="R40" s="445"/>
      <c r="S40" s="608">
        <f>2*(0.23+0.505)-4*0.025</f>
        <v>1.3699999999999999</v>
      </c>
      <c r="T40" s="445">
        <f t="shared" si="3"/>
        <v>30.139999999999997</v>
      </c>
      <c r="U40" s="445"/>
      <c r="V40" s="445">
        <f>T40</f>
        <v>30.139999999999997</v>
      </c>
      <c r="W40" s="445"/>
      <c r="X40" s="445"/>
    </row>
    <row r="41" spans="1:24">
      <c r="A41" s="225"/>
      <c r="B41" s="445"/>
      <c r="C41" s="445"/>
      <c r="D41" s="445"/>
      <c r="E41" s="445"/>
      <c r="F41" s="445"/>
      <c r="G41" s="445"/>
      <c r="H41" s="445"/>
      <c r="I41" s="445"/>
      <c r="J41" s="445"/>
      <c r="K41" s="445"/>
      <c r="L41" s="657" t="s">
        <v>1492</v>
      </c>
      <c r="M41" s="225" t="s">
        <v>1428</v>
      </c>
      <c r="N41" s="225">
        <f>ROUND((3.39+0.23-2*0.38-2*0.75)/0.14+1,0)</f>
        <v>11</v>
      </c>
      <c r="O41" s="445"/>
      <c r="P41" s="445"/>
      <c r="Q41" s="445"/>
      <c r="R41" s="445"/>
      <c r="S41" s="608">
        <f>2*(0.23+0.425)-4*0.025</f>
        <v>1.21</v>
      </c>
      <c r="T41" s="445">
        <f t="shared" si="3"/>
        <v>13.309999999999999</v>
      </c>
      <c r="U41" s="445"/>
      <c r="V41" s="445">
        <f>T41</f>
        <v>13.309999999999999</v>
      </c>
      <c r="W41" s="445"/>
      <c r="X41" s="445"/>
    </row>
    <row r="42" spans="1:24">
      <c r="A42" s="225"/>
      <c r="B42" s="445"/>
      <c r="C42" s="445"/>
      <c r="D42" s="445"/>
      <c r="E42" s="445"/>
      <c r="F42" s="445"/>
      <c r="G42" s="445"/>
      <c r="H42" s="445"/>
      <c r="I42" s="445"/>
      <c r="J42" s="445"/>
      <c r="K42" s="445"/>
      <c r="L42" s="657" t="s">
        <v>1492</v>
      </c>
      <c r="M42" s="225" t="s">
        <v>1428</v>
      </c>
      <c r="N42" s="225">
        <f>ROUND((5.22+0.23-2*0.38-2*0.96)/0.16+1,0)</f>
        <v>18</v>
      </c>
      <c r="O42" s="445"/>
      <c r="P42" s="445"/>
      <c r="Q42" s="445"/>
      <c r="R42" s="445"/>
      <c r="S42" s="608">
        <f>2*(0.23+0.505)-4*0.025</f>
        <v>1.3699999999999999</v>
      </c>
      <c r="T42" s="445">
        <f t="shared" si="3"/>
        <v>24.659999999999997</v>
      </c>
      <c r="U42" s="445"/>
      <c r="V42" s="445">
        <f>T42</f>
        <v>24.659999999999997</v>
      </c>
      <c r="W42" s="445"/>
      <c r="X42" s="445"/>
    </row>
    <row r="43" spans="1:24">
      <c r="A43" s="225">
        <v>6</v>
      </c>
      <c r="B43" s="445" t="s">
        <v>1514</v>
      </c>
      <c r="C43" s="608"/>
      <c r="D43" s="608">
        <v>1</v>
      </c>
      <c r="E43" s="445">
        <v>3.39</v>
      </c>
      <c r="F43" s="445">
        <v>5.22</v>
      </c>
      <c r="G43" s="608">
        <v>1</v>
      </c>
      <c r="H43" s="608">
        <v>1</v>
      </c>
      <c r="I43" s="445">
        <v>0.23</v>
      </c>
      <c r="J43" s="445">
        <v>0.42499999999999999</v>
      </c>
      <c r="K43" s="445">
        <f>ROUND(J43*I43*H43,2)</f>
        <v>0.1</v>
      </c>
      <c r="L43" s="445" t="s">
        <v>1489</v>
      </c>
      <c r="M43" s="225" t="s">
        <v>1427</v>
      </c>
      <c r="N43" s="225">
        <v>3</v>
      </c>
      <c r="O43" s="608">
        <f>C43+0.38+0.6</f>
        <v>0.98</v>
      </c>
      <c r="P43" s="445">
        <f>0.115-1*0.025</f>
        <v>0.09</v>
      </c>
      <c r="Q43" s="445">
        <f>ROUND(2/3*J43,2)</f>
        <v>0.28000000000000003</v>
      </c>
      <c r="R43" s="445"/>
      <c r="S43" s="608">
        <f t="shared" ref="S43:S49" si="4">SUM(O43:R43)</f>
        <v>1.35</v>
      </c>
      <c r="T43" s="445">
        <f>S43*N43</f>
        <v>4.0500000000000007</v>
      </c>
      <c r="U43" s="445">
        <f>T43</f>
        <v>4.0500000000000007</v>
      </c>
      <c r="V43" s="445"/>
      <c r="W43" s="445"/>
      <c r="X43" s="445"/>
    </row>
    <row r="44" spans="1:24">
      <c r="A44" s="225"/>
      <c r="B44" s="445"/>
      <c r="C44" s="445"/>
      <c r="D44" s="445"/>
      <c r="E44" s="445"/>
      <c r="F44" s="445"/>
      <c r="G44" s="445"/>
      <c r="H44" s="445">
        <f>E43+F43+0.23</f>
        <v>8.84</v>
      </c>
      <c r="I44" s="445">
        <v>0.23</v>
      </c>
      <c r="J44" s="445">
        <v>0.505</v>
      </c>
      <c r="K44" s="445">
        <f>ROUND(J44*I44*H44,2)</f>
        <v>1.03</v>
      </c>
      <c r="L44" s="445" t="s">
        <v>1489</v>
      </c>
      <c r="M44" s="225" t="s">
        <v>1494</v>
      </c>
      <c r="N44" s="225">
        <v>2</v>
      </c>
      <c r="O44" s="445">
        <f>E43+F43</f>
        <v>8.61</v>
      </c>
      <c r="P44" s="445">
        <f>0.23-2*0.025</f>
        <v>0.18</v>
      </c>
      <c r="Q44" s="445">
        <f>ROUND(2/3*J44,2)</f>
        <v>0.34</v>
      </c>
      <c r="R44" s="445">
        <f>ROUND(2/3*J44*1,2)</f>
        <v>0.34</v>
      </c>
      <c r="S44" s="608">
        <f t="shared" si="4"/>
        <v>9.4699999999999989</v>
      </c>
      <c r="T44" s="608">
        <f t="shared" ref="T44:T71" si="5">S44*N44</f>
        <v>18.939999999999998</v>
      </c>
      <c r="U44" s="445"/>
      <c r="V44" s="445"/>
      <c r="W44" s="445"/>
      <c r="X44" s="608">
        <f>T44</f>
        <v>18.939999999999998</v>
      </c>
    </row>
    <row r="45" spans="1:24">
      <c r="A45" s="225"/>
      <c r="B45" s="445"/>
      <c r="C45" s="445"/>
      <c r="D45" s="445"/>
      <c r="E45" s="445"/>
      <c r="F45" s="445"/>
      <c r="G45" s="445"/>
      <c r="H45" s="608">
        <f>G43</f>
        <v>1</v>
      </c>
      <c r="I45" s="445">
        <v>0.23</v>
      </c>
      <c r="J45" s="445">
        <v>0.42499999999999999</v>
      </c>
      <c r="K45" s="445">
        <f>ROUND(J45*I45*H45,2)</f>
        <v>0.1</v>
      </c>
      <c r="L45" s="445" t="s">
        <v>1489</v>
      </c>
      <c r="M45" s="225" t="s">
        <v>1427</v>
      </c>
      <c r="N45" s="225">
        <v>3</v>
      </c>
      <c r="O45" s="608">
        <f>G43+0.38+0.6</f>
        <v>1.98</v>
      </c>
      <c r="P45" s="445">
        <f>0.115-1*0.025</f>
        <v>0.09</v>
      </c>
      <c r="Q45" s="445">
        <f>ROUND(2/3*J45,2)</f>
        <v>0.28000000000000003</v>
      </c>
      <c r="R45" s="445"/>
      <c r="S45" s="608">
        <f t="shared" si="4"/>
        <v>2.3499999999999996</v>
      </c>
      <c r="T45" s="445">
        <f>S45*N45</f>
        <v>7.0499999999999989</v>
      </c>
      <c r="U45" s="445">
        <f>T45</f>
        <v>7.0499999999999989</v>
      </c>
      <c r="V45" s="445"/>
      <c r="W45" s="445"/>
      <c r="X45" s="608"/>
    </row>
    <row r="46" spans="1:24">
      <c r="A46" s="225"/>
      <c r="B46" s="445"/>
      <c r="C46" s="445"/>
      <c r="D46" s="445"/>
      <c r="E46" s="445"/>
      <c r="F46" s="445"/>
      <c r="G46" s="445"/>
      <c r="H46" s="445"/>
      <c r="I46" s="445"/>
      <c r="J46" s="445"/>
      <c r="K46" s="445"/>
      <c r="L46" s="445" t="s">
        <v>1490</v>
      </c>
      <c r="M46" s="225" t="s">
        <v>1429</v>
      </c>
      <c r="N46" s="225">
        <v>2</v>
      </c>
      <c r="O46" s="608">
        <f>C43+E43+F43+G43</f>
        <v>9.61</v>
      </c>
      <c r="P46" s="445">
        <f>0.23-2*0.025</f>
        <v>0.18</v>
      </c>
      <c r="Q46" s="445">
        <f>ROUND(2/3*J43,2)</f>
        <v>0.28000000000000003</v>
      </c>
      <c r="R46" s="445">
        <f>ROUND(2/3*J44,2)</f>
        <v>0.34</v>
      </c>
      <c r="S46" s="608">
        <f t="shared" si="4"/>
        <v>10.409999999999998</v>
      </c>
      <c r="T46" s="445">
        <f t="shared" si="5"/>
        <v>20.819999999999997</v>
      </c>
      <c r="U46" s="445"/>
      <c r="V46" s="445"/>
      <c r="W46" s="445">
        <f>T46</f>
        <v>20.819999999999997</v>
      </c>
      <c r="X46" s="445"/>
    </row>
    <row r="47" spans="1:24">
      <c r="A47" s="225"/>
      <c r="B47" s="445"/>
      <c r="C47" s="445"/>
      <c r="D47" s="445"/>
      <c r="E47" s="445"/>
      <c r="F47" s="445"/>
      <c r="G47" s="445"/>
      <c r="H47" s="445"/>
      <c r="I47" s="445"/>
      <c r="J47" s="445"/>
      <c r="K47" s="445"/>
      <c r="L47" s="445" t="s">
        <v>1513</v>
      </c>
      <c r="M47" s="225" t="s">
        <v>1429</v>
      </c>
      <c r="N47" s="225">
        <v>2</v>
      </c>
      <c r="O47" s="445">
        <f>1+1.04</f>
        <v>2.04</v>
      </c>
      <c r="P47" s="445">
        <f>0.115-1*0.025</f>
        <v>0.09</v>
      </c>
      <c r="Q47" s="445">
        <f>ROUND(2/3*J43,2)</f>
        <v>0.28000000000000003</v>
      </c>
      <c r="R47" s="445"/>
      <c r="S47" s="608">
        <f t="shared" si="4"/>
        <v>2.41</v>
      </c>
      <c r="T47" s="445">
        <f t="shared" si="5"/>
        <v>4.82</v>
      </c>
      <c r="U47" s="445"/>
      <c r="V47" s="445"/>
      <c r="W47" s="445">
        <f>T47</f>
        <v>4.82</v>
      </c>
      <c r="X47" s="445"/>
    </row>
    <row r="48" spans="1:24">
      <c r="A48" s="225"/>
      <c r="B48" s="445"/>
      <c r="C48" s="445"/>
      <c r="D48" s="445"/>
      <c r="E48" s="445"/>
      <c r="F48" s="445"/>
      <c r="G48" s="445"/>
      <c r="H48" s="445"/>
      <c r="I48" s="445"/>
      <c r="J48" s="445"/>
      <c r="K48" s="445"/>
      <c r="L48" s="445" t="s">
        <v>1507</v>
      </c>
      <c r="M48" s="225" t="s">
        <v>1429</v>
      </c>
      <c r="N48" s="225">
        <v>2</v>
      </c>
      <c r="O48" s="608">
        <f>1.04+1.5</f>
        <v>2.54</v>
      </c>
      <c r="P48" s="445"/>
      <c r="Q48" s="445"/>
      <c r="R48" s="445"/>
      <c r="S48" s="608">
        <f t="shared" si="4"/>
        <v>2.54</v>
      </c>
      <c r="T48" s="445">
        <f t="shared" si="5"/>
        <v>5.08</v>
      </c>
      <c r="U48" s="445"/>
      <c r="V48" s="445"/>
      <c r="W48" s="445">
        <f>T48</f>
        <v>5.08</v>
      </c>
      <c r="X48" s="445"/>
    </row>
    <row r="49" spans="1:24">
      <c r="A49" s="225"/>
      <c r="B49" s="445"/>
      <c r="C49" s="445"/>
      <c r="D49" s="445"/>
      <c r="E49" s="445"/>
      <c r="F49" s="445"/>
      <c r="G49" s="445"/>
      <c r="H49" s="445"/>
      <c r="I49" s="445"/>
      <c r="J49" s="445"/>
      <c r="K49" s="445"/>
      <c r="L49" s="445" t="s">
        <v>1508</v>
      </c>
      <c r="M49" s="225" t="s">
        <v>1429</v>
      </c>
      <c r="N49" s="225">
        <v>2</v>
      </c>
      <c r="O49" s="445">
        <f>1+1.04</f>
        <v>2.04</v>
      </c>
      <c r="P49" s="445">
        <f>0.115-1*0.025</f>
        <v>0.09</v>
      </c>
      <c r="Q49" s="445">
        <f>ROUND(2/3*J45,2)</f>
        <v>0.28000000000000003</v>
      </c>
      <c r="R49" s="445"/>
      <c r="S49" s="608">
        <f t="shared" si="4"/>
        <v>2.41</v>
      </c>
      <c r="T49" s="445">
        <f t="shared" si="5"/>
        <v>4.82</v>
      </c>
      <c r="U49" s="445"/>
      <c r="V49" s="445"/>
      <c r="W49" s="445">
        <f>T49</f>
        <v>4.82</v>
      </c>
      <c r="X49" s="445"/>
    </row>
    <row r="50" spans="1:24">
      <c r="A50" s="225"/>
      <c r="B50" s="445"/>
      <c r="C50" s="445"/>
      <c r="D50" s="445"/>
      <c r="E50" s="445"/>
      <c r="F50" s="445"/>
      <c r="G50" s="445"/>
      <c r="H50" s="445"/>
      <c r="I50" s="445"/>
      <c r="J50" s="445"/>
      <c r="K50" s="445"/>
      <c r="L50" s="657" t="s">
        <v>1497</v>
      </c>
      <c r="M50" s="225" t="s">
        <v>1428</v>
      </c>
      <c r="N50" s="225">
        <f>ROUND(0.96/0.1+1,0)</f>
        <v>11</v>
      </c>
      <c r="O50" s="445"/>
      <c r="P50" s="445"/>
      <c r="Q50" s="445"/>
      <c r="R50" s="445"/>
      <c r="S50" s="608">
        <f>2*(0.23+0.425)-4*0.025</f>
        <v>1.21</v>
      </c>
      <c r="T50" s="445">
        <f t="shared" si="5"/>
        <v>13.309999999999999</v>
      </c>
      <c r="U50" s="445"/>
      <c r="V50" s="445">
        <f t="shared" ref="V50:V55" si="6">T50</f>
        <v>13.309999999999999</v>
      </c>
      <c r="W50" s="445"/>
      <c r="X50" s="445"/>
    </row>
    <row r="51" spans="1:24">
      <c r="A51" s="225"/>
      <c r="B51" s="445"/>
      <c r="C51" s="445"/>
      <c r="D51" s="445"/>
      <c r="E51" s="445"/>
      <c r="F51" s="445"/>
      <c r="G51" s="445"/>
      <c r="H51" s="445"/>
      <c r="I51" s="445"/>
      <c r="J51" s="445"/>
      <c r="K51" s="445"/>
      <c r="L51" s="657" t="s">
        <v>1491</v>
      </c>
      <c r="M51" s="225" t="s">
        <v>1428</v>
      </c>
      <c r="N51" s="225">
        <f>ROUND(0.75/0.1+1,0)*2</f>
        <v>18</v>
      </c>
      <c r="O51" s="445"/>
      <c r="P51" s="445"/>
      <c r="Q51" s="445"/>
      <c r="R51" s="445"/>
      <c r="S51" s="608">
        <f>2*(0.23+0.425)-4*0.025</f>
        <v>1.21</v>
      </c>
      <c r="T51" s="445">
        <f t="shared" si="5"/>
        <v>21.78</v>
      </c>
      <c r="U51" s="445"/>
      <c r="V51" s="445">
        <f t="shared" si="6"/>
        <v>21.78</v>
      </c>
      <c r="W51" s="445"/>
      <c r="X51" s="445"/>
    </row>
    <row r="52" spans="1:24">
      <c r="A52" s="225"/>
      <c r="B52" s="445"/>
      <c r="C52" s="445"/>
      <c r="D52" s="445"/>
      <c r="E52" s="445"/>
      <c r="F52" s="445"/>
      <c r="G52" s="445"/>
      <c r="H52" s="445"/>
      <c r="I52" s="445"/>
      <c r="J52" s="445"/>
      <c r="K52" s="445"/>
      <c r="L52" s="657" t="s">
        <v>1491</v>
      </c>
      <c r="M52" s="225" t="s">
        <v>1428</v>
      </c>
      <c r="N52" s="225">
        <f>ROUND(0.96/0.1+1,0)*2</f>
        <v>22</v>
      </c>
      <c r="O52" s="445"/>
      <c r="P52" s="445"/>
      <c r="Q52" s="445"/>
      <c r="R52" s="445"/>
      <c r="S52" s="608">
        <f>2*(0.23+0.505)-4*0.025</f>
        <v>1.3699999999999999</v>
      </c>
      <c r="T52" s="445">
        <f t="shared" si="5"/>
        <v>30.139999999999997</v>
      </c>
      <c r="U52" s="445"/>
      <c r="V52" s="445">
        <f t="shared" si="6"/>
        <v>30.139999999999997</v>
      </c>
      <c r="W52" s="445"/>
      <c r="X52" s="445"/>
    </row>
    <row r="53" spans="1:24">
      <c r="A53" s="225"/>
      <c r="B53" s="445"/>
      <c r="C53" s="445"/>
      <c r="D53" s="445"/>
      <c r="E53" s="445"/>
      <c r="F53" s="445"/>
      <c r="G53" s="445"/>
      <c r="H53" s="445"/>
      <c r="I53" s="445"/>
      <c r="J53" s="445"/>
      <c r="K53" s="445"/>
      <c r="L53" s="657" t="s">
        <v>1492</v>
      </c>
      <c r="M53" s="225" t="s">
        <v>1428</v>
      </c>
      <c r="N53" s="225">
        <f>ROUND((3.39+0.23-2*0.38-2*0.75)/0.14+1,0)</f>
        <v>11</v>
      </c>
      <c r="O53" s="445"/>
      <c r="P53" s="445"/>
      <c r="Q53" s="445"/>
      <c r="R53" s="445"/>
      <c r="S53" s="608">
        <f>2*(0.23+0.425)-4*0.025</f>
        <v>1.21</v>
      </c>
      <c r="T53" s="445">
        <f t="shared" si="5"/>
        <v>13.309999999999999</v>
      </c>
      <c r="U53" s="445"/>
      <c r="V53" s="445">
        <f t="shared" si="6"/>
        <v>13.309999999999999</v>
      </c>
      <c r="W53" s="445"/>
      <c r="X53" s="445"/>
    </row>
    <row r="54" spans="1:24">
      <c r="A54" s="225"/>
      <c r="B54" s="445"/>
      <c r="C54" s="445"/>
      <c r="D54" s="445"/>
      <c r="E54" s="445"/>
      <c r="F54" s="445"/>
      <c r="G54" s="445"/>
      <c r="H54" s="445"/>
      <c r="I54" s="445"/>
      <c r="J54" s="445"/>
      <c r="K54" s="445"/>
      <c r="L54" s="657" t="s">
        <v>1492</v>
      </c>
      <c r="M54" s="225" t="s">
        <v>1428</v>
      </c>
      <c r="N54" s="225">
        <f>ROUND((5.22+0.23-2*0.38-2*0.96)/0.16+1,0)</f>
        <v>18</v>
      </c>
      <c r="O54" s="445"/>
      <c r="P54" s="445"/>
      <c r="Q54" s="445"/>
      <c r="R54" s="445"/>
      <c r="S54" s="608">
        <f>2*(0.23+0.505)-4*0.025</f>
        <v>1.3699999999999999</v>
      </c>
      <c r="T54" s="445">
        <f t="shared" si="5"/>
        <v>24.659999999999997</v>
      </c>
      <c r="U54" s="445"/>
      <c r="V54" s="445">
        <f t="shared" si="6"/>
        <v>24.659999999999997</v>
      </c>
      <c r="W54" s="445"/>
      <c r="X54" s="445"/>
    </row>
    <row r="55" spans="1:24">
      <c r="A55" s="225"/>
      <c r="B55" s="445"/>
      <c r="C55" s="445"/>
      <c r="D55" s="445"/>
      <c r="E55" s="445"/>
      <c r="F55" s="445"/>
      <c r="G55" s="445"/>
      <c r="H55" s="445"/>
      <c r="I55" s="445"/>
      <c r="J55" s="445"/>
      <c r="K55" s="445"/>
      <c r="L55" s="657" t="s">
        <v>1497</v>
      </c>
      <c r="M55" s="225" t="s">
        <v>1428</v>
      </c>
      <c r="N55" s="225">
        <f>ROUND(0.96/0.1+1,0)</f>
        <v>11</v>
      </c>
      <c r="O55" s="445"/>
      <c r="P55" s="445"/>
      <c r="Q55" s="445"/>
      <c r="R55" s="445"/>
      <c r="S55" s="608">
        <f>2*(0.23+0.425)-4*0.025</f>
        <v>1.21</v>
      </c>
      <c r="T55" s="445">
        <f t="shared" si="5"/>
        <v>13.309999999999999</v>
      </c>
      <c r="U55" s="445"/>
      <c r="V55" s="445">
        <f t="shared" si="6"/>
        <v>13.309999999999999</v>
      </c>
      <c r="W55" s="445"/>
      <c r="X55" s="445"/>
    </row>
    <row r="56" spans="1:24">
      <c r="A56" s="225">
        <v>7</v>
      </c>
      <c r="B56" s="445" t="s">
        <v>1515</v>
      </c>
      <c r="C56" s="445"/>
      <c r="D56" s="445"/>
      <c r="E56" s="445"/>
      <c r="F56" s="445">
        <v>5.22</v>
      </c>
      <c r="G56" s="445"/>
      <c r="H56" s="445">
        <f>F56+0.23</f>
        <v>5.45</v>
      </c>
      <c r="I56" s="445">
        <v>0.23</v>
      </c>
      <c r="J56" s="445">
        <v>0.505</v>
      </c>
      <c r="K56" s="445">
        <f>ROUND(J56*I56*H56,2)</f>
        <v>0.63</v>
      </c>
      <c r="L56" s="445" t="s">
        <v>1489</v>
      </c>
      <c r="M56" s="225" t="s">
        <v>1429</v>
      </c>
      <c r="N56" s="225">
        <v>2</v>
      </c>
      <c r="O56" s="445">
        <f>F56</f>
        <v>5.22</v>
      </c>
      <c r="P56" s="445">
        <f>0.23-2*0.025</f>
        <v>0.18</v>
      </c>
      <c r="Q56" s="445">
        <f>ROUND(2/3*J56,2)</f>
        <v>0.34</v>
      </c>
      <c r="R56" s="445">
        <f>ROUND(2/3*J56,2)</f>
        <v>0.34</v>
      </c>
      <c r="S56" s="608">
        <f>SUM(O56:R56)</f>
        <v>6.0799999999999992</v>
      </c>
      <c r="T56" s="445">
        <f t="shared" si="5"/>
        <v>12.159999999999998</v>
      </c>
      <c r="U56" s="445"/>
      <c r="V56" s="445"/>
      <c r="W56" s="445">
        <f>T56</f>
        <v>12.159999999999998</v>
      </c>
      <c r="X56" s="445"/>
    </row>
    <row r="57" spans="1:24">
      <c r="A57" s="225"/>
      <c r="B57" s="445"/>
      <c r="C57" s="445"/>
      <c r="D57" s="445"/>
      <c r="E57" s="445"/>
      <c r="F57" s="445"/>
      <c r="G57" s="445"/>
      <c r="H57" s="445"/>
      <c r="I57" s="445"/>
      <c r="J57" s="445"/>
      <c r="K57" s="445"/>
      <c r="L57" s="445" t="s">
        <v>1490</v>
      </c>
      <c r="M57" s="225" t="s">
        <v>1429</v>
      </c>
      <c r="N57" s="225">
        <v>2</v>
      </c>
      <c r="O57" s="445">
        <f>O56</f>
        <v>5.22</v>
      </c>
      <c r="P57" s="445">
        <f>0.23-2*0.025</f>
        <v>0.18</v>
      </c>
      <c r="Q57" s="445">
        <f>ROUND(2/3*J56,2)</f>
        <v>0.34</v>
      </c>
      <c r="R57" s="445">
        <f>ROUND(2/3*J56*1,2)</f>
        <v>0.34</v>
      </c>
      <c r="S57" s="608">
        <f>SUM(O57:R57)</f>
        <v>6.0799999999999992</v>
      </c>
      <c r="T57" s="445">
        <f t="shared" si="5"/>
        <v>12.159999999999998</v>
      </c>
      <c r="U57" s="445"/>
      <c r="V57" s="445"/>
      <c r="W57" s="445">
        <f>T57</f>
        <v>12.159999999999998</v>
      </c>
      <c r="X57" s="445"/>
    </row>
    <row r="58" spans="1:24">
      <c r="A58" s="225"/>
      <c r="B58" s="445"/>
      <c r="C58" s="445"/>
      <c r="D58" s="445"/>
      <c r="E58" s="445"/>
      <c r="F58" s="445"/>
      <c r="G58" s="445"/>
      <c r="H58" s="445"/>
      <c r="I58" s="445"/>
      <c r="J58" s="445"/>
      <c r="K58" s="445"/>
      <c r="L58" s="657" t="s">
        <v>1491</v>
      </c>
      <c r="M58" s="225" t="s">
        <v>1428</v>
      </c>
      <c r="N58" s="225">
        <f>ROUND(0.75/0.1+1,0)*2</f>
        <v>18</v>
      </c>
      <c r="O58" s="445"/>
      <c r="P58" s="445"/>
      <c r="Q58" s="445"/>
      <c r="R58" s="445"/>
      <c r="S58" s="608">
        <f>2*(0.23+0.425)-4*0.025</f>
        <v>1.21</v>
      </c>
      <c r="T58" s="445">
        <f t="shared" si="5"/>
        <v>21.78</v>
      </c>
      <c r="U58" s="445"/>
      <c r="V58" s="445">
        <f>T58</f>
        <v>21.78</v>
      </c>
      <c r="W58" s="445"/>
      <c r="X58" s="445"/>
    </row>
    <row r="59" spans="1:24">
      <c r="A59" s="225"/>
      <c r="B59" s="445"/>
      <c r="C59" s="445"/>
      <c r="D59" s="445"/>
      <c r="E59" s="445"/>
      <c r="F59" s="445"/>
      <c r="G59" s="445"/>
      <c r="H59" s="445"/>
      <c r="I59" s="445"/>
      <c r="J59" s="445"/>
      <c r="K59" s="445"/>
      <c r="L59" s="657" t="s">
        <v>1492</v>
      </c>
      <c r="M59" s="225" t="s">
        <v>1428</v>
      </c>
      <c r="N59" s="225">
        <f>ROUND((F56+0.23-2*0.38-2*0.75)/0.16+1,0)</f>
        <v>21</v>
      </c>
      <c r="O59" s="445"/>
      <c r="P59" s="445"/>
      <c r="Q59" s="445"/>
      <c r="R59" s="445"/>
      <c r="S59" s="608">
        <f>2*(0.23+0.425)-4*0.025</f>
        <v>1.21</v>
      </c>
      <c r="T59" s="445">
        <f t="shared" si="5"/>
        <v>25.41</v>
      </c>
      <c r="U59" s="445"/>
      <c r="V59" s="445">
        <f>T59</f>
        <v>25.41</v>
      </c>
      <c r="W59" s="445"/>
      <c r="X59" s="445"/>
    </row>
    <row r="60" spans="1:24">
      <c r="A60" s="225">
        <v>8</v>
      </c>
      <c r="B60" s="445" t="s">
        <v>1516</v>
      </c>
      <c r="C60" s="445"/>
      <c r="D60" s="445"/>
      <c r="E60" s="445">
        <v>2.95</v>
      </c>
      <c r="F60" s="445"/>
      <c r="G60" s="445"/>
      <c r="H60" s="445">
        <f>E60-0.23</f>
        <v>2.72</v>
      </c>
      <c r="I60" s="445">
        <v>0.23</v>
      </c>
      <c r="J60" s="445">
        <v>0.42499999999999999</v>
      </c>
      <c r="K60" s="445">
        <f>ROUND(J60*I60*H60,2)</f>
        <v>0.27</v>
      </c>
      <c r="L60" s="445" t="s">
        <v>1489</v>
      </c>
      <c r="M60" s="225" t="s">
        <v>1429</v>
      </c>
      <c r="N60" s="225">
        <v>2</v>
      </c>
      <c r="O60" s="445">
        <f>E60</f>
        <v>2.95</v>
      </c>
      <c r="P60" s="445">
        <f>0.23-2*0.025</f>
        <v>0.18</v>
      </c>
      <c r="Q60" s="445">
        <f>ROUND(2/3*J60,2)</f>
        <v>0.28000000000000003</v>
      </c>
      <c r="R60" s="445">
        <f>ROUND(2/3*J60,2)</f>
        <v>0.28000000000000003</v>
      </c>
      <c r="S60" s="608">
        <f>SUM(O60:R60)</f>
        <v>3.6900000000000004</v>
      </c>
      <c r="T60" s="445">
        <f t="shared" si="5"/>
        <v>7.3800000000000008</v>
      </c>
      <c r="U60" s="445"/>
      <c r="V60" s="445"/>
      <c r="W60" s="445">
        <f>T60</f>
        <v>7.3800000000000008</v>
      </c>
      <c r="X60" s="445"/>
    </row>
    <row r="61" spans="1:24">
      <c r="A61" s="225"/>
      <c r="B61" s="445"/>
      <c r="C61" s="445"/>
      <c r="D61" s="445"/>
      <c r="E61" s="445"/>
      <c r="F61" s="445"/>
      <c r="G61" s="445"/>
      <c r="H61" s="445"/>
      <c r="I61" s="445"/>
      <c r="J61" s="445"/>
      <c r="K61" s="445"/>
      <c r="L61" s="445" t="s">
        <v>1490</v>
      </c>
      <c r="M61" s="225" t="s">
        <v>1427</v>
      </c>
      <c r="N61" s="225">
        <v>3</v>
      </c>
      <c r="O61" s="445">
        <f>O60</f>
        <v>2.95</v>
      </c>
      <c r="P61" s="445">
        <f>0.23-2*0.025</f>
        <v>0.18</v>
      </c>
      <c r="Q61" s="445">
        <f>ROUND(2/3*J60,2)</f>
        <v>0.28000000000000003</v>
      </c>
      <c r="R61" s="445">
        <f>ROUND(2/3*J60*1,2)</f>
        <v>0.28000000000000003</v>
      </c>
      <c r="S61" s="608">
        <f>SUM(O61:R61)</f>
        <v>3.6900000000000004</v>
      </c>
      <c r="T61" s="445">
        <f t="shared" si="5"/>
        <v>11.07</v>
      </c>
      <c r="U61" s="445"/>
      <c r="V61" s="445"/>
      <c r="W61" s="445">
        <f>T61</f>
        <v>11.07</v>
      </c>
      <c r="X61" s="445"/>
    </row>
    <row r="62" spans="1:24">
      <c r="A62" s="225"/>
      <c r="B62" s="445"/>
      <c r="C62" s="445"/>
      <c r="D62" s="445"/>
      <c r="E62" s="445"/>
      <c r="F62" s="445"/>
      <c r="G62" s="445"/>
      <c r="H62" s="445"/>
      <c r="I62" s="445"/>
      <c r="J62" s="445"/>
      <c r="K62" s="445"/>
      <c r="L62" s="657" t="s">
        <v>1491</v>
      </c>
      <c r="M62" s="225" t="s">
        <v>1428</v>
      </c>
      <c r="N62" s="225">
        <f>ROUND(0.75/0.1+1,0)*2</f>
        <v>18</v>
      </c>
      <c r="O62" s="445"/>
      <c r="P62" s="445"/>
      <c r="Q62" s="445"/>
      <c r="R62" s="445"/>
      <c r="S62" s="608">
        <f>2*(0.23+0.425)-4*0.025</f>
        <v>1.21</v>
      </c>
      <c r="T62" s="445">
        <f t="shared" si="5"/>
        <v>21.78</v>
      </c>
      <c r="U62" s="445"/>
      <c r="V62" s="445">
        <f>T62</f>
        <v>21.78</v>
      </c>
      <c r="W62" s="445"/>
      <c r="X62" s="445"/>
    </row>
    <row r="63" spans="1:24">
      <c r="A63" s="225"/>
      <c r="B63" s="445"/>
      <c r="C63" s="445"/>
      <c r="D63" s="445"/>
      <c r="E63" s="445"/>
      <c r="F63" s="445"/>
      <c r="G63" s="445"/>
      <c r="H63" s="445"/>
      <c r="I63" s="445"/>
      <c r="J63" s="445"/>
      <c r="K63" s="445"/>
      <c r="L63" s="657" t="s">
        <v>1492</v>
      </c>
      <c r="M63" s="225" t="s">
        <v>1428</v>
      </c>
      <c r="N63" s="225">
        <f>ROUND((E60-0.23-2*0.75)/0.14+1,0)</f>
        <v>10</v>
      </c>
      <c r="O63" s="445"/>
      <c r="P63" s="445"/>
      <c r="Q63" s="445"/>
      <c r="R63" s="445"/>
      <c r="S63" s="608">
        <f>2*(0.23+0.425)-4*0.025</f>
        <v>1.21</v>
      </c>
      <c r="T63" s="445">
        <f t="shared" si="5"/>
        <v>12.1</v>
      </c>
      <c r="U63" s="445"/>
      <c r="V63" s="445">
        <f>T63</f>
        <v>12.1</v>
      </c>
      <c r="W63" s="445"/>
      <c r="X63" s="445"/>
    </row>
    <row r="64" spans="1:24">
      <c r="A64" s="225">
        <v>9</v>
      </c>
      <c r="B64" s="445" t="s">
        <v>1517</v>
      </c>
      <c r="C64" s="608"/>
      <c r="D64" s="608"/>
      <c r="E64" s="445">
        <v>2.82</v>
      </c>
      <c r="F64" s="445">
        <v>3.01</v>
      </c>
      <c r="G64" s="658">
        <v>3.4649999999999999</v>
      </c>
      <c r="H64" s="608">
        <f>E64+F64+G64+0.23</f>
        <v>9.5250000000000004</v>
      </c>
      <c r="I64" s="445">
        <v>0.23</v>
      </c>
      <c r="J64" s="445">
        <v>0.42499999999999999</v>
      </c>
      <c r="K64" s="445">
        <f>ROUND(J64*I64*H64,2)</f>
        <v>0.93</v>
      </c>
      <c r="L64" s="445" t="s">
        <v>1489</v>
      </c>
      <c r="M64" s="225" t="s">
        <v>1427</v>
      </c>
      <c r="N64" s="225">
        <v>3</v>
      </c>
      <c r="O64" s="608">
        <f>E64+F64+G64</f>
        <v>9.2949999999999999</v>
      </c>
      <c r="P64" s="445">
        <f>0.23-2*0.025</f>
        <v>0.18</v>
      </c>
      <c r="Q64" s="445">
        <f>ROUND(2/3*J64,2)</f>
        <v>0.28000000000000003</v>
      </c>
      <c r="R64" s="445">
        <f>ROUND(2/3*J64,2)</f>
        <v>0.28000000000000003</v>
      </c>
      <c r="S64" s="608">
        <f>SUM(O64:R64)</f>
        <v>10.034999999999998</v>
      </c>
      <c r="T64" s="445">
        <f t="shared" si="5"/>
        <v>30.104999999999997</v>
      </c>
      <c r="U64" s="445">
        <f>T64</f>
        <v>30.104999999999997</v>
      </c>
      <c r="V64" s="445"/>
      <c r="W64" s="445"/>
      <c r="X64" s="445"/>
    </row>
    <row r="65" spans="1:24">
      <c r="A65" s="225"/>
      <c r="B65" s="445"/>
      <c r="C65" s="445"/>
      <c r="D65" s="445"/>
      <c r="E65" s="445"/>
      <c r="F65" s="445"/>
      <c r="G65" s="445"/>
      <c r="H65" s="445"/>
      <c r="I65" s="445"/>
      <c r="J65" s="445"/>
      <c r="K65" s="445"/>
      <c r="L65" s="445" t="s">
        <v>1490</v>
      </c>
      <c r="M65" s="225" t="s">
        <v>1429</v>
      </c>
      <c r="N65" s="225">
        <v>2</v>
      </c>
      <c r="O65" s="608">
        <f>C64+E64+F64+G64</f>
        <v>9.2949999999999999</v>
      </c>
      <c r="P65" s="445">
        <f>0.23-2*0.025</f>
        <v>0.18</v>
      </c>
      <c r="Q65" s="445">
        <f>ROUND(2/3*J64,2)</f>
        <v>0.28000000000000003</v>
      </c>
      <c r="R65" s="445">
        <f>ROUND(2/3*J64,2)</f>
        <v>0.28000000000000003</v>
      </c>
      <c r="S65" s="608">
        <f>SUM(O65:R65)</f>
        <v>10.034999999999998</v>
      </c>
      <c r="T65" s="445">
        <f t="shared" si="5"/>
        <v>20.069999999999997</v>
      </c>
      <c r="U65" s="445"/>
      <c r="V65" s="445"/>
      <c r="W65" s="445">
        <f>T65</f>
        <v>20.069999999999997</v>
      </c>
      <c r="X65" s="445"/>
    </row>
    <row r="66" spans="1:24">
      <c r="A66" s="225"/>
      <c r="B66" s="445"/>
      <c r="C66" s="445"/>
      <c r="D66" s="445"/>
      <c r="E66" s="445"/>
      <c r="F66" s="445"/>
      <c r="G66" s="445"/>
      <c r="H66" s="445"/>
      <c r="I66" s="445"/>
      <c r="J66" s="445"/>
      <c r="K66" s="445"/>
      <c r="L66" s="657" t="s">
        <v>1491</v>
      </c>
      <c r="M66" s="225" t="s">
        <v>1428</v>
      </c>
      <c r="N66" s="225">
        <f>ROUND(0.75/0.1+1,0)*2</f>
        <v>18</v>
      </c>
      <c r="O66" s="445"/>
      <c r="P66" s="445"/>
      <c r="Q66" s="445"/>
      <c r="R66" s="445"/>
      <c r="S66" s="608">
        <f>2*(0.23+0.425)-4*0.025</f>
        <v>1.21</v>
      </c>
      <c r="T66" s="445">
        <f t="shared" si="5"/>
        <v>21.78</v>
      </c>
      <c r="U66" s="445"/>
      <c r="V66" s="445">
        <f t="shared" ref="V66:V71" si="7">T66</f>
        <v>21.78</v>
      </c>
      <c r="W66" s="445"/>
      <c r="X66" s="445"/>
    </row>
    <row r="67" spans="1:24">
      <c r="A67" s="225"/>
      <c r="B67" s="445"/>
      <c r="C67" s="445"/>
      <c r="D67" s="445"/>
      <c r="E67" s="445"/>
      <c r="F67" s="445"/>
      <c r="G67" s="445"/>
      <c r="H67" s="445"/>
      <c r="I67" s="445"/>
      <c r="J67" s="445"/>
      <c r="K67" s="445"/>
      <c r="L67" s="657" t="s">
        <v>1491</v>
      </c>
      <c r="M67" s="225" t="s">
        <v>1428</v>
      </c>
      <c r="N67" s="225">
        <f>ROUND(0.75/0.1+1,0)*2</f>
        <v>18</v>
      </c>
      <c r="O67" s="445"/>
      <c r="P67" s="445"/>
      <c r="Q67" s="445"/>
      <c r="R67" s="445"/>
      <c r="S67" s="608">
        <f>2*(0.23+0.505)-4*0.025</f>
        <v>1.3699999999999999</v>
      </c>
      <c r="T67" s="445">
        <f t="shared" si="5"/>
        <v>24.659999999999997</v>
      </c>
      <c r="U67" s="445"/>
      <c r="V67" s="445">
        <f t="shared" si="7"/>
        <v>24.659999999999997</v>
      </c>
      <c r="W67" s="445"/>
      <c r="X67" s="445"/>
    </row>
    <row r="68" spans="1:24">
      <c r="A68" s="225"/>
      <c r="B68" s="445"/>
      <c r="C68" s="445"/>
      <c r="D68" s="445"/>
      <c r="E68" s="445"/>
      <c r="F68" s="445"/>
      <c r="G68" s="445"/>
      <c r="H68" s="445"/>
      <c r="I68" s="445"/>
      <c r="J68" s="445"/>
      <c r="K68" s="445"/>
      <c r="L68" s="657" t="s">
        <v>1491</v>
      </c>
      <c r="M68" s="225" t="s">
        <v>1428</v>
      </c>
      <c r="N68" s="225">
        <f>ROUND(0.9/0.1+1,0)*2</f>
        <v>20</v>
      </c>
      <c r="O68" s="445"/>
      <c r="P68" s="445"/>
      <c r="Q68" s="445"/>
      <c r="R68" s="445"/>
      <c r="S68" s="608">
        <f>2*(0.23+0.505)-4*0.025</f>
        <v>1.3699999999999999</v>
      </c>
      <c r="T68" s="445">
        <f t="shared" si="5"/>
        <v>27.4</v>
      </c>
      <c r="U68" s="445"/>
      <c r="V68" s="445">
        <f t="shared" si="7"/>
        <v>27.4</v>
      </c>
      <c r="W68" s="445"/>
      <c r="X68" s="445"/>
    </row>
    <row r="69" spans="1:24">
      <c r="A69" s="225"/>
      <c r="B69" s="445"/>
      <c r="C69" s="445"/>
      <c r="D69" s="445"/>
      <c r="E69" s="445"/>
      <c r="F69" s="445"/>
      <c r="G69" s="445"/>
      <c r="H69" s="445"/>
      <c r="I69" s="445"/>
      <c r="J69" s="445"/>
      <c r="K69" s="445"/>
      <c r="L69" s="657" t="s">
        <v>1492</v>
      </c>
      <c r="M69" s="225" t="s">
        <v>1428</v>
      </c>
      <c r="N69" s="225">
        <f>ROUND((E64-0.23-2*0.75)/0.14+1,0)</f>
        <v>9</v>
      </c>
      <c r="O69" s="445"/>
      <c r="P69" s="445"/>
      <c r="Q69" s="445"/>
      <c r="R69" s="445"/>
      <c r="S69" s="608">
        <f>2*(0.23+0.425)-4*0.025</f>
        <v>1.21</v>
      </c>
      <c r="T69" s="445">
        <f t="shared" si="5"/>
        <v>10.89</v>
      </c>
      <c r="U69" s="445"/>
      <c r="V69" s="445">
        <f t="shared" si="7"/>
        <v>10.89</v>
      </c>
      <c r="W69" s="445"/>
      <c r="X69" s="445"/>
    </row>
    <row r="70" spans="1:24">
      <c r="A70" s="225"/>
      <c r="B70" s="445"/>
      <c r="C70" s="445"/>
      <c r="D70" s="445"/>
      <c r="E70" s="445"/>
      <c r="F70" s="445"/>
      <c r="G70" s="445"/>
      <c r="H70" s="445"/>
      <c r="I70" s="445"/>
      <c r="J70" s="445"/>
      <c r="K70" s="445"/>
      <c r="L70" s="657" t="s">
        <v>1492</v>
      </c>
      <c r="M70" s="225" t="s">
        <v>1428</v>
      </c>
      <c r="N70" s="225">
        <f>ROUND((F64-0.23-2*0.75)/0.16+1,0)</f>
        <v>9</v>
      </c>
      <c r="O70" s="445"/>
      <c r="P70" s="445"/>
      <c r="Q70" s="445"/>
      <c r="R70" s="445"/>
      <c r="S70" s="608">
        <f>2*(0.23+0.505)-4*0.025</f>
        <v>1.3699999999999999</v>
      </c>
      <c r="T70" s="445">
        <f t="shared" si="5"/>
        <v>12.329999999999998</v>
      </c>
      <c r="U70" s="445"/>
      <c r="V70" s="445">
        <f t="shared" si="7"/>
        <v>12.329999999999998</v>
      </c>
      <c r="W70" s="445"/>
      <c r="X70" s="445"/>
    </row>
    <row r="71" spans="1:24">
      <c r="A71" s="225"/>
      <c r="B71" s="445"/>
      <c r="C71" s="445"/>
      <c r="D71" s="445"/>
      <c r="E71" s="445"/>
      <c r="F71" s="445"/>
      <c r="G71" s="445"/>
      <c r="H71" s="445"/>
      <c r="I71" s="445"/>
      <c r="J71" s="445"/>
      <c r="K71" s="445"/>
      <c r="L71" s="657" t="s">
        <v>1492</v>
      </c>
      <c r="M71" s="225" t="s">
        <v>1428</v>
      </c>
      <c r="N71" s="225">
        <f>ROUND((G64-0.23-2*0.9)/0.16+1,0)</f>
        <v>10</v>
      </c>
      <c r="O71" s="445"/>
      <c r="P71" s="445"/>
      <c r="Q71" s="445"/>
      <c r="R71" s="445"/>
      <c r="S71" s="608">
        <f>2*(0.23+0.505)-4*0.025</f>
        <v>1.3699999999999999</v>
      </c>
      <c r="T71" s="445">
        <f t="shared" si="5"/>
        <v>13.7</v>
      </c>
      <c r="U71" s="445"/>
      <c r="V71" s="445">
        <f t="shared" si="7"/>
        <v>13.7</v>
      </c>
      <c r="W71" s="445"/>
      <c r="X71" s="445"/>
    </row>
    <row r="72" spans="1:24">
      <c r="A72" s="225">
        <v>10</v>
      </c>
      <c r="B72" s="445" t="s">
        <v>1518</v>
      </c>
      <c r="C72" s="608">
        <v>1.5</v>
      </c>
      <c r="D72" s="608">
        <v>2.95</v>
      </c>
      <c r="E72" s="445">
        <v>2.82</v>
      </c>
      <c r="F72" s="445">
        <v>3.01</v>
      </c>
      <c r="G72" s="658">
        <v>3.4649999999999999</v>
      </c>
      <c r="H72" s="608">
        <f>C72</f>
        <v>1.5</v>
      </c>
      <c r="I72" s="445">
        <v>0.23</v>
      </c>
      <c r="J72" s="445">
        <v>0.505</v>
      </c>
      <c r="K72" s="445">
        <f>ROUND(J72*I72*H72,2)</f>
        <v>0.17</v>
      </c>
      <c r="L72" s="445" t="s">
        <v>1489</v>
      </c>
      <c r="M72" s="225" t="s">
        <v>1427</v>
      </c>
      <c r="N72" s="225">
        <v>3</v>
      </c>
      <c r="O72" s="608">
        <f>C72</f>
        <v>1.5</v>
      </c>
      <c r="P72" s="445">
        <f>0.23-2*0.025</f>
        <v>0.18</v>
      </c>
      <c r="Q72" s="445">
        <f>ROUND(2/3*J72,2)</f>
        <v>0.34</v>
      </c>
      <c r="R72" s="445">
        <f>ROUND(2/3*J72,2)</f>
        <v>0.34</v>
      </c>
      <c r="S72" s="608">
        <f>SUM(O72:R72)</f>
        <v>2.36</v>
      </c>
      <c r="T72" s="445">
        <f>S72*N72</f>
        <v>7.08</v>
      </c>
      <c r="U72" s="445">
        <f>T72</f>
        <v>7.08</v>
      </c>
      <c r="V72" s="445"/>
      <c r="W72" s="445"/>
      <c r="X72" s="445"/>
    </row>
    <row r="73" spans="1:24">
      <c r="A73" s="225"/>
      <c r="B73" s="445"/>
      <c r="C73" s="608"/>
      <c r="D73" s="608"/>
      <c r="E73" s="445"/>
      <c r="F73" s="445"/>
      <c r="G73" s="658"/>
      <c r="H73" s="658">
        <f>D72+E72+F72+G72+0.23</f>
        <v>12.475</v>
      </c>
      <c r="I73" s="445">
        <v>0.23</v>
      </c>
      <c r="J73" s="445">
        <v>0.42499999999999999</v>
      </c>
      <c r="K73" s="445">
        <f>ROUND(J73*I73*H73,2)</f>
        <v>1.22</v>
      </c>
      <c r="L73" s="445" t="s">
        <v>1489</v>
      </c>
      <c r="M73" s="225" t="s">
        <v>1427</v>
      </c>
      <c r="N73" s="225">
        <v>3</v>
      </c>
      <c r="O73" s="658">
        <f>H73</f>
        <v>12.475</v>
      </c>
      <c r="P73" s="445">
        <f>0.115+0.6</f>
        <v>0.71499999999999997</v>
      </c>
      <c r="Q73" s="445"/>
      <c r="R73" s="445">
        <f>ROUND(2/3*J73,2)</f>
        <v>0.28000000000000003</v>
      </c>
      <c r="S73" s="608">
        <f>SUM(O73:R73)</f>
        <v>13.469999999999999</v>
      </c>
      <c r="T73" s="445">
        <f>S73*N73</f>
        <v>40.409999999999997</v>
      </c>
      <c r="U73" s="445">
        <f>T73</f>
        <v>40.409999999999997</v>
      </c>
      <c r="V73" s="445"/>
      <c r="W73" s="445"/>
      <c r="X73" s="445"/>
    </row>
    <row r="74" spans="1:24">
      <c r="A74" s="225"/>
      <c r="B74" s="445"/>
      <c r="C74" s="445"/>
      <c r="D74" s="445"/>
      <c r="E74" s="445"/>
      <c r="F74" s="445"/>
      <c r="G74" s="445"/>
      <c r="H74" s="445"/>
      <c r="I74" s="445"/>
      <c r="J74" s="445"/>
      <c r="K74" s="445"/>
      <c r="L74" s="445" t="s">
        <v>1490</v>
      </c>
      <c r="M74" s="225" t="s">
        <v>1429</v>
      </c>
      <c r="N74" s="225">
        <v>2</v>
      </c>
      <c r="O74" s="658">
        <f>D72+E72+F72+G72+0.23+1.5</f>
        <v>13.975</v>
      </c>
      <c r="P74" s="445">
        <f>0.23-2*0.025</f>
        <v>0.18</v>
      </c>
      <c r="Q74" s="445">
        <f>ROUND(2/3*J72,2)</f>
        <v>0.34</v>
      </c>
      <c r="R74" s="445">
        <f>ROUND(2/3*J73,2)</f>
        <v>0.28000000000000003</v>
      </c>
      <c r="S74" s="608">
        <f>SUM(O74:R74)</f>
        <v>14.774999999999999</v>
      </c>
      <c r="T74" s="445">
        <f t="shared" ref="T74:T84" si="8">S74*N74</f>
        <v>29.549999999999997</v>
      </c>
      <c r="U74" s="445"/>
      <c r="V74" s="445"/>
      <c r="W74" s="445">
        <f>T74</f>
        <v>29.549999999999997</v>
      </c>
      <c r="X74" s="445"/>
    </row>
    <row r="75" spans="1:24">
      <c r="A75" s="225"/>
      <c r="B75" s="445"/>
      <c r="C75" s="445"/>
      <c r="D75" s="445"/>
      <c r="E75" s="445"/>
      <c r="F75" s="445"/>
      <c r="G75" s="445"/>
      <c r="H75" s="445"/>
      <c r="I75" s="445"/>
      <c r="J75" s="445"/>
      <c r="K75" s="445"/>
      <c r="L75" s="445" t="s">
        <v>1519</v>
      </c>
      <c r="M75" s="225" t="s">
        <v>1429</v>
      </c>
      <c r="N75" s="225">
        <v>2</v>
      </c>
      <c r="O75" s="658">
        <f>C72+0.23+0.86</f>
        <v>2.59</v>
      </c>
      <c r="P75" s="445">
        <f>0.23-2*0.025</f>
        <v>0.18</v>
      </c>
      <c r="Q75" s="445">
        <f>ROUND(2/3*J72,2)</f>
        <v>0.34</v>
      </c>
      <c r="R75" s="445"/>
      <c r="S75" s="608">
        <f>SUM(O75:R75)</f>
        <v>3.11</v>
      </c>
      <c r="T75" s="445">
        <f t="shared" si="8"/>
        <v>6.22</v>
      </c>
      <c r="U75" s="445"/>
      <c r="V75" s="445"/>
      <c r="W75" s="445">
        <f>T75</f>
        <v>6.22</v>
      </c>
      <c r="X75" s="445"/>
    </row>
    <row r="76" spans="1:24">
      <c r="A76" s="225"/>
      <c r="B76" s="445"/>
      <c r="C76" s="445"/>
      <c r="D76" s="445"/>
      <c r="E76" s="445"/>
      <c r="F76" s="445"/>
      <c r="G76" s="445"/>
      <c r="H76" s="445"/>
      <c r="I76" s="445"/>
      <c r="J76" s="445"/>
      <c r="K76" s="445"/>
      <c r="L76" s="657" t="s">
        <v>1497</v>
      </c>
      <c r="M76" s="225" t="s">
        <v>1428</v>
      </c>
      <c r="N76" s="225">
        <f>ROUND(1.5/0.1+1,0)</f>
        <v>16</v>
      </c>
      <c r="O76" s="445"/>
      <c r="P76" s="445"/>
      <c r="Q76" s="445"/>
      <c r="R76" s="445"/>
      <c r="S76" s="608">
        <f>2*(0.23+0.505)-4*0.025</f>
        <v>1.3699999999999999</v>
      </c>
      <c r="T76" s="445">
        <f t="shared" si="8"/>
        <v>21.919999999999998</v>
      </c>
      <c r="U76" s="445"/>
      <c r="V76" s="445">
        <f t="shared" ref="V76:V84" si="9">T76</f>
        <v>21.919999999999998</v>
      </c>
      <c r="W76" s="445"/>
      <c r="X76" s="445"/>
    </row>
    <row r="77" spans="1:24">
      <c r="A77" s="225"/>
      <c r="B77" s="445"/>
      <c r="C77" s="445"/>
      <c r="D77" s="445"/>
      <c r="E77" s="445"/>
      <c r="F77" s="445"/>
      <c r="G77" s="445"/>
      <c r="H77" s="445"/>
      <c r="I77" s="445"/>
      <c r="J77" s="445"/>
      <c r="K77" s="445"/>
      <c r="L77" s="657" t="s">
        <v>1491</v>
      </c>
      <c r="M77" s="225" t="s">
        <v>1428</v>
      </c>
      <c r="N77" s="225">
        <f>ROUND(0.75/0.1+1,0)*2</f>
        <v>18</v>
      </c>
      <c r="O77" s="445"/>
      <c r="P77" s="445"/>
      <c r="Q77" s="445"/>
      <c r="R77" s="445"/>
      <c r="S77" s="608">
        <f>2*(0.23+0.425)-4*0.025</f>
        <v>1.21</v>
      </c>
      <c r="T77" s="445">
        <f t="shared" si="8"/>
        <v>21.78</v>
      </c>
      <c r="U77" s="445"/>
      <c r="V77" s="445">
        <f t="shared" si="9"/>
        <v>21.78</v>
      </c>
      <c r="W77" s="445"/>
      <c r="X77" s="445"/>
    </row>
    <row r="78" spans="1:24">
      <c r="A78" s="225"/>
      <c r="B78" s="445"/>
      <c r="C78" s="445"/>
      <c r="D78" s="445"/>
      <c r="E78" s="445"/>
      <c r="F78" s="445"/>
      <c r="G78" s="445"/>
      <c r="H78" s="445"/>
      <c r="I78" s="445"/>
      <c r="J78" s="445"/>
      <c r="K78" s="445"/>
      <c r="L78" s="657" t="s">
        <v>1491</v>
      </c>
      <c r="M78" s="225" t="s">
        <v>1428</v>
      </c>
      <c r="N78" s="225">
        <f>ROUND(0.75/0.1+1,0)*2</f>
        <v>18</v>
      </c>
      <c r="O78" s="445"/>
      <c r="P78" s="445"/>
      <c r="Q78" s="445"/>
      <c r="R78" s="445"/>
      <c r="S78" s="608">
        <f>2*(0.23+0.505)-4*0.025</f>
        <v>1.3699999999999999</v>
      </c>
      <c r="T78" s="445">
        <f t="shared" si="8"/>
        <v>24.659999999999997</v>
      </c>
      <c r="U78" s="445"/>
      <c r="V78" s="445">
        <f t="shared" si="9"/>
        <v>24.659999999999997</v>
      </c>
      <c r="W78" s="445"/>
      <c r="X78" s="445"/>
    </row>
    <row r="79" spans="1:24">
      <c r="A79" s="225"/>
      <c r="B79" s="445"/>
      <c r="C79" s="445"/>
      <c r="D79" s="445"/>
      <c r="E79" s="445"/>
      <c r="F79" s="445"/>
      <c r="G79" s="445"/>
      <c r="H79" s="445"/>
      <c r="I79" s="445"/>
      <c r="J79" s="445"/>
      <c r="K79" s="445"/>
      <c r="L79" s="657" t="s">
        <v>1491</v>
      </c>
      <c r="M79" s="225" t="s">
        <v>1428</v>
      </c>
      <c r="N79" s="225">
        <f>ROUND(0.75/0.1+1,0)*2</f>
        <v>18</v>
      </c>
      <c r="O79" s="445"/>
      <c r="P79" s="445"/>
      <c r="Q79" s="445"/>
      <c r="R79" s="445"/>
      <c r="S79" s="608">
        <f>2*(0.23+0.505)-4*0.025</f>
        <v>1.3699999999999999</v>
      </c>
      <c r="T79" s="445">
        <f t="shared" si="8"/>
        <v>24.659999999999997</v>
      </c>
      <c r="U79" s="445"/>
      <c r="V79" s="445">
        <f t="shared" si="9"/>
        <v>24.659999999999997</v>
      </c>
      <c r="W79" s="445"/>
      <c r="X79" s="445"/>
    </row>
    <row r="80" spans="1:24">
      <c r="A80" s="225"/>
      <c r="B80" s="445"/>
      <c r="C80" s="445"/>
      <c r="D80" s="445"/>
      <c r="E80" s="445"/>
      <c r="F80" s="445"/>
      <c r="G80" s="445"/>
      <c r="H80" s="445"/>
      <c r="I80" s="445"/>
      <c r="J80" s="445"/>
      <c r="K80" s="445"/>
      <c r="L80" s="657" t="s">
        <v>1491</v>
      </c>
      <c r="M80" s="225" t="s">
        <v>1428</v>
      </c>
      <c r="N80" s="225">
        <f>ROUND(0.9/0.1+1,0)*2</f>
        <v>20</v>
      </c>
      <c r="O80" s="445"/>
      <c r="P80" s="445"/>
      <c r="Q80" s="445"/>
      <c r="R80" s="445"/>
      <c r="S80" s="608">
        <f>2*(0.23+0.505)-4*0.025</f>
        <v>1.3699999999999999</v>
      </c>
      <c r="T80" s="445">
        <f t="shared" si="8"/>
        <v>27.4</v>
      </c>
      <c r="U80" s="445"/>
      <c r="V80" s="445">
        <f t="shared" si="9"/>
        <v>27.4</v>
      </c>
      <c r="W80" s="445"/>
      <c r="X80" s="445"/>
    </row>
    <row r="81" spans="1:24">
      <c r="A81" s="225"/>
      <c r="B81" s="445"/>
      <c r="C81" s="445"/>
      <c r="D81" s="445"/>
      <c r="E81" s="445"/>
      <c r="F81" s="445"/>
      <c r="G81" s="445"/>
      <c r="H81" s="445"/>
      <c r="I81" s="445"/>
      <c r="J81" s="445"/>
      <c r="K81" s="445"/>
      <c r="L81" s="657" t="s">
        <v>1492</v>
      </c>
      <c r="M81" s="225" t="s">
        <v>1428</v>
      </c>
      <c r="N81" s="225">
        <f>ROUND((D72-0.23-2*0.75)/0.14+1,0)</f>
        <v>10</v>
      </c>
      <c r="O81" s="445"/>
      <c r="P81" s="445"/>
      <c r="Q81" s="445"/>
      <c r="R81" s="445"/>
      <c r="S81" s="608">
        <f>2*(0.23+0.425)-4*0.025</f>
        <v>1.21</v>
      </c>
      <c r="T81" s="445">
        <f t="shared" si="8"/>
        <v>12.1</v>
      </c>
      <c r="U81" s="445"/>
      <c r="V81" s="445">
        <f t="shared" si="9"/>
        <v>12.1</v>
      </c>
      <c r="W81" s="445"/>
      <c r="X81" s="445"/>
    </row>
    <row r="82" spans="1:24">
      <c r="A82" s="225"/>
      <c r="B82" s="445"/>
      <c r="C82" s="445"/>
      <c r="D82" s="445"/>
      <c r="E82" s="445"/>
      <c r="F82" s="445"/>
      <c r="G82" s="445"/>
      <c r="H82" s="445"/>
      <c r="I82" s="445"/>
      <c r="J82" s="445"/>
      <c r="K82" s="445"/>
      <c r="L82" s="657" t="s">
        <v>1492</v>
      </c>
      <c r="M82" s="225" t="s">
        <v>1428</v>
      </c>
      <c r="N82" s="225">
        <f>ROUND((F72-0.23-2*0.75)/0.16+1,0)</f>
        <v>9</v>
      </c>
      <c r="O82" s="445"/>
      <c r="P82" s="445"/>
      <c r="Q82" s="445"/>
      <c r="R82" s="445"/>
      <c r="S82" s="608">
        <f>2*(0.23+0.505)-4*0.025</f>
        <v>1.3699999999999999</v>
      </c>
      <c r="T82" s="445">
        <f t="shared" si="8"/>
        <v>12.329999999999998</v>
      </c>
      <c r="U82" s="445"/>
      <c r="V82" s="445">
        <f t="shared" si="9"/>
        <v>12.329999999999998</v>
      </c>
      <c r="W82" s="445"/>
      <c r="X82" s="445"/>
    </row>
    <row r="83" spans="1:24">
      <c r="A83" s="225"/>
      <c r="B83" s="445"/>
      <c r="C83" s="445"/>
      <c r="D83" s="445"/>
      <c r="E83" s="445"/>
      <c r="F83" s="445"/>
      <c r="G83" s="445"/>
      <c r="H83" s="445"/>
      <c r="I83" s="445"/>
      <c r="J83" s="445"/>
      <c r="K83" s="445"/>
      <c r="L83" s="657" t="s">
        <v>1492</v>
      </c>
      <c r="M83" s="225" t="s">
        <v>1428</v>
      </c>
      <c r="N83" s="225">
        <f>ROUND((F72-0.23-2*0.9)/0.16+1,0)</f>
        <v>7</v>
      </c>
      <c r="O83" s="445"/>
      <c r="P83" s="445"/>
      <c r="Q83" s="445"/>
      <c r="R83" s="445"/>
      <c r="S83" s="608">
        <f>2*(0.23+0.505)-4*0.025</f>
        <v>1.3699999999999999</v>
      </c>
      <c r="T83" s="445">
        <f t="shared" si="8"/>
        <v>9.59</v>
      </c>
      <c r="U83" s="445"/>
      <c r="V83" s="445">
        <f t="shared" si="9"/>
        <v>9.59</v>
      </c>
      <c r="W83" s="445"/>
      <c r="X83" s="445"/>
    </row>
    <row r="84" spans="1:24">
      <c r="A84" s="225"/>
      <c r="B84" s="445"/>
      <c r="C84" s="445"/>
      <c r="D84" s="445"/>
      <c r="E84" s="445"/>
      <c r="F84" s="445"/>
      <c r="G84" s="445"/>
      <c r="H84" s="445"/>
      <c r="I84" s="445"/>
      <c r="J84" s="445"/>
      <c r="K84" s="445"/>
      <c r="L84" s="657" t="s">
        <v>1492</v>
      </c>
      <c r="M84" s="225" t="s">
        <v>1428</v>
      </c>
      <c r="N84" s="225">
        <f>ROUND((G72-0.23-2*0.9)/0.14+1,0)</f>
        <v>11</v>
      </c>
      <c r="O84" s="445"/>
      <c r="P84" s="445"/>
      <c r="Q84" s="445"/>
      <c r="R84" s="445"/>
      <c r="S84" s="608">
        <f>2*(0.23+0.505)-4*0.025</f>
        <v>1.3699999999999999</v>
      </c>
      <c r="T84" s="445">
        <f t="shared" si="8"/>
        <v>15.069999999999999</v>
      </c>
      <c r="U84" s="445"/>
      <c r="V84" s="445">
        <f t="shared" si="9"/>
        <v>15.069999999999999</v>
      </c>
      <c r="W84" s="445"/>
      <c r="X84" s="445"/>
    </row>
    <row r="85" spans="1:24">
      <c r="A85" s="225">
        <v>11</v>
      </c>
      <c r="B85" s="445" t="s">
        <v>1520</v>
      </c>
      <c r="C85" s="608">
        <v>1.5</v>
      </c>
      <c r="D85" s="608">
        <v>2.95</v>
      </c>
      <c r="E85" s="445">
        <v>2.82</v>
      </c>
      <c r="F85" s="445">
        <v>3.01</v>
      </c>
      <c r="G85" s="658">
        <v>3.4649999999999999</v>
      </c>
      <c r="H85" s="608">
        <f>C85</f>
        <v>1.5</v>
      </c>
      <c r="I85" s="445">
        <v>0.23</v>
      </c>
      <c r="J85" s="445">
        <v>0.505</v>
      </c>
      <c r="K85" s="445">
        <f>ROUND(J85*I85*H85,2)</f>
        <v>0.17</v>
      </c>
      <c r="L85" s="445" t="s">
        <v>1489</v>
      </c>
      <c r="M85" s="225" t="s">
        <v>1427</v>
      </c>
      <c r="N85" s="225">
        <v>3</v>
      </c>
      <c r="O85" s="608">
        <f>C85</f>
        <v>1.5</v>
      </c>
      <c r="P85" s="445">
        <f>0.23-2*0.025</f>
        <v>0.18</v>
      </c>
      <c r="Q85" s="445">
        <f>ROUND(2/3*J85,2)</f>
        <v>0.34</v>
      </c>
      <c r="R85" s="445">
        <f>ROUND(2/3*J85,2)</f>
        <v>0.34</v>
      </c>
      <c r="S85" s="608">
        <f>SUM(O85:R85)</f>
        <v>2.36</v>
      </c>
      <c r="T85" s="445">
        <f>S85*N85</f>
        <v>7.08</v>
      </c>
      <c r="U85" s="445">
        <f>T85</f>
        <v>7.08</v>
      </c>
      <c r="V85" s="445"/>
      <c r="W85" s="445"/>
      <c r="X85" s="445"/>
    </row>
    <row r="86" spans="1:24">
      <c r="A86" s="225"/>
      <c r="B86" s="445"/>
      <c r="C86" s="608"/>
      <c r="D86" s="608"/>
      <c r="E86" s="445"/>
      <c r="F86" s="445"/>
      <c r="G86" s="658"/>
      <c r="H86" s="658">
        <f>D85+E85+F85+G85+0.23</f>
        <v>12.475</v>
      </c>
      <c r="I86" s="445">
        <v>0.23</v>
      </c>
      <c r="J86" s="445">
        <v>0.42499999999999999</v>
      </c>
      <c r="K86" s="445">
        <f>ROUND(J86*I86*H86,2)</f>
        <v>1.22</v>
      </c>
      <c r="L86" s="445" t="s">
        <v>1489</v>
      </c>
      <c r="M86" s="225" t="s">
        <v>1427</v>
      </c>
      <c r="N86" s="225">
        <v>3</v>
      </c>
      <c r="O86" s="658">
        <f>H86</f>
        <v>12.475</v>
      </c>
      <c r="P86" s="445">
        <f>0.115+0.6</f>
        <v>0.71499999999999997</v>
      </c>
      <c r="Q86" s="445"/>
      <c r="R86" s="445">
        <f>ROUND(2/3*J86,2)</f>
        <v>0.28000000000000003</v>
      </c>
      <c r="S86" s="608">
        <f>SUM(O86:R86)</f>
        <v>13.469999999999999</v>
      </c>
      <c r="T86" s="445">
        <f>S86*N86</f>
        <v>40.409999999999997</v>
      </c>
      <c r="U86" s="445">
        <f>T86</f>
        <v>40.409999999999997</v>
      </c>
      <c r="V86" s="445"/>
      <c r="W86" s="445"/>
      <c r="X86" s="445"/>
    </row>
    <row r="87" spans="1:24">
      <c r="A87" s="225"/>
      <c r="B87" s="445"/>
      <c r="C87" s="445"/>
      <c r="D87" s="445"/>
      <c r="E87" s="445"/>
      <c r="F87" s="445"/>
      <c r="G87" s="445"/>
      <c r="L87" s="445" t="s">
        <v>1490</v>
      </c>
      <c r="M87" s="225" t="s">
        <v>1429</v>
      </c>
      <c r="N87" s="225">
        <v>2</v>
      </c>
      <c r="O87" s="658">
        <f>D85+E85+F85+G85+0.23+1.5</f>
        <v>13.975</v>
      </c>
      <c r="P87" s="445">
        <f>0.23-2*0.025</f>
        <v>0.18</v>
      </c>
      <c r="Q87" s="445">
        <f>ROUND(2/3*J85,2)</f>
        <v>0.34</v>
      </c>
      <c r="R87" s="445">
        <f>ROUND(2/3*J86,2)</f>
        <v>0.28000000000000003</v>
      </c>
      <c r="S87" s="608">
        <f>SUM(O87:R87)</f>
        <v>14.774999999999999</v>
      </c>
      <c r="T87" s="445">
        <f t="shared" ref="T87:T97" si="10">S87*N87</f>
        <v>29.549999999999997</v>
      </c>
      <c r="U87" s="445"/>
      <c r="V87" s="445"/>
      <c r="W87" s="445">
        <f>T87</f>
        <v>29.549999999999997</v>
      </c>
      <c r="X87" s="445"/>
    </row>
    <row r="88" spans="1:24">
      <c r="A88" s="225"/>
      <c r="B88" s="445"/>
      <c r="C88" s="445"/>
      <c r="D88" s="445"/>
      <c r="E88" s="445"/>
      <c r="F88" s="445"/>
      <c r="G88" s="445"/>
      <c r="H88" s="445"/>
      <c r="I88" s="445"/>
      <c r="J88" s="445"/>
      <c r="K88" s="445"/>
      <c r="L88" s="445" t="s">
        <v>1519</v>
      </c>
      <c r="M88" s="225" t="s">
        <v>1429</v>
      </c>
      <c r="N88" s="225">
        <v>2</v>
      </c>
      <c r="O88" s="658">
        <f>C85+0.23+0.86</f>
        <v>2.59</v>
      </c>
      <c r="P88" s="445">
        <f>0.23-2*0.025</f>
        <v>0.18</v>
      </c>
      <c r="Q88" s="445">
        <f>ROUND(2/3*J85,2)</f>
        <v>0.34</v>
      </c>
      <c r="R88" s="445"/>
      <c r="S88" s="608">
        <f>SUM(O88:R88)</f>
        <v>3.11</v>
      </c>
      <c r="T88" s="445">
        <f t="shared" si="10"/>
        <v>6.22</v>
      </c>
      <c r="U88" s="445"/>
      <c r="V88" s="445"/>
      <c r="W88" s="445">
        <f>T88</f>
        <v>6.22</v>
      </c>
      <c r="X88" s="445"/>
    </row>
    <row r="89" spans="1:24">
      <c r="A89" s="225"/>
      <c r="B89" s="445"/>
      <c r="C89" s="445"/>
      <c r="D89" s="445"/>
      <c r="E89" s="445"/>
      <c r="F89" s="445"/>
      <c r="G89" s="445"/>
      <c r="H89" s="445"/>
      <c r="I89" s="445"/>
      <c r="J89" s="445"/>
      <c r="K89" s="445"/>
      <c r="L89" s="657" t="s">
        <v>1497</v>
      </c>
      <c r="M89" s="225" t="s">
        <v>1428</v>
      </c>
      <c r="N89" s="225">
        <f>ROUND(1.5/0.1+1,0)</f>
        <v>16</v>
      </c>
      <c r="O89" s="445"/>
      <c r="P89" s="445"/>
      <c r="Q89" s="445"/>
      <c r="R89" s="445"/>
      <c r="S89" s="608">
        <f>2*(0.23+0.505)-4*0.025</f>
        <v>1.3699999999999999</v>
      </c>
      <c r="T89" s="445">
        <f t="shared" si="10"/>
        <v>21.919999999999998</v>
      </c>
      <c r="U89" s="445"/>
      <c r="V89" s="445">
        <f t="shared" ref="V89:V97" si="11">T89</f>
        <v>21.919999999999998</v>
      </c>
      <c r="W89" s="445"/>
      <c r="X89" s="445"/>
    </row>
    <row r="90" spans="1:24">
      <c r="A90" s="225"/>
      <c r="B90" s="445"/>
      <c r="C90" s="445"/>
      <c r="D90" s="445"/>
      <c r="E90" s="445"/>
      <c r="F90" s="445"/>
      <c r="G90" s="445"/>
      <c r="H90" s="445"/>
      <c r="I90" s="445"/>
      <c r="J90" s="445"/>
      <c r="K90" s="445"/>
      <c r="L90" s="657" t="s">
        <v>1491</v>
      </c>
      <c r="M90" s="225" t="s">
        <v>1428</v>
      </c>
      <c r="N90" s="225">
        <f>ROUND(0.75/0.1+1,0)*2</f>
        <v>18</v>
      </c>
      <c r="O90" s="445"/>
      <c r="P90" s="445"/>
      <c r="Q90" s="445"/>
      <c r="R90" s="445"/>
      <c r="S90" s="608">
        <f>2*(0.23+0.425)-4*0.025</f>
        <v>1.21</v>
      </c>
      <c r="T90" s="445">
        <f t="shared" si="10"/>
        <v>21.78</v>
      </c>
      <c r="U90" s="445"/>
      <c r="V90" s="445">
        <f t="shared" si="11"/>
        <v>21.78</v>
      </c>
      <c r="W90" s="445"/>
      <c r="X90" s="445"/>
    </row>
    <row r="91" spans="1:24">
      <c r="A91" s="225"/>
      <c r="B91" s="445"/>
      <c r="C91" s="445"/>
      <c r="D91" s="445"/>
      <c r="E91" s="445"/>
      <c r="F91" s="445"/>
      <c r="G91" s="445"/>
      <c r="H91" s="445"/>
      <c r="I91" s="445"/>
      <c r="J91" s="445"/>
      <c r="K91" s="445"/>
      <c r="L91" s="657" t="s">
        <v>1491</v>
      </c>
      <c r="M91" s="225" t="s">
        <v>1428</v>
      </c>
      <c r="N91" s="225">
        <f>ROUND(0.75/0.1+1,0)*2</f>
        <v>18</v>
      </c>
      <c r="O91" s="445"/>
      <c r="P91" s="445"/>
      <c r="Q91" s="445"/>
      <c r="R91" s="445"/>
      <c r="S91" s="608">
        <f>2*(0.23+0.505)-4*0.025</f>
        <v>1.3699999999999999</v>
      </c>
      <c r="T91" s="445">
        <f t="shared" si="10"/>
        <v>24.659999999999997</v>
      </c>
      <c r="U91" s="445"/>
      <c r="V91" s="445">
        <f t="shared" si="11"/>
        <v>24.659999999999997</v>
      </c>
      <c r="W91" s="445"/>
      <c r="X91" s="445"/>
    </row>
    <row r="92" spans="1:24">
      <c r="A92" s="225"/>
      <c r="B92" s="445"/>
      <c r="C92" s="445"/>
      <c r="D92" s="445"/>
      <c r="E92" s="445"/>
      <c r="F92" s="445"/>
      <c r="G92" s="445"/>
      <c r="H92" s="445"/>
      <c r="I92" s="445"/>
      <c r="J92" s="445"/>
      <c r="K92" s="445"/>
      <c r="L92" s="657" t="s">
        <v>1491</v>
      </c>
      <c r="M92" s="225" t="s">
        <v>1428</v>
      </c>
      <c r="N92" s="225">
        <f>ROUND(0.75/0.1+1,0)*2</f>
        <v>18</v>
      </c>
      <c r="O92" s="445"/>
      <c r="P92" s="445"/>
      <c r="Q92" s="445"/>
      <c r="R92" s="445"/>
      <c r="S92" s="608">
        <f>2*(0.23+0.505)-4*0.025</f>
        <v>1.3699999999999999</v>
      </c>
      <c r="T92" s="445">
        <f t="shared" si="10"/>
        <v>24.659999999999997</v>
      </c>
      <c r="U92" s="445"/>
      <c r="V92" s="445">
        <f t="shared" si="11"/>
        <v>24.659999999999997</v>
      </c>
      <c r="W92" s="445"/>
      <c r="X92" s="445"/>
    </row>
    <row r="93" spans="1:24">
      <c r="A93" s="225"/>
      <c r="B93" s="445"/>
      <c r="C93" s="445"/>
      <c r="D93" s="445"/>
      <c r="E93" s="445"/>
      <c r="F93" s="445"/>
      <c r="G93" s="445"/>
      <c r="H93" s="445"/>
      <c r="I93" s="445"/>
      <c r="J93" s="445"/>
      <c r="K93" s="445"/>
      <c r="L93" s="657" t="s">
        <v>1491</v>
      </c>
      <c r="M93" s="225" t="s">
        <v>1428</v>
      </c>
      <c r="N93" s="225">
        <f>ROUND(0.9/0.1+1,0)*2</f>
        <v>20</v>
      </c>
      <c r="O93" s="445"/>
      <c r="P93" s="445"/>
      <c r="Q93" s="445"/>
      <c r="R93" s="445"/>
      <c r="S93" s="608">
        <f>2*(0.23+0.505)-4*0.025</f>
        <v>1.3699999999999999</v>
      </c>
      <c r="T93" s="445">
        <f t="shared" si="10"/>
        <v>27.4</v>
      </c>
      <c r="U93" s="445"/>
      <c r="V93" s="445">
        <f t="shared" si="11"/>
        <v>27.4</v>
      </c>
      <c r="W93" s="445"/>
      <c r="X93" s="445"/>
    </row>
    <row r="94" spans="1:24">
      <c r="A94" s="225"/>
      <c r="B94" s="445"/>
      <c r="C94" s="445"/>
      <c r="D94" s="445"/>
      <c r="E94" s="445"/>
      <c r="F94" s="445"/>
      <c r="G94" s="445"/>
      <c r="H94" s="445"/>
      <c r="I94" s="445"/>
      <c r="J94" s="445"/>
      <c r="K94" s="445"/>
      <c r="L94" s="657" t="s">
        <v>1492</v>
      </c>
      <c r="M94" s="225" t="s">
        <v>1428</v>
      </c>
      <c r="N94" s="225">
        <f>ROUND((D85-0.23-2*0.75)/0.14+1,0)</f>
        <v>10</v>
      </c>
      <c r="O94" s="445"/>
      <c r="P94" s="445"/>
      <c r="Q94" s="445"/>
      <c r="R94" s="445"/>
      <c r="S94" s="608">
        <f>2*(0.23+0.425)-4*0.025</f>
        <v>1.21</v>
      </c>
      <c r="T94" s="445">
        <f t="shared" si="10"/>
        <v>12.1</v>
      </c>
      <c r="U94" s="445"/>
      <c r="V94" s="445">
        <f t="shared" si="11"/>
        <v>12.1</v>
      </c>
      <c r="W94" s="445"/>
      <c r="X94" s="445"/>
    </row>
    <row r="95" spans="1:24">
      <c r="A95" s="225"/>
      <c r="B95" s="445"/>
      <c r="C95" s="445"/>
      <c r="D95" s="445"/>
      <c r="E95" s="445"/>
      <c r="F95" s="445"/>
      <c r="G95" s="445"/>
      <c r="H95" s="445"/>
      <c r="I95" s="445"/>
      <c r="J95" s="445"/>
      <c r="K95" s="445"/>
      <c r="L95" s="657" t="s">
        <v>1492</v>
      </c>
      <c r="M95" s="225" t="s">
        <v>1428</v>
      </c>
      <c r="N95" s="225">
        <f>ROUND((F85-0.23-2*0.75)/0.16+1,0)</f>
        <v>9</v>
      </c>
      <c r="O95" s="445"/>
      <c r="P95" s="445"/>
      <c r="Q95" s="445"/>
      <c r="R95" s="445"/>
      <c r="S95" s="608">
        <f>2*(0.23+0.505)-4*0.025</f>
        <v>1.3699999999999999</v>
      </c>
      <c r="T95" s="445">
        <f t="shared" si="10"/>
        <v>12.329999999999998</v>
      </c>
      <c r="U95" s="445"/>
      <c r="V95" s="445">
        <f t="shared" si="11"/>
        <v>12.329999999999998</v>
      </c>
      <c r="W95" s="445"/>
      <c r="X95" s="445"/>
    </row>
    <row r="96" spans="1:24">
      <c r="A96" s="225"/>
      <c r="B96" s="445"/>
      <c r="C96" s="445"/>
      <c r="D96" s="445"/>
      <c r="E96" s="445"/>
      <c r="F96" s="445"/>
      <c r="G96" s="445"/>
      <c r="H96" s="445"/>
      <c r="I96" s="445"/>
      <c r="J96" s="445"/>
      <c r="K96" s="445"/>
      <c r="L96" s="657" t="s">
        <v>1492</v>
      </c>
      <c r="M96" s="225" t="s">
        <v>1428</v>
      </c>
      <c r="N96" s="225">
        <f>ROUND((F85-0.23-2*0.9)/0.16+1,0)</f>
        <v>7</v>
      </c>
      <c r="O96" s="445"/>
      <c r="P96" s="445"/>
      <c r="Q96" s="445"/>
      <c r="R96" s="445"/>
      <c r="S96" s="608">
        <f>2*(0.23+0.505)-4*0.025</f>
        <v>1.3699999999999999</v>
      </c>
      <c r="T96" s="445">
        <f t="shared" si="10"/>
        <v>9.59</v>
      </c>
      <c r="U96" s="445"/>
      <c r="V96" s="445">
        <f t="shared" si="11"/>
        <v>9.59</v>
      </c>
      <c r="W96" s="445"/>
      <c r="X96" s="445"/>
    </row>
    <row r="97" spans="1:24">
      <c r="A97" s="225"/>
      <c r="B97" s="445"/>
      <c r="C97" s="445"/>
      <c r="D97" s="445"/>
      <c r="E97" s="445"/>
      <c r="F97" s="445"/>
      <c r="G97" s="445"/>
      <c r="H97" s="445"/>
      <c r="I97" s="445"/>
      <c r="J97" s="445"/>
      <c r="K97" s="445"/>
      <c r="L97" s="657" t="s">
        <v>1492</v>
      </c>
      <c r="M97" s="225" t="s">
        <v>1428</v>
      </c>
      <c r="N97" s="225">
        <f>ROUND((G85-0.23-2*0.9)/0.14+1,0)</f>
        <v>11</v>
      </c>
      <c r="O97" s="445"/>
      <c r="P97" s="445"/>
      <c r="Q97" s="445"/>
      <c r="R97" s="445"/>
      <c r="S97" s="608">
        <f>2*(0.23+0.505)-4*0.025</f>
        <v>1.3699999999999999</v>
      </c>
      <c r="T97" s="445">
        <f t="shared" si="10"/>
        <v>15.069999999999999</v>
      </c>
      <c r="U97" s="445"/>
      <c r="V97" s="445">
        <f t="shared" si="11"/>
        <v>15.069999999999999</v>
      </c>
      <c r="W97" s="445"/>
      <c r="X97" s="445"/>
    </row>
    <row r="98" spans="1:24">
      <c r="A98" s="225">
        <v>11</v>
      </c>
      <c r="B98" s="445" t="s">
        <v>1520</v>
      </c>
      <c r="C98" s="608">
        <v>1.5</v>
      </c>
      <c r="D98" s="608">
        <v>2.95</v>
      </c>
      <c r="E98" s="445">
        <v>2.82</v>
      </c>
      <c r="F98" s="445">
        <v>3.01</v>
      </c>
      <c r="G98" s="658">
        <v>3.4649999999999999</v>
      </c>
      <c r="H98" s="608">
        <f>C98</f>
        <v>1.5</v>
      </c>
      <c r="I98" s="445">
        <v>0.23</v>
      </c>
      <c r="J98" s="445">
        <v>0.505</v>
      </c>
      <c r="K98" s="445">
        <f>ROUND(J98*I98*H98,2)</f>
        <v>0.17</v>
      </c>
      <c r="L98" s="445" t="s">
        <v>1489</v>
      </c>
      <c r="M98" s="225" t="s">
        <v>1427</v>
      </c>
      <c r="N98" s="225">
        <v>3</v>
      </c>
      <c r="O98" s="608">
        <f>C98</f>
        <v>1.5</v>
      </c>
      <c r="P98" s="445">
        <f>0.23-2*0.025</f>
        <v>0.18</v>
      </c>
      <c r="Q98" s="445">
        <f>ROUND(2/3*J98,2)</f>
        <v>0.34</v>
      </c>
      <c r="R98" s="445">
        <f>ROUND(2/3*J98,2)</f>
        <v>0.34</v>
      </c>
      <c r="S98" s="608">
        <f>SUM(O98:R98)</f>
        <v>2.36</v>
      </c>
      <c r="T98" s="445">
        <f>S98*N98</f>
        <v>7.08</v>
      </c>
      <c r="U98" s="445">
        <f>T98</f>
        <v>7.08</v>
      </c>
      <c r="V98" s="445"/>
      <c r="W98" s="445"/>
      <c r="X98" s="445"/>
    </row>
    <row r="99" spans="1:24">
      <c r="A99" s="225"/>
      <c r="B99" s="445"/>
      <c r="C99" s="608"/>
      <c r="D99" s="608"/>
      <c r="E99" s="445"/>
      <c r="F99" s="445"/>
      <c r="G99" s="658"/>
      <c r="H99" s="658">
        <f>D98+E98+F98+G98+0.23</f>
        <v>12.475</v>
      </c>
      <c r="I99" s="445">
        <v>0.23</v>
      </c>
      <c r="J99" s="445">
        <v>0.42499999999999999</v>
      </c>
      <c r="K99" s="445">
        <f>ROUND(J99*I99*H99,2)</f>
        <v>1.22</v>
      </c>
      <c r="L99" s="445" t="s">
        <v>1489</v>
      </c>
      <c r="M99" s="225" t="s">
        <v>1427</v>
      </c>
      <c r="N99" s="225">
        <v>3</v>
      </c>
      <c r="O99" s="658">
        <f>H99</f>
        <v>12.475</v>
      </c>
      <c r="P99" s="445">
        <f>0.115+0.6</f>
        <v>0.71499999999999997</v>
      </c>
      <c r="Q99" s="445"/>
      <c r="R99" s="445">
        <f>ROUND(2/3*J99,2)</f>
        <v>0.28000000000000003</v>
      </c>
      <c r="S99" s="608">
        <f>SUM(O99:R99)</f>
        <v>13.469999999999999</v>
      </c>
      <c r="T99" s="445">
        <f>S99*N99</f>
        <v>40.409999999999997</v>
      </c>
      <c r="U99" s="445">
        <f>T99</f>
        <v>40.409999999999997</v>
      </c>
      <c r="V99" s="445"/>
      <c r="W99" s="445"/>
      <c r="X99" s="445"/>
    </row>
    <row r="100" spans="1:24">
      <c r="A100" s="225"/>
      <c r="B100" s="445"/>
      <c r="C100" s="445"/>
      <c r="D100" s="445"/>
      <c r="E100" s="445"/>
      <c r="F100" s="445"/>
      <c r="G100" s="445"/>
      <c r="H100" s="445"/>
      <c r="I100" s="445"/>
      <c r="J100" s="445"/>
      <c r="K100" s="445"/>
      <c r="L100" s="445" t="s">
        <v>1490</v>
      </c>
      <c r="M100" s="225" t="s">
        <v>1429</v>
      </c>
      <c r="N100" s="225">
        <v>2</v>
      </c>
      <c r="O100" s="658">
        <f>D98+E98+F98+G98+0.23+1.5</f>
        <v>13.975</v>
      </c>
      <c r="P100" s="445">
        <f>0.23-2*0.025</f>
        <v>0.18</v>
      </c>
      <c r="Q100" s="445">
        <f>ROUND(2/3*J98,2)</f>
        <v>0.34</v>
      </c>
      <c r="R100" s="445">
        <f>ROUND(2/3*J99,2)</f>
        <v>0.28000000000000003</v>
      </c>
      <c r="S100" s="608">
        <f>SUM(O100:R100)</f>
        <v>14.774999999999999</v>
      </c>
      <c r="T100" s="445">
        <f t="shared" ref="T100:T110" si="12">S100*N100</f>
        <v>29.549999999999997</v>
      </c>
      <c r="U100" s="445"/>
      <c r="V100" s="445"/>
      <c r="W100" s="445">
        <f>T100</f>
        <v>29.549999999999997</v>
      </c>
      <c r="X100" s="445"/>
    </row>
    <row r="101" spans="1:24">
      <c r="A101" s="225"/>
      <c r="B101" s="445"/>
      <c r="C101" s="445"/>
      <c r="D101" s="445"/>
      <c r="E101" s="445"/>
      <c r="F101" s="445"/>
      <c r="G101" s="445"/>
      <c r="H101" s="445"/>
      <c r="I101" s="445"/>
      <c r="J101" s="445"/>
      <c r="K101" s="445"/>
      <c r="L101" s="445" t="s">
        <v>1519</v>
      </c>
      <c r="M101" s="225" t="s">
        <v>1429</v>
      </c>
      <c r="N101" s="225">
        <v>2</v>
      </c>
      <c r="O101" s="658">
        <f>C98+0.23+0.86</f>
        <v>2.59</v>
      </c>
      <c r="P101" s="445">
        <f>0.23-2*0.025</f>
        <v>0.18</v>
      </c>
      <c r="Q101" s="445">
        <f>ROUND(2/3*J98,2)</f>
        <v>0.34</v>
      </c>
      <c r="R101" s="445"/>
      <c r="S101" s="608">
        <f>SUM(O101:R101)</f>
        <v>3.11</v>
      </c>
      <c r="T101" s="445">
        <f t="shared" si="12"/>
        <v>6.22</v>
      </c>
      <c r="U101" s="445"/>
      <c r="V101" s="445"/>
      <c r="W101" s="445">
        <f>T101</f>
        <v>6.22</v>
      </c>
      <c r="X101" s="445"/>
    </row>
    <row r="102" spans="1:24">
      <c r="A102" s="225"/>
      <c r="B102" s="445"/>
      <c r="C102" s="445"/>
      <c r="D102" s="445"/>
      <c r="E102" s="445"/>
      <c r="F102" s="445"/>
      <c r="G102" s="445"/>
      <c r="H102" s="445"/>
      <c r="I102" s="445"/>
      <c r="J102" s="445"/>
      <c r="K102" s="445"/>
      <c r="L102" s="657" t="s">
        <v>1497</v>
      </c>
      <c r="M102" s="225" t="s">
        <v>1428</v>
      </c>
      <c r="N102" s="225">
        <f>ROUND(1.5/0.1+1,0)</f>
        <v>16</v>
      </c>
      <c r="O102" s="445"/>
      <c r="P102" s="445"/>
      <c r="Q102" s="445"/>
      <c r="R102" s="445"/>
      <c r="S102" s="608">
        <f>2*(0.23+0.505)-4*0.025</f>
        <v>1.3699999999999999</v>
      </c>
      <c r="T102" s="445">
        <f t="shared" si="12"/>
        <v>21.919999999999998</v>
      </c>
      <c r="U102" s="445"/>
      <c r="V102" s="445">
        <f t="shared" ref="V102:V110" si="13">T102</f>
        <v>21.919999999999998</v>
      </c>
      <c r="W102" s="445"/>
      <c r="X102" s="445"/>
    </row>
    <row r="103" spans="1:24">
      <c r="A103" s="225"/>
      <c r="B103" s="445"/>
      <c r="C103" s="445"/>
      <c r="D103" s="445"/>
      <c r="E103" s="445"/>
      <c r="F103" s="445"/>
      <c r="G103" s="445"/>
      <c r="H103" s="445"/>
      <c r="I103" s="445"/>
      <c r="J103" s="445"/>
      <c r="K103" s="445"/>
      <c r="L103" s="657" t="s">
        <v>1491</v>
      </c>
      <c r="M103" s="225" t="s">
        <v>1428</v>
      </c>
      <c r="N103" s="225">
        <f>ROUND(0.75/0.1+1,0)*2</f>
        <v>18</v>
      </c>
      <c r="O103" s="445"/>
      <c r="P103" s="445"/>
      <c r="Q103" s="445"/>
      <c r="R103" s="445"/>
      <c r="S103" s="608">
        <f>2*(0.23+0.425)-4*0.025</f>
        <v>1.21</v>
      </c>
      <c r="T103" s="445">
        <f t="shared" si="12"/>
        <v>21.78</v>
      </c>
      <c r="U103" s="445"/>
      <c r="V103" s="445">
        <f t="shared" si="13"/>
        <v>21.78</v>
      </c>
      <c r="W103" s="445"/>
      <c r="X103" s="445"/>
    </row>
    <row r="104" spans="1:24">
      <c r="A104" s="225"/>
      <c r="B104" s="445"/>
      <c r="C104" s="445"/>
      <c r="D104" s="445"/>
      <c r="E104" s="445"/>
      <c r="F104" s="445"/>
      <c r="G104" s="445"/>
      <c r="H104" s="445"/>
      <c r="I104" s="445"/>
      <c r="J104" s="445"/>
      <c r="K104" s="445"/>
      <c r="L104" s="657" t="s">
        <v>1491</v>
      </c>
      <c r="M104" s="225" t="s">
        <v>1428</v>
      </c>
      <c r="N104" s="225">
        <f>ROUND(0.75/0.1+1,0)*2</f>
        <v>18</v>
      </c>
      <c r="O104" s="445"/>
      <c r="P104" s="445"/>
      <c r="Q104" s="445"/>
      <c r="R104" s="445"/>
      <c r="S104" s="608">
        <f>2*(0.23+0.505)-4*0.025</f>
        <v>1.3699999999999999</v>
      </c>
      <c r="T104" s="445">
        <f t="shared" si="12"/>
        <v>24.659999999999997</v>
      </c>
      <c r="U104" s="445"/>
      <c r="V104" s="445">
        <f t="shared" si="13"/>
        <v>24.659999999999997</v>
      </c>
      <c r="W104" s="445"/>
      <c r="X104" s="445"/>
    </row>
    <row r="105" spans="1:24">
      <c r="A105" s="225"/>
      <c r="B105" s="445"/>
      <c r="C105" s="445"/>
      <c r="D105" s="445"/>
      <c r="E105" s="445"/>
      <c r="F105" s="445"/>
      <c r="G105" s="445"/>
      <c r="H105" s="445"/>
      <c r="I105" s="445"/>
      <c r="J105" s="445"/>
      <c r="K105" s="445"/>
      <c r="L105" s="657" t="s">
        <v>1491</v>
      </c>
      <c r="M105" s="225" t="s">
        <v>1428</v>
      </c>
      <c r="N105" s="225">
        <f>ROUND(0.75/0.1+1,0)*2</f>
        <v>18</v>
      </c>
      <c r="O105" s="445"/>
      <c r="P105" s="445"/>
      <c r="Q105" s="445"/>
      <c r="R105" s="445"/>
      <c r="S105" s="608">
        <f>2*(0.23+0.505)-4*0.025</f>
        <v>1.3699999999999999</v>
      </c>
      <c r="T105" s="445">
        <f t="shared" si="12"/>
        <v>24.659999999999997</v>
      </c>
      <c r="U105" s="445"/>
      <c r="V105" s="445">
        <f t="shared" si="13"/>
        <v>24.659999999999997</v>
      </c>
      <c r="W105" s="445"/>
      <c r="X105" s="445"/>
    </row>
    <row r="106" spans="1:24">
      <c r="A106" s="225"/>
      <c r="B106" s="445"/>
      <c r="C106" s="445"/>
      <c r="D106" s="445"/>
      <c r="E106" s="445"/>
      <c r="F106" s="445"/>
      <c r="G106" s="445"/>
      <c r="H106" s="445"/>
      <c r="I106" s="445"/>
      <c r="J106" s="445"/>
      <c r="K106" s="445"/>
      <c r="L106" s="657" t="s">
        <v>1491</v>
      </c>
      <c r="M106" s="225" t="s">
        <v>1428</v>
      </c>
      <c r="N106" s="225">
        <f>ROUND(0.9/0.1+1,0)*2</f>
        <v>20</v>
      </c>
      <c r="O106" s="445"/>
      <c r="P106" s="445"/>
      <c r="Q106" s="445"/>
      <c r="R106" s="445"/>
      <c r="S106" s="608">
        <f>2*(0.23+0.505)-4*0.025</f>
        <v>1.3699999999999999</v>
      </c>
      <c r="T106" s="445">
        <f t="shared" si="12"/>
        <v>27.4</v>
      </c>
      <c r="U106" s="445"/>
      <c r="V106" s="445">
        <f t="shared" si="13"/>
        <v>27.4</v>
      </c>
      <c r="W106" s="445"/>
      <c r="X106" s="445"/>
    </row>
    <row r="107" spans="1:24">
      <c r="A107" s="225"/>
      <c r="B107" s="445"/>
      <c r="C107" s="445"/>
      <c r="D107" s="445"/>
      <c r="E107" s="445"/>
      <c r="F107" s="445"/>
      <c r="G107" s="445"/>
      <c r="H107" s="445"/>
      <c r="I107" s="445"/>
      <c r="J107" s="445"/>
      <c r="K107" s="445"/>
      <c r="L107" s="657" t="s">
        <v>1492</v>
      </c>
      <c r="M107" s="225" t="s">
        <v>1428</v>
      </c>
      <c r="N107" s="225">
        <f>ROUND((D98-0.23-2*0.75)/0.14+1,0)</f>
        <v>10</v>
      </c>
      <c r="O107" s="445"/>
      <c r="P107" s="445"/>
      <c r="Q107" s="445"/>
      <c r="R107" s="445"/>
      <c r="S107" s="608">
        <f>2*(0.23+0.425)-4*0.025</f>
        <v>1.21</v>
      </c>
      <c r="T107" s="445">
        <f t="shared" si="12"/>
        <v>12.1</v>
      </c>
      <c r="U107" s="445"/>
      <c r="V107" s="445">
        <f t="shared" si="13"/>
        <v>12.1</v>
      </c>
      <c r="W107" s="445"/>
      <c r="X107" s="445"/>
    </row>
    <row r="108" spans="1:24">
      <c r="A108" s="225"/>
      <c r="B108" s="445"/>
      <c r="C108" s="445"/>
      <c r="D108" s="445"/>
      <c r="E108" s="445"/>
      <c r="F108" s="445"/>
      <c r="G108" s="445"/>
      <c r="H108" s="445"/>
      <c r="I108" s="445"/>
      <c r="J108" s="445"/>
      <c r="K108" s="445"/>
      <c r="L108" s="657" t="s">
        <v>1492</v>
      </c>
      <c r="M108" s="225" t="s">
        <v>1428</v>
      </c>
      <c r="N108" s="225">
        <f>ROUND((F98-0.23-2*0.75)/0.16+1,0)</f>
        <v>9</v>
      </c>
      <c r="O108" s="445"/>
      <c r="P108" s="445"/>
      <c r="Q108" s="445"/>
      <c r="R108" s="445"/>
      <c r="S108" s="608">
        <f>2*(0.23+0.505)-4*0.025</f>
        <v>1.3699999999999999</v>
      </c>
      <c r="T108" s="445">
        <f t="shared" si="12"/>
        <v>12.329999999999998</v>
      </c>
      <c r="U108" s="445"/>
      <c r="V108" s="445">
        <f t="shared" si="13"/>
        <v>12.329999999999998</v>
      </c>
      <c r="W108" s="445"/>
      <c r="X108" s="445"/>
    </row>
    <row r="109" spans="1:24">
      <c r="A109" s="225"/>
      <c r="B109" s="445"/>
      <c r="C109" s="445"/>
      <c r="D109" s="445"/>
      <c r="E109" s="445"/>
      <c r="F109" s="445"/>
      <c r="G109" s="445"/>
      <c r="H109" s="445"/>
      <c r="I109" s="445"/>
      <c r="J109" s="445"/>
      <c r="K109" s="445"/>
      <c r="L109" s="657" t="s">
        <v>1492</v>
      </c>
      <c r="M109" s="225" t="s">
        <v>1428</v>
      </c>
      <c r="N109" s="225">
        <f>ROUND((F98-0.23-2*0.9)/0.16+1,0)</f>
        <v>7</v>
      </c>
      <c r="O109" s="445"/>
      <c r="P109" s="445"/>
      <c r="Q109" s="445"/>
      <c r="R109" s="445"/>
      <c r="S109" s="608">
        <f>2*(0.23+0.505)-4*0.025</f>
        <v>1.3699999999999999</v>
      </c>
      <c r="T109" s="445">
        <f t="shared" si="12"/>
        <v>9.59</v>
      </c>
      <c r="U109" s="445"/>
      <c r="V109" s="445">
        <f t="shared" si="13"/>
        <v>9.59</v>
      </c>
      <c r="W109" s="445"/>
      <c r="X109" s="445"/>
    </row>
    <row r="110" spans="1:24">
      <c r="A110" s="225"/>
      <c r="B110" s="445"/>
      <c r="C110" s="445"/>
      <c r="D110" s="445"/>
      <c r="E110" s="445"/>
      <c r="F110" s="445"/>
      <c r="G110" s="445"/>
      <c r="H110" s="445"/>
      <c r="I110" s="445"/>
      <c r="J110" s="445"/>
      <c r="K110" s="445"/>
      <c r="L110" s="657" t="s">
        <v>1492</v>
      </c>
      <c r="M110" s="225" t="s">
        <v>1428</v>
      </c>
      <c r="N110" s="225">
        <f>ROUND((G98-0.23-2*0.9)/0.14+1,0)</f>
        <v>11</v>
      </c>
      <c r="O110" s="445"/>
      <c r="P110" s="445"/>
      <c r="Q110" s="445"/>
      <c r="R110" s="445"/>
      <c r="S110" s="608">
        <f>2*(0.23+0.505)-4*0.025</f>
        <v>1.3699999999999999</v>
      </c>
      <c r="T110" s="445">
        <f t="shared" si="12"/>
        <v>15.069999999999999</v>
      </c>
      <c r="U110" s="445"/>
      <c r="V110" s="445">
        <f t="shared" si="13"/>
        <v>15.069999999999999</v>
      </c>
      <c r="W110" s="445"/>
      <c r="X110" s="445"/>
    </row>
    <row r="111" spans="1:24">
      <c r="A111" s="225"/>
      <c r="B111" s="445"/>
      <c r="C111" s="445"/>
      <c r="D111" s="445"/>
      <c r="E111" s="445"/>
      <c r="F111" s="445"/>
      <c r="G111" s="445"/>
      <c r="H111" s="445"/>
      <c r="I111" s="445"/>
      <c r="J111" s="445"/>
      <c r="K111" s="445"/>
      <c r="L111" s="445"/>
      <c r="M111" s="225"/>
      <c r="N111" s="225"/>
      <c r="O111" s="445"/>
      <c r="P111" s="445"/>
      <c r="Q111" s="445"/>
      <c r="R111" s="445"/>
      <c r="S111" s="445"/>
      <c r="T111" s="445"/>
      <c r="U111" s="445">
        <f>SUM(U3:U110)</f>
        <v>252.76499999999999</v>
      </c>
      <c r="V111" s="445">
        <f>SUM(V3:V110)</f>
        <v>1223.4599999999996</v>
      </c>
      <c r="W111" s="445">
        <f>SUM(W3:W110)</f>
        <v>306.07</v>
      </c>
      <c r="X111" s="445">
        <f>SUM(X3:X110)</f>
        <v>86.56</v>
      </c>
    </row>
  </sheetData>
  <mergeCells count="1">
    <mergeCell ref="A1:X1"/>
  </mergeCells>
  <pageMargins left="0.7" right="0.7" top="0.75" bottom="0.75" header="0.3" footer="0.3"/>
  <pageSetup paperSize="9" scale="83" orientation="landscape" verticalDpi="0" r:id="rId1"/>
  <rowBreaks count="2" manualBreakCount="2">
    <brk id="42" max="16383" man="1"/>
    <brk id="84" max="16383" man="1"/>
  </rowBreaks>
</worksheet>
</file>

<file path=xl/worksheets/sheet28.xml><?xml version="1.0" encoding="utf-8"?>
<worksheet xmlns="http://schemas.openxmlformats.org/spreadsheetml/2006/main" xmlns:r="http://schemas.openxmlformats.org/officeDocument/2006/relationships">
  <dimension ref="A2:X64"/>
  <sheetViews>
    <sheetView view="pageBreakPreview" zoomScale="60" zoomScaleNormal="85" workbookViewId="0">
      <selection activeCell="G35" sqref="G32:I38"/>
    </sheetView>
  </sheetViews>
  <sheetFormatPr defaultRowHeight="12.75"/>
  <cols>
    <col min="2" max="2" width="2.7109375" customWidth="1"/>
    <col min="3" max="3" width="4.140625" customWidth="1"/>
    <col min="4" max="4" width="18.42578125" customWidth="1"/>
    <col min="5" max="5" width="7" customWidth="1"/>
    <col min="6" max="6" width="2.7109375" customWidth="1"/>
    <col min="7" max="7" width="4.140625" customWidth="1"/>
    <col min="8" max="8" width="9.85546875" customWidth="1"/>
    <col min="9" max="9" width="4.140625" customWidth="1"/>
    <col min="10" max="10" width="2.7109375" customWidth="1"/>
    <col min="11" max="11" width="6.5703125" customWidth="1"/>
    <col min="12" max="12" width="17.42578125" customWidth="1"/>
    <col min="13" max="13" width="3.85546875" customWidth="1"/>
    <col min="14" max="14" width="2.7109375" customWidth="1"/>
    <col min="15" max="15" width="4.85546875" customWidth="1"/>
    <col min="17" max="17" width="10" customWidth="1"/>
    <col min="18" max="18" width="5.140625" customWidth="1"/>
    <col min="19" max="19" width="7.5703125" customWidth="1"/>
    <col min="20" max="20" width="9" bestFit="1" customWidth="1"/>
    <col min="21" max="21" width="9.7109375" customWidth="1"/>
    <col min="22" max="22" width="4.42578125" customWidth="1"/>
  </cols>
  <sheetData>
    <row r="2" spans="1:24" ht="21">
      <c r="B2" s="1451">
        <v>8.84</v>
      </c>
      <c r="C2" s="1452"/>
      <c r="D2" s="1452"/>
      <c r="E2" s="1452"/>
      <c r="F2" s="1452"/>
      <c r="G2" s="1452"/>
      <c r="H2" s="1452"/>
      <c r="I2" s="1452"/>
      <c r="J2" s="1452"/>
      <c r="K2" s="1452"/>
      <c r="L2" s="1452"/>
      <c r="M2" s="1452"/>
      <c r="N2" s="1453"/>
      <c r="O2" s="625"/>
      <c r="Q2" s="1454" t="s">
        <v>1503</v>
      </c>
      <c r="R2" s="1454"/>
      <c r="S2" s="1454"/>
      <c r="T2" s="1454"/>
      <c r="U2" s="1454"/>
      <c r="V2" s="1454"/>
      <c r="W2" s="1454"/>
      <c r="X2" s="1454"/>
    </row>
    <row r="3" spans="1:24">
      <c r="C3" s="543">
        <f>ROUND(C5/0.175,0)+1</f>
        <v>3</v>
      </c>
      <c r="D3" s="543">
        <f>ROUND(D5/0.175,0)+1</f>
        <v>13</v>
      </c>
      <c r="E3" s="543">
        <f>ROUND(E5/0.175,0)+1</f>
        <v>5</v>
      </c>
      <c r="G3" s="543">
        <f>ROUND(G5/0.175,0)+1</f>
        <v>3</v>
      </c>
      <c r="H3" s="543">
        <f>ROUND(H5/0.175,0)+1</f>
        <v>7</v>
      </c>
      <c r="I3" s="543">
        <f>ROUND(I5/0.175,0)+1</f>
        <v>3</v>
      </c>
      <c r="J3" s="543"/>
      <c r="K3" s="543">
        <f>ROUND(K5/0.175,0)+1</f>
        <v>5</v>
      </c>
      <c r="L3" s="543">
        <f>ROUND(L5/0.175,0)+1</f>
        <v>12</v>
      </c>
      <c r="M3" s="543">
        <f>ROUND(M5/0.175,0)+1</f>
        <v>3</v>
      </c>
      <c r="Q3" s="1366" t="s">
        <v>1475</v>
      </c>
      <c r="R3" s="1366"/>
      <c r="S3" s="1366"/>
      <c r="T3" s="543"/>
      <c r="U3" s="543"/>
      <c r="V3" s="1366" t="s">
        <v>1476</v>
      </c>
      <c r="W3" s="1366"/>
      <c r="X3" s="1366"/>
    </row>
    <row r="4" spans="1:24">
      <c r="C4" s="1455">
        <v>3.39</v>
      </c>
      <c r="D4" s="1455"/>
      <c r="E4" s="1455"/>
      <c r="G4" s="1366">
        <v>2.06</v>
      </c>
      <c r="H4" s="1366"/>
      <c r="I4" s="1366"/>
      <c r="K4" s="1366">
        <v>3.16</v>
      </c>
      <c r="L4" s="1366"/>
      <c r="M4" s="1366"/>
      <c r="Q4" s="543"/>
      <c r="R4" s="543"/>
      <c r="S4" s="543"/>
      <c r="T4" s="543"/>
      <c r="U4" s="543"/>
      <c r="V4" s="543"/>
      <c r="W4" s="543"/>
      <c r="X4" s="543"/>
    </row>
    <row r="5" spans="1:24">
      <c r="B5">
        <v>0.23</v>
      </c>
      <c r="C5" s="616">
        <v>0.39</v>
      </c>
      <c r="D5" s="605">
        <v>2.04</v>
      </c>
      <c r="E5" s="617">
        <v>0.73</v>
      </c>
      <c r="F5" s="618">
        <v>0.23</v>
      </c>
      <c r="G5" s="619">
        <v>0.39</v>
      </c>
      <c r="H5" s="543">
        <f>1.83-0.39-0.39</f>
        <v>1.0499999999999998</v>
      </c>
      <c r="I5" s="619">
        <v>0.39</v>
      </c>
      <c r="J5" s="659">
        <v>0.23</v>
      </c>
      <c r="K5">
        <v>0.68</v>
      </c>
      <c r="L5" s="605">
        <v>1.89</v>
      </c>
      <c r="M5" s="660">
        <v>0.36</v>
      </c>
      <c r="N5" s="618">
        <v>0.23</v>
      </c>
      <c r="O5" t="s">
        <v>1425</v>
      </c>
      <c r="S5" t="s">
        <v>1477</v>
      </c>
    </row>
    <row r="6" spans="1:24">
      <c r="A6">
        <v>0.23</v>
      </c>
      <c r="B6" s="621"/>
      <c r="C6" s="622"/>
      <c r="D6" s="622"/>
      <c r="E6" s="622"/>
      <c r="F6" s="623"/>
      <c r="G6" s="623"/>
      <c r="H6" s="623"/>
      <c r="I6" s="623"/>
      <c r="J6" s="623"/>
      <c r="K6" s="623"/>
      <c r="L6" s="623"/>
      <c r="M6" s="623"/>
      <c r="N6" s="624"/>
      <c r="R6" t="s">
        <v>1425</v>
      </c>
      <c r="S6" t="s">
        <v>1428</v>
      </c>
      <c r="V6" t="s">
        <v>1425</v>
      </c>
      <c r="W6" s="339" t="s">
        <v>1428</v>
      </c>
    </row>
    <row r="7" spans="1:24">
      <c r="A7">
        <v>0.4</v>
      </c>
      <c r="B7" s="625"/>
      <c r="C7" s="621"/>
      <c r="E7" s="624"/>
      <c r="G7" s="621"/>
      <c r="H7" s="623"/>
      <c r="I7" s="624"/>
      <c r="J7" s="639"/>
      <c r="K7" s="621"/>
      <c r="L7" s="623"/>
      <c r="M7" s="624"/>
      <c r="N7" s="626"/>
      <c r="O7" s="568">
        <f>ROUND(A7/0.175,0)+1</f>
        <v>3</v>
      </c>
      <c r="P7" s="1456">
        <v>3.4649999999999999</v>
      </c>
      <c r="Q7" s="4" t="s">
        <v>1478</v>
      </c>
      <c r="R7" s="627">
        <f>C3</f>
        <v>3</v>
      </c>
      <c r="S7" s="628">
        <f>A6+A7+A8+A17+A18</f>
        <v>3.6949999999999998</v>
      </c>
      <c r="T7" s="628">
        <f>S7*R7</f>
        <v>11.084999999999999</v>
      </c>
      <c r="U7" s="4" t="s">
        <v>1478</v>
      </c>
      <c r="V7" s="4">
        <f>O7</f>
        <v>3</v>
      </c>
      <c r="W7" s="567">
        <f>B5+C5+D5+E5+F5+G5+H5+I5+J5+K5+L5+M5+N5</f>
        <v>8.84</v>
      </c>
      <c r="X7" s="628">
        <f t="shared" ref="X7:X22" si="0">W7*V7</f>
        <v>26.52</v>
      </c>
    </row>
    <row r="8" spans="1:24" ht="15">
      <c r="A8" s="1457">
        <v>2.085</v>
      </c>
      <c r="B8" s="625"/>
      <c r="C8" s="625"/>
      <c r="D8" s="1458"/>
      <c r="E8" s="626"/>
      <c r="G8" s="625"/>
      <c r="H8" s="1458"/>
      <c r="I8" s="626"/>
      <c r="J8" s="639"/>
      <c r="K8" s="661"/>
      <c r="L8" s="1458"/>
      <c r="M8" s="626"/>
      <c r="N8" s="626"/>
      <c r="O8" s="1456">
        <f>ROUND(A8/0.175,0)+1</f>
        <v>13</v>
      </c>
      <c r="P8" s="1456"/>
      <c r="Q8" s="4" t="s">
        <v>1461</v>
      </c>
      <c r="R8" s="629">
        <v>7</v>
      </c>
      <c r="S8" s="627">
        <f>S7+2*0.075</f>
        <v>3.8449999999999998</v>
      </c>
      <c r="T8" s="628">
        <f>S8*R8</f>
        <v>26.914999999999999</v>
      </c>
      <c r="U8" s="4" t="s">
        <v>1461</v>
      </c>
      <c r="V8" s="630">
        <f>7</f>
        <v>7</v>
      </c>
      <c r="W8">
        <f>W7+6*0.075</f>
        <v>9.2899999999999991</v>
      </c>
      <c r="X8" s="628">
        <f t="shared" si="0"/>
        <v>65.03</v>
      </c>
    </row>
    <row r="9" spans="1:24" ht="15">
      <c r="A9" s="1457"/>
      <c r="B9" s="625"/>
      <c r="C9" s="625"/>
      <c r="D9" s="1458"/>
      <c r="E9" s="626"/>
      <c r="G9" s="625"/>
      <c r="H9" s="1458"/>
      <c r="I9" s="626"/>
      <c r="J9" s="639"/>
      <c r="K9" s="661"/>
      <c r="L9" s="1458"/>
      <c r="M9" s="626"/>
      <c r="N9" s="626"/>
      <c r="O9" s="1456"/>
      <c r="P9" s="1456"/>
      <c r="Q9" s="4" t="s">
        <v>1478</v>
      </c>
      <c r="R9" s="629">
        <f>D3-R8</f>
        <v>6</v>
      </c>
      <c r="S9" s="628">
        <f>S7</f>
        <v>3.6949999999999998</v>
      </c>
      <c r="T9" s="628">
        <f>S9*R9</f>
        <v>22.169999999999998</v>
      </c>
      <c r="U9" s="4" t="s">
        <v>1478</v>
      </c>
      <c r="V9" s="630">
        <v>6</v>
      </c>
      <c r="W9">
        <f>W7</f>
        <v>8.84</v>
      </c>
      <c r="X9" s="628">
        <f t="shared" si="0"/>
        <v>53.04</v>
      </c>
    </row>
    <row r="10" spans="1:24">
      <c r="A10" s="1457"/>
      <c r="B10" s="625"/>
      <c r="C10" s="625"/>
      <c r="D10" s="1458"/>
      <c r="E10" s="626"/>
      <c r="G10" s="625"/>
      <c r="H10" s="1458"/>
      <c r="I10" s="626"/>
      <c r="J10" s="639"/>
      <c r="K10" s="661"/>
      <c r="L10" s="1458"/>
      <c r="M10" s="626"/>
      <c r="N10" s="626"/>
      <c r="O10" s="1456"/>
      <c r="P10" s="1456"/>
      <c r="Q10" s="4" t="s">
        <v>1478</v>
      </c>
      <c r="R10" s="627">
        <f>E3</f>
        <v>5</v>
      </c>
      <c r="S10" s="628">
        <f>S7</f>
        <v>3.6949999999999998</v>
      </c>
      <c r="T10" s="628">
        <f>S10*R10</f>
        <v>18.474999999999998</v>
      </c>
      <c r="U10" s="4" t="s">
        <v>1478</v>
      </c>
      <c r="V10" s="4">
        <f>O17</f>
        <v>5</v>
      </c>
      <c r="W10" s="4">
        <f>W7</f>
        <v>8.84</v>
      </c>
      <c r="X10" s="628">
        <f t="shared" si="0"/>
        <v>44.2</v>
      </c>
    </row>
    <row r="11" spans="1:24">
      <c r="A11" s="1457"/>
      <c r="B11" s="625"/>
      <c r="C11" s="625"/>
      <c r="D11" s="1458"/>
      <c r="E11" s="626"/>
      <c r="G11" s="625"/>
      <c r="H11" s="1458"/>
      <c r="I11" s="626"/>
      <c r="J11" s="639"/>
      <c r="K11" s="661"/>
      <c r="L11" s="1458"/>
      <c r="M11" s="626"/>
      <c r="N11" s="626"/>
      <c r="O11" s="1456"/>
      <c r="P11" s="1456"/>
      <c r="Q11" s="4" t="s">
        <v>1478</v>
      </c>
      <c r="R11" s="627">
        <f>G3</f>
        <v>3</v>
      </c>
      <c r="S11" s="628">
        <f>P7+P19+P31+P41+P51+0.23</f>
        <v>13.975000000000001</v>
      </c>
      <c r="T11" s="628">
        <f>S11*R11</f>
        <v>41.925000000000004</v>
      </c>
      <c r="U11" s="4" t="s">
        <v>1478</v>
      </c>
      <c r="V11" s="4">
        <f>O19</f>
        <v>3</v>
      </c>
      <c r="W11" s="567">
        <f>F5+G5+H5+I5+J5+K5+L5+M5+N5</f>
        <v>5.4500000000000011</v>
      </c>
      <c r="X11" s="628">
        <f t="shared" si="0"/>
        <v>16.350000000000001</v>
      </c>
    </row>
    <row r="12" spans="1:24" ht="15">
      <c r="A12" s="1457"/>
      <c r="B12" s="625"/>
      <c r="C12" s="625"/>
      <c r="D12" s="1458"/>
      <c r="E12" s="626"/>
      <c r="G12" s="625"/>
      <c r="H12" s="1458"/>
      <c r="I12" s="626"/>
      <c r="J12" s="639"/>
      <c r="K12" s="661"/>
      <c r="L12" s="1458"/>
      <c r="M12" s="626"/>
      <c r="N12" s="626"/>
      <c r="O12" s="1456"/>
      <c r="P12" s="1456"/>
      <c r="Q12" s="4" t="s">
        <v>1461</v>
      </c>
      <c r="R12" s="631">
        <v>4</v>
      </c>
      <c r="S12" s="627">
        <f>S11+2*5*2*0.075</f>
        <v>15.475000000000001</v>
      </c>
      <c r="T12" s="628">
        <f t="shared" ref="T12:T18" si="1">S12*R12</f>
        <v>61.900000000000006</v>
      </c>
      <c r="U12" s="4" t="s">
        <v>1461</v>
      </c>
      <c r="V12" s="630">
        <v>5</v>
      </c>
      <c r="W12">
        <f>W11+4*0.075</f>
        <v>5.7500000000000009</v>
      </c>
      <c r="X12" s="628">
        <f t="shared" si="0"/>
        <v>28.750000000000004</v>
      </c>
    </row>
    <row r="13" spans="1:24" ht="15">
      <c r="A13" s="1457"/>
      <c r="B13" s="625"/>
      <c r="C13" s="625"/>
      <c r="D13" s="1458"/>
      <c r="E13" s="626"/>
      <c r="G13" s="625"/>
      <c r="H13" s="1458"/>
      <c r="I13" s="626"/>
      <c r="J13" s="639"/>
      <c r="K13" s="661"/>
      <c r="L13" s="1458"/>
      <c r="M13" s="626"/>
      <c r="N13" s="626"/>
      <c r="O13" s="1456"/>
      <c r="P13" s="1456"/>
      <c r="Q13" s="4" t="s">
        <v>1478</v>
      </c>
      <c r="R13" s="631">
        <f>H3-R12</f>
        <v>3</v>
      </c>
      <c r="S13" s="628">
        <f>S11</f>
        <v>13.975000000000001</v>
      </c>
      <c r="T13" s="628">
        <f t="shared" si="1"/>
        <v>41.925000000000004</v>
      </c>
      <c r="U13" s="4" t="s">
        <v>1478</v>
      </c>
      <c r="V13" s="630">
        <v>5</v>
      </c>
      <c r="W13">
        <f>W11</f>
        <v>5.4500000000000011</v>
      </c>
      <c r="X13" s="628">
        <f t="shared" si="0"/>
        <v>27.250000000000007</v>
      </c>
    </row>
    <row r="14" spans="1:24" ht="15">
      <c r="A14" s="1457"/>
      <c r="B14" s="625"/>
      <c r="C14" s="625"/>
      <c r="D14" s="1458"/>
      <c r="E14" s="626"/>
      <c r="G14" s="625"/>
      <c r="H14" s="1458"/>
      <c r="I14" s="626"/>
      <c r="J14" s="639"/>
      <c r="K14" s="661"/>
      <c r="L14" s="1458"/>
      <c r="M14" s="626"/>
      <c r="N14" s="626"/>
      <c r="O14" s="1456"/>
      <c r="P14" s="1456"/>
      <c r="Q14" s="4" t="s">
        <v>1478</v>
      </c>
      <c r="R14" s="627">
        <f>M3</f>
        <v>3</v>
      </c>
      <c r="S14" s="628">
        <f>S11</f>
        <v>13.975000000000001</v>
      </c>
      <c r="T14" s="628">
        <f t="shared" si="1"/>
        <v>41.925000000000004</v>
      </c>
      <c r="U14" s="4" t="s">
        <v>1478</v>
      </c>
      <c r="V14" s="632">
        <v>5</v>
      </c>
      <c r="W14">
        <f>W13</f>
        <v>5.4500000000000011</v>
      </c>
      <c r="X14" s="628">
        <f t="shared" si="0"/>
        <v>27.250000000000007</v>
      </c>
    </row>
    <row r="15" spans="1:24" ht="15">
      <c r="A15" s="1457"/>
      <c r="B15" s="625"/>
      <c r="C15" s="625"/>
      <c r="D15" s="1458"/>
      <c r="E15" s="626"/>
      <c r="G15" s="625"/>
      <c r="H15" s="1458"/>
      <c r="I15" s="626"/>
      <c r="J15" s="639"/>
      <c r="K15" s="661"/>
      <c r="L15" s="1458"/>
      <c r="M15" s="626"/>
      <c r="N15" s="626"/>
      <c r="O15" s="1456"/>
      <c r="P15" s="1456"/>
      <c r="Q15" s="4" t="s">
        <v>1478</v>
      </c>
      <c r="R15" s="627">
        <f>K3</f>
        <v>5</v>
      </c>
      <c r="S15" s="628">
        <f>S14</f>
        <v>13.975000000000001</v>
      </c>
      <c r="T15" s="628">
        <f t="shared" si="1"/>
        <v>69.875</v>
      </c>
      <c r="U15" s="4" t="s">
        <v>1478</v>
      </c>
      <c r="V15" s="632">
        <f>O31</f>
        <v>4</v>
      </c>
      <c r="W15">
        <f>W9</f>
        <v>8.84</v>
      </c>
      <c r="X15" s="628">
        <f t="shared" si="0"/>
        <v>35.36</v>
      </c>
    </row>
    <row r="16" spans="1:24" ht="15">
      <c r="A16" s="1457"/>
      <c r="B16" s="625"/>
      <c r="C16" s="625"/>
      <c r="D16" s="1458"/>
      <c r="E16" s="626"/>
      <c r="G16" s="625"/>
      <c r="H16" s="1458"/>
      <c r="I16" s="626"/>
      <c r="J16" s="639"/>
      <c r="K16" s="661"/>
      <c r="L16" s="1458"/>
      <c r="M16" s="626"/>
      <c r="N16" s="626"/>
      <c r="O16" s="1456"/>
      <c r="P16" s="1456"/>
      <c r="Q16" s="4" t="s">
        <v>1478</v>
      </c>
      <c r="R16" s="662">
        <v>6</v>
      </c>
      <c r="S16" s="651">
        <f>S15</f>
        <v>13.975000000000001</v>
      </c>
      <c r="T16" s="628">
        <f t="shared" si="1"/>
        <v>83.850000000000009</v>
      </c>
      <c r="U16" s="4" t="s">
        <v>1461</v>
      </c>
      <c r="V16" s="630">
        <v>5</v>
      </c>
      <c r="W16">
        <f>W15+6*0.075</f>
        <v>9.2899999999999991</v>
      </c>
      <c r="X16" s="628">
        <f t="shared" si="0"/>
        <v>46.449999999999996</v>
      </c>
    </row>
    <row r="17" spans="1:24" ht="15">
      <c r="A17" s="635">
        <v>0.75</v>
      </c>
      <c r="B17" s="625"/>
      <c r="C17" s="636"/>
      <c r="D17" s="637"/>
      <c r="E17" s="638"/>
      <c r="G17" s="636"/>
      <c r="H17" s="637"/>
      <c r="I17" s="638"/>
      <c r="J17" s="639"/>
      <c r="K17" s="636"/>
      <c r="L17" s="637"/>
      <c r="M17" s="638"/>
      <c r="N17" s="626"/>
      <c r="O17" s="640">
        <f>ROUND(A17/0.175,0)+1</f>
        <v>5</v>
      </c>
      <c r="P17" s="1456"/>
      <c r="Q17" s="4" t="s">
        <v>1461</v>
      </c>
      <c r="R17" s="663">
        <f>L3-R16</f>
        <v>6</v>
      </c>
      <c r="S17" s="4">
        <f>S12</f>
        <v>15.475000000000001</v>
      </c>
      <c r="T17" s="628">
        <f t="shared" si="1"/>
        <v>92.850000000000009</v>
      </c>
      <c r="U17" s="4" t="s">
        <v>1478</v>
      </c>
      <c r="V17" s="641">
        <v>4</v>
      </c>
      <c r="W17" s="4">
        <f>W15</f>
        <v>8.84</v>
      </c>
      <c r="X17" s="628">
        <f t="shared" si="0"/>
        <v>35.36</v>
      </c>
    </row>
    <row r="18" spans="1:24" ht="15">
      <c r="A18">
        <v>0.23</v>
      </c>
      <c r="B18" s="625"/>
      <c r="H18" s="639"/>
      <c r="I18" s="639"/>
      <c r="J18" s="639"/>
      <c r="N18" s="626"/>
      <c r="Q18" s="4" t="s">
        <v>1478</v>
      </c>
      <c r="R18" s="664">
        <f>M3</f>
        <v>3</v>
      </c>
      <c r="S18" s="651">
        <f>S16</f>
        <v>13.975000000000001</v>
      </c>
      <c r="T18" s="628">
        <f t="shared" si="1"/>
        <v>41.925000000000004</v>
      </c>
      <c r="U18" s="4" t="s">
        <v>1478</v>
      </c>
      <c r="V18" s="632">
        <f>O39</f>
        <v>4</v>
      </c>
      <c r="W18">
        <f>W17</f>
        <v>8.84</v>
      </c>
      <c r="X18" s="628">
        <f t="shared" si="0"/>
        <v>35.36</v>
      </c>
    </row>
    <row r="19" spans="1:24" ht="15">
      <c r="A19" s="4">
        <v>0.64</v>
      </c>
      <c r="B19" s="625"/>
      <c r="C19" s="621"/>
      <c r="D19" s="623"/>
      <c r="E19" s="624"/>
      <c r="G19" s="621"/>
      <c r="H19" s="623"/>
      <c r="I19" s="624"/>
      <c r="J19" s="639"/>
      <c r="K19" s="621"/>
      <c r="L19" s="623"/>
      <c r="M19" s="624"/>
      <c r="N19" s="626"/>
      <c r="O19" s="642">
        <f>C3</f>
        <v>3</v>
      </c>
      <c r="P19" s="1456">
        <v>3.01</v>
      </c>
      <c r="Q19" s="633" t="s">
        <v>1463</v>
      </c>
      <c r="R19" s="627">
        <f>O7</f>
        <v>3</v>
      </c>
      <c r="S19" s="628">
        <f>S7</f>
        <v>3.6949999999999998</v>
      </c>
      <c r="T19" s="628">
        <f t="shared" ref="T19:T27" si="2">S19*R19</f>
        <v>11.084999999999999</v>
      </c>
      <c r="U19" s="4" t="s">
        <v>1478</v>
      </c>
      <c r="V19" s="634">
        <f>O41</f>
        <v>5</v>
      </c>
      <c r="W19" s="4">
        <f>W13</f>
        <v>5.4500000000000011</v>
      </c>
      <c r="X19" s="628">
        <f t="shared" si="0"/>
        <v>27.250000000000007</v>
      </c>
    </row>
    <row r="20" spans="1:24" ht="15">
      <c r="A20" s="1457">
        <v>1.5</v>
      </c>
      <c r="B20" s="625"/>
      <c r="C20" s="625"/>
      <c r="D20" s="1458"/>
      <c r="E20" s="626"/>
      <c r="G20" s="625"/>
      <c r="H20" s="1458"/>
      <c r="I20" s="626"/>
      <c r="J20" s="639"/>
      <c r="K20" s="661" t="s">
        <v>154</v>
      </c>
      <c r="L20" s="1458"/>
      <c r="M20" s="626"/>
      <c r="N20" s="626"/>
      <c r="O20" s="1459">
        <f>ROUND(A20/0.175,0)+1</f>
        <v>10</v>
      </c>
      <c r="P20" s="1456"/>
      <c r="Q20" s="633" t="s">
        <v>1479</v>
      </c>
      <c r="R20" s="627">
        <v>5</v>
      </c>
      <c r="S20" s="628">
        <f>S19</f>
        <v>3.6949999999999998</v>
      </c>
      <c r="T20" s="628">
        <f t="shared" si="2"/>
        <v>18.474999999999998</v>
      </c>
      <c r="U20" s="4" t="s">
        <v>1461</v>
      </c>
      <c r="V20" s="630">
        <v>5</v>
      </c>
      <c r="W20">
        <f>W19+4*0.075</f>
        <v>5.7500000000000009</v>
      </c>
      <c r="X20" s="628">
        <f t="shared" si="0"/>
        <v>28.750000000000004</v>
      </c>
    </row>
    <row r="21" spans="1:24" ht="15">
      <c r="A21" s="1457"/>
      <c r="B21" s="625"/>
      <c r="C21" s="625"/>
      <c r="D21" s="1458"/>
      <c r="E21" s="626"/>
      <c r="G21" s="625"/>
      <c r="H21" s="1458"/>
      <c r="I21" s="626"/>
      <c r="J21" s="639"/>
      <c r="K21" s="661"/>
      <c r="L21" s="1458"/>
      <c r="M21" s="626"/>
      <c r="N21" s="626"/>
      <c r="O21" s="1459"/>
      <c r="P21" s="1456"/>
      <c r="Q21" s="633" t="s">
        <v>1479</v>
      </c>
      <c r="R21" s="627">
        <f>G3</f>
        <v>3</v>
      </c>
      <c r="S21" s="628">
        <f>S11</f>
        <v>13.975000000000001</v>
      </c>
      <c r="T21" s="628">
        <f t="shared" si="2"/>
        <v>41.925000000000004</v>
      </c>
      <c r="U21" s="4" t="s">
        <v>1478</v>
      </c>
      <c r="V21" s="641">
        <v>4</v>
      </c>
      <c r="W21" s="4">
        <f>W19</f>
        <v>5.4500000000000011</v>
      </c>
      <c r="X21" s="628">
        <f t="shared" si="0"/>
        <v>21.800000000000004</v>
      </c>
    </row>
    <row r="22" spans="1:24" ht="15">
      <c r="A22" s="1457"/>
      <c r="B22" s="625"/>
      <c r="C22" s="625"/>
      <c r="D22" s="1458"/>
      <c r="E22" s="626"/>
      <c r="G22" s="625"/>
      <c r="H22" s="1458"/>
      <c r="I22" s="626"/>
      <c r="J22" s="639"/>
      <c r="K22" s="661"/>
      <c r="L22" s="1458"/>
      <c r="M22" s="626"/>
      <c r="N22" s="626"/>
      <c r="O22" s="1459"/>
      <c r="P22" s="1456"/>
      <c r="Q22" s="633" t="s">
        <v>1479</v>
      </c>
      <c r="R22" s="627">
        <f>I3</f>
        <v>3</v>
      </c>
      <c r="S22" s="628">
        <f>S12</f>
        <v>15.475000000000001</v>
      </c>
      <c r="T22" s="628">
        <f t="shared" si="2"/>
        <v>46.425000000000004</v>
      </c>
      <c r="U22" s="4" t="s">
        <v>1478</v>
      </c>
      <c r="V22" s="634">
        <v>5</v>
      </c>
      <c r="W22" s="4">
        <f>W21</f>
        <v>5.4500000000000011</v>
      </c>
      <c r="X22" s="628">
        <f t="shared" si="0"/>
        <v>27.250000000000007</v>
      </c>
    </row>
    <row r="23" spans="1:24" ht="15">
      <c r="A23" s="1457"/>
      <c r="B23" s="625"/>
      <c r="C23" s="625"/>
      <c r="D23" s="1458"/>
      <c r="E23" s="626"/>
      <c r="G23" s="625"/>
      <c r="H23" s="1458"/>
      <c r="I23" s="626"/>
      <c r="J23" s="639"/>
      <c r="K23" s="661"/>
      <c r="L23" s="1458"/>
      <c r="M23" s="626"/>
      <c r="N23" s="626"/>
      <c r="O23" s="1459"/>
      <c r="P23" s="1456"/>
      <c r="Q23" s="633" t="s">
        <v>1479</v>
      </c>
      <c r="R23" s="627">
        <f>K3</f>
        <v>5</v>
      </c>
      <c r="S23" s="628">
        <f>S13</f>
        <v>13.975000000000001</v>
      </c>
      <c r="T23" s="628">
        <f t="shared" si="2"/>
        <v>69.875</v>
      </c>
      <c r="U23" s="4" t="s">
        <v>1478</v>
      </c>
      <c r="V23" s="632">
        <v>3</v>
      </c>
      <c r="W23">
        <f>W21</f>
        <v>5.4500000000000011</v>
      </c>
      <c r="X23" s="628">
        <f t="shared" ref="X23:X28" si="3">W23*V23</f>
        <v>16.350000000000001</v>
      </c>
    </row>
    <row r="24" spans="1:24" ht="15">
      <c r="A24" s="1457"/>
      <c r="B24" s="625"/>
      <c r="C24" s="625"/>
      <c r="D24" s="1458"/>
      <c r="E24" s="626"/>
      <c r="G24" s="625"/>
      <c r="H24" s="1458"/>
      <c r="I24" s="626"/>
      <c r="J24" s="639"/>
      <c r="K24" s="661"/>
      <c r="L24" s="1458"/>
      <c r="M24" s="626"/>
      <c r="N24" s="626"/>
      <c r="O24" s="1459"/>
      <c r="P24" s="1456"/>
      <c r="Q24" s="633" t="s">
        <v>1463</v>
      </c>
      <c r="R24" s="627">
        <f>M3</f>
        <v>3</v>
      </c>
      <c r="S24" s="628">
        <f>S21</f>
        <v>13.975000000000001</v>
      </c>
      <c r="T24" s="628">
        <f t="shared" si="2"/>
        <v>41.925000000000004</v>
      </c>
      <c r="U24" s="4" t="s">
        <v>1461</v>
      </c>
      <c r="V24" s="630">
        <v>3</v>
      </c>
      <c r="W24">
        <f>W26+4*0.075</f>
        <v>5.7500000000000009</v>
      </c>
      <c r="X24" s="628">
        <f t="shared" si="3"/>
        <v>17.250000000000004</v>
      </c>
    </row>
    <row r="25" spans="1:24" ht="22.5">
      <c r="A25" s="1457"/>
      <c r="B25" s="625"/>
      <c r="C25" s="625"/>
      <c r="D25" s="1458"/>
      <c r="E25" s="626"/>
      <c r="G25" s="625"/>
      <c r="H25" s="1458"/>
      <c r="I25" s="626"/>
      <c r="J25" s="639"/>
      <c r="K25" s="661"/>
      <c r="L25" s="1458"/>
      <c r="M25" s="626"/>
      <c r="N25" s="626"/>
      <c r="O25" s="1459"/>
      <c r="P25" s="1456"/>
      <c r="Q25" s="643" t="s">
        <v>1466</v>
      </c>
      <c r="R25" s="4">
        <f>R9</f>
        <v>6</v>
      </c>
      <c r="S25" s="4">
        <f>0.23+ROUND(P7*0.3,2)</f>
        <v>1.27</v>
      </c>
      <c r="T25" s="628">
        <f t="shared" si="2"/>
        <v>7.62</v>
      </c>
      <c r="U25" s="4" t="s">
        <v>1478</v>
      </c>
      <c r="V25" s="641">
        <v>2</v>
      </c>
      <c r="W25" s="4">
        <f>W26</f>
        <v>5.4500000000000011</v>
      </c>
      <c r="X25" s="628">
        <f t="shared" si="3"/>
        <v>10.900000000000002</v>
      </c>
    </row>
    <row r="26" spans="1:24" ht="22.5">
      <c r="A26" s="1457"/>
      <c r="B26" s="625"/>
      <c r="C26" s="625"/>
      <c r="D26" s="1458"/>
      <c r="E26" s="626"/>
      <c r="G26" s="625"/>
      <c r="H26" s="1458"/>
      <c r="I26" s="626"/>
      <c r="J26" s="639"/>
      <c r="K26" s="661"/>
      <c r="L26" s="1458"/>
      <c r="M26" s="626"/>
      <c r="N26" s="626"/>
      <c r="O26" s="1459"/>
      <c r="P26" s="1456"/>
      <c r="Q26" s="643" t="s">
        <v>1466</v>
      </c>
      <c r="R26" s="4">
        <f>R13</f>
        <v>3</v>
      </c>
      <c r="S26" s="4">
        <f>S25</f>
        <v>1.27</v>
      </c>
      <c r="T26" s="628">
        <f t="shared" si="2"/>
        <v>3.81</v>
      </c>
      <c r="U26" s="4" t="s">
        <v>1478</v>
      </c>
      <c r="V26" s="4">
        <v>2</v>
      </c>
      <c r="W26" s="567">
        <f>W23</f>
        <v>5.4500000000000011</v>
      </c>
      <c r="X26" s="628">
        <f t="shared" si="3"/>
        <v>10.900000000000002</v>
      </c>
    </row>
    <row r="27" spans="1:24" ht="22.5">
      <c r="A27" s="1457"/>
      <c r="B27" s="625"/>
      <c r="C27" s="625"/>
      <c r="D27" s="1458"/>
      <c r="E27" s="626"/>
      <c r="G27" s="625"/>
      <c r="H27" s="1458"/>
      <c r="I27" s="626"/>
      <c r="J27" s="639"/>
      <c r="K27" s="661"/>
      <c r="L27" s="1458"/>
      <c r="M27" s="626"/>
      <c r="N27" s="626"/>
      <c r="O27" s="1459"/>
      <c r="P27" s="1456"/>
      <c r="Q27" s="643" t="s">
        <v>1466</v>
      </c>
      <c r="R27" s="4">
        <v>6</v>
      </c>
      <c r="S27" s="4">
        <f>S26</f>
        <v>1.27</v>
      </c>
      <c r="T27" s="628">
        <f t="shared" si="2"/>
        <v>7.62</v>
      </c>
      <c r="U27" s="633" t="s">
        <v>1463</v>
      </c>
      <c r="V27" s="627">
        <f>C3</f>
        <v>3</v>
      </c>
      <c r="W27" s="644">
        <f>W18</f>
        <v>8.84</v>
      </c>
      <c r="X27" s="628">
        <f t="shared" si="3"/>
        <v>26.52</v>
      </c>
    </row>
    <row r="28" spans="1:24" ht="22.5">
      <c r="A28" s="1457"/>
      <c r="B28" s="625"/>
      <c r="C28" s="625"/>
      <c r="D28" s="1458"/>
      <c r="E28" s="626"/>
      <c r="F28" s="639"/>
      <c r="G28" s="625"/>
      <c r="H28" s="1458"/>
      <c r="I28" s="626"/>
      <c r="J28" s="639"/>
      <c r="K28" s="661"/>
      <c r="L28" s="1458"/>
      <c r="M28" s="626"/>
      <c r="N28" s="626"/>
      <c r="O28" s="1459"/>
      <c r="P28" s="1456"/>
      <c r="Q28" s="643" t="s">
        <v>1465</v>
      </c>
      <c r="R28" s="4">
        <f>R13</f>
        <v>3</v>
      </c>
      <c r="S28" s="4">
        <f>+ROUND(P19*0.3,2)+0.23+ROUND(P31*0.3,2)</f>
        <v>1.98</v>
      </c>
      <c r="T28" s="628">
        <f t="shared" ref="T28:T42" si="4">S28*R28</f>
        <v>5.9399999999999995</v>
      </c>
      <c r="U28" s="633" t="s">
        <v>1479</v>
      </c>
      <c r="V28" s="627">
        <f>E3</f>
        <v>5</v>
      </c>
      <c r="W28" s="644">
        <f>W27</f>
        <v>8.84</v>
      </c>
      <c r="X28" s="628">
        <f t="shared" si="3"/>
        <v>44.2</v>
      </c>
    </row>
    <row r="29" spans="1:24" ht="22.5">
      <c r="A29" s="4">
        <v>0.64</v>
      </c>
      <c r="B29" s="625"/>
      <c r="C29" s="636"/>
      <c r="D29" s="622"/>
      <c r="E29" s="638"/>
      <c r="G29" s="636"/>
      <c r="H29" s="637"/>
      <c r="I29" s="638"/>
      <c r="J29" s="639"/>
      <c r="K29" s="636"/>
      <c r="L29" s="622"/>
      <c r="M29" s="638"/>
      <c r="N29" s="626"/>
      <c r="O29" s="640">
        <f>ROUND(A29/0.175,0)+1</f>
        <v>5</v>
      </c>
      <c r="P29" s="1456"/>
      <c r="Q29" s="643" t="s">
        <v>1465</v>
      </c>
      <c r="R29" s="4">
        <v>6</v>
      </c>
      <c r="S29" s="4">
        <f>ROUND(P31*0.3,2)+0.23</f>
        <v>1.08</v>
      </c>
      <c r="T29" s="628">
        <f t="shared" si="4"/>
        <v>6.48</v>
      </c>
      <c r="U29" s="633" t="s">
        <v>1479</v>
      </c>
      <c r="V29" s="627">
        <v>3</v>
      </c>
      <c r="W29" s="644">
        <f>W26</f>
        <v>5.4500000000000011</v>
      </c>
      <c r="X29" s="628">
        <f t="shared" ref="X29:X35" si="5">W29*V29</f>
        <v>16.350000000000001</v>
      </c>
    </row>
    <row r="30" spans="1:24" ht="22.5">
      <c r="A30" s="4">
        <v>0.23</v>
      </c>
      <c r="B30" s="625"/>
      <c r="C30" s="639"/>
      <c r="D30" s="639"/>
      <c r="E30" s="639"/>
      <c r="G30" s="639"/>
      <c r="H30" s="639"/>
      <c r="I30" s="639"/>
      <c r="J30" s="639"/>
      <c r="K30" s="639"/>
      <c r="L30" s="639"/>
      <c r="M30" s="639"/>
      <c r="N30" s="626"/>
      <c r="Q30" s="643" t="s">
        <v>1465</v>
      </c>
      <c r="R30" s="4">
        <v>3</v>
      </c>
      <c r="S30" s="4">
        <f>ROUND(P31*0.3,2)+0.23+ROUND(P19*0.3,2)</f>
        <v>1.98</v>
      </c>
      <c r="T30" s="628">
        <f t="shared" si="4"/>
        <v>5.9399999999999995</v>
      </c>
      <c r="U30" s="633" t="s">
        <v>1479</v>
      </c>
      <c r="V30" s="627">
        <v>5</v>
      </c>
      <c r="W30" s="644">
        <f>W29</f>
        <v>5.4500000000000011</v>
      </c>
      <c r="X30" s="628">
        <f t="shared" si="5"/>
        <v>27.250000000000007</v>
      </c>
    </row>
    <row r="31" spans="1:24" ht="22.5">
      <c r="A31" s="4">
        <v>0.59</v>
      </c>
      <c r="B31" s="625"/>
      <c r="C31" s="621"/>
      <c r="D31" s="623"/>
      <c r="E31" s="624"/>
      <c r="G31" s="621"/>
      <c r="H31" s="623"/>
      <c r="I31" s="624"/>
      <c r="J31" s="639"/>
      <c r="K31" s="621"/>
      <c r="L31" s="623"/>
      <c r="M31" s="624"/>
      <c r="N31" s="626"/>
      <c r="O31" s="640">
        <f>ROUND(A31/0.175,0)+1</f>
        <v>4</v>
      </c>
      <c r="P31" s="1456">
        <v>2.82</v>
      </c>
      <c r="Q31" s="643" t="s">
        <v>1465</v>
      </c>
      <c r="R31" s="4">
        <v>6</v>
      </c>
      <c r="S31" s="4">
        <f>S30</f>
        <v>1.98</v>
      </c>
      <c r="T31" s="628">
        <f t="shared" si="4"/>
        <v>11.879999999999999</v>
      </c>
      <c r="U31" s="633" t="s">
        <v>1479</v>
      </c>
      <c r="V31" s="627">
        <v>4</v>
      </c>
      <c r="W31" s="644">
        <f>W28</f>
        <v>8.84</v>
      </c>
      <c r="X31" s="628">
        <f t="shared" si="5"/>
        <v>35.36</v>
      </c>
    </row>
    <row r="32" spans="1:24" ht="22.5">
      <c r="A32" s="1457">
        <v>1.41</v>
      </c>
      <c r="B32" s="625"/>
      <c r="C32" s="625"/>
      <c r="D32" s="1458"/>
      <c r="E32" s="626"/>
      <c r="G32" s="625"/>
      <c r="H32" s="1458"/>
      <c r="I32" s="626"/>
      <c r="J32" s="639"/>
      <c r="K32" s="661"/>
      <c r="L32" s="1458"/>
      <c r="M32" s="626"/>
      <c r="N32" s="626"/>
      <c r="O32" s="1459">
        <f>ROUND(A32/0.175,0)+1</f>
        <v>9</v>
      </c>
      <c r="P32" s="1456"/>
      <c r="Q32" s="643" t="s">
        <v>1465</v>
      </c>
      <c r="R32" s="4">
        <v>6</v>
      </c>
      <c r="S32" s="4">
        <f>ROUND(P31*0.3,2)+0.23+ROUND(P41*0.3,2)</f>
        <v>1.9700000000000002</v>
      </c>
      <c r="T32" s="628">
        <f t="shared" si="4"/>
        <v>11.82</v>
      </c>
      <c r="U32" s="633" t="s">
        <v>1479</v>
      </c>
      <c r="V32" s="627">
        <v>4</v>
      </c>
      <c r="W32" s="644">
        <f>W31</f>
        <v>8.84</v>
      </c>
      <c r="X32" s="628">
        <f t="shared" si="5"/>
        <v>35.36</v>
      </c>
    </row>
    <row r="33" spans="1:24" ht="22.5">
      <c r="A33" s="1457"/>
      <c r="B33" s="625"/>
      <c r="C33" s="625"/>
      <c r="D33" s="1458"/>
      <c r="E33" s="626"/>
      <c r="G33" s="625"/>
      <c r="H33" s="1458"/>
      <c r="I33" s="626"/>
      <c r="J33" s="639"/>
      <c r="K33" s="661"/>
      <c r="L33" s="1458"/>
      <c r="M33" s="626"/>
      <c r="N33" s="626"/>
      <c r="O33" s="1459"/>
      <c r="P33" s="1456"/>
      <c r="Q33" s="643" t="s">
        <v>1465</v>
      </c>
      <c r="R33" s="4">
        <v>3</v>
      </c>
      <c r="S33" s="4">
        <f>ROUND(P31*0.3,2)+0.23+ROUND(P41*0.3,2)</f>
        <v>1.9700000000000002</v>
      </c>
      <c r="T33" s="628">
        <f t="shared" si="4"/>
        <v>5.91</v>
      </c>
      <c r="U33" s="633" t="s">
        <v>1479</v>
      </c>
      <c r="V33" s="627">
        <v>5</v>
      </c>
      <c r="W33" s="644">
        <f>W30</f>
        <v>5.4500000000000011</v>
      </c>
      <c r="X33" s="628">
        <f t="shared" si="5"/>
        <v>27.250000000000007</v>
      </c>
    </row>
    <row r="34" spans="1:24" ht="22.5">
      <c r="A34" s="1457"/>
      <c r="B34" s="625"/>
      <c r="C34" s="625"/>
      <c r="D34" s="1458"/>
      <c r="E34" s="626"/>
      <c r="G34" s="625"/>
      <c r="H34" s="1458"/>
      <c r="I34" s="626"/>
      <c r="J34" s="639"/>
      <c r="K34" s="661"/>
      <c r="L34" s="1458"/>
      <c r="M34" s="626"/>
      <c r="N34" s="626"/>
      <c r="O34" s="1459"/>
      <c r="P34" s="1456"/>
      <c r="Q34" s="643" t="s">
        <v>1465</v>
      </c>
      <c r="R34" s="4">
        <v>6</v>
      </c>
      <c r="S34" s="4">
        <f>ROUND(P31*0.3,2)+0.23+ROUND(P41*0.3,2)</f>
        <v>1.9700000000000002</v>
      </c>
      <c r="T34" s="628">
        <f t="shared" si="4"/>
        <v>11.82</v>
      </c>
      <c r="U34" s="633" t="s">
        <v>1479</v>
      </c>
      <c r="V34" s="627">
        <v>5</v>
      </c>
      <c r="W34" s="644">
        <f>W33</f>
        <v>5.4500000000000011</v>
      </c>
      <c r="X34" s="628">
        <f t="shared" si="5"/>
        <v>27.250000000000007</v>
      </c>
    </row>
    <row r="35" spans="1:24" ht="22.5">
      <c r="A35" s="1457"/>
      <c r="B35" s="625"/>
      <c r="C35" s="625"/>
      <c r="D35" s="1458"/>
      <c r="E35" s="626"/>
      <c r="G35" s="625"/>
      <c r="H35" s="1458"/>
      <c r="I35" s="626"/>
      <c r="J35" s="639"/>
      <c r="K35" s="661"/>
      <c r="L35" s="1458"/>
      <c r="M35" s="626"/>
      <c r="N35" s="626"/>
      <c r="O35" s="1459"/>
      <c r="P35" s="1456"/>
      <c r="Q35" s="643" t="s">
        <v>1466</v>
      </c>
      <c r="R35" s="665">
        <v>6</v>
      </c>
      <c r="S35" s="4">
        <f>ROUND(P41*0.3,2)+0.23</f>
        <v>1.1200000000000001</v>
      </c>
      <c r="T35" s="628">
        <f t="shared" si="4"/>
        <v>6.7200000000000006</v>
      </c>
      <c r="U35" s="633" t="s">
        <v>1479</v>
      </c>
      <c r="V35" s="627">
        <v>3</v>
      </c>
      <c r="W35" s="644">
        <f>W34</f>
        <v>5.4500000000000011</v>
      </c>
      <c r="X35" s="628">
        <f t="shared" si="5"/>
        <v>16.350000000000001</v>
      </c>
    </row>
    <row r="36" spans="1:24" ht="22.5">
      <c r="A36" s="1457"/>
      <c r="B36" s="625"/>
      <c r="C36" s="625"/>
      <c r="D36" s="1458"/>
      <c r="E36" s="626"/>
      <c r="G36" s="625"/>
      <c r="H36" s="1458"/>
      <c r="I36" s="626"/>
      <c r="J36" s="639"/>
      <c r="K36" s="661"/>
      <c r="L36" s="1458"/>
      <c r="M36" s="626"/>
      <c r="N36" s="626"/>
      <c r="O36" s="1459"/>
      <c r="P36" s="1456"/>
      <c r="Q36" s="643" t="s">
        <v>1465</v>
      </c>
      <c r="R36" s="665">
        <v>3</v>
      </c>
      <c r="S36" s="4">
        <f>ROUND(P41*0.3,2)+0.23+ROUND(P51*0.3,2)</f>
        <v>1.57</v>
      </c>
      <c r="T36" s="628">
        <f t="shared" si="4"/>
        <v>4.71</v>
      </c>
      <c r="U36" s="633" t="s">
        <v>1463</v>
      </c>
      <c r="V36" s="627">
        <f>O55</f>
        <v>2</v>
      </c>
      <c r="W36" s="644">
        <f>W35</f>
        <v>5.4500000000000011</v>
      </c>
      <c r="X36" s="628">
        <f>W36*V36</f>
        <v>10.900000000000002</v>
      </c>
    </row>
    <row r="37" spans="1:24" ht="22.5">
      <c r="A37" s="1457"/>
      <c r="B37" s="625"/>
      <c r="C37" s="625"/>
      <c r="D37" s="1458"/>
      <c r="E37" s="626"/>
      <c r="G37" s="625"/>
      <c r="H37" s="1458"/>
      <c r="I37" s="626"/>
      <c r="J37" s="639"/>
      <c r="K37" s="661"/>
      <c r="L37" s="1458"/>
      <c r="M37" s="626"/>
      <c r="N37" s="626"/>
      <c r="O37" s="1459"/>
      <c r="P37" s="1456"/>
      <c r="Q37" s="643" t="s">
        <v>1465</v>
      </c>
      <c r="R37" s="665">
        <v>6</v>
      </c>
      <c r="S37" s="4">
        <f>ROUND(P41*0.3,2)+0.23+ROUND(P51*0.3,2)</f>
        <v>1.57</v>
      </c>
      <c r="T37" s="628">
        <f t="shared" si="4"/>
        <v>9.42</v>
      </c>
      <c r="U37" s="643" t="s">
        <v>1466</v>
      </c>
      <c r="V37" s="4">
        <v>6</v>
      </c>
      <c r="W37" s="4">
        <f>ROUND(C4*0.3,2)+0.23</f>
        <v>1.25</v>
      </c>
      <c r="X37" s="628">
        <f t="shared" ref="X37:X53" si="6">W37*V37</f>
        <v>7.5</v>
      </c>
    </row>
    <row r="38" spans="1:24" ht="22.5">
      <c r="A38" s="1457"/>
      <c r="B38" s="625"/>
      <c r="C38" s="625"/>
      <c r="D38" s="1458"/>
      <c r="E38" s="626"/>
      <c r="G38" s="625"/>
      <c r="H38" s="1458"/>
      <c r="I38" s="626"/>
      <c r="J38" s="639"/>
      <c r="K38" s="661"/>
      <c r="L38" s="1458"/>
      <c r="M38" s="626"/>
      <c r="N38" s="626"/>
      <c r="O38" s="1459"/>
      <c r="P38" s="1456"/>
      <c r="Q38" s="643" t="s">
        <v>1466</v>
      </c>
      <c r="R38" s="641">
        <v>4</v>
      </c>
      <c r="S38" s="4">
        <f>ROUND(P51*0.3,2)+0.23</f>
        <v>0.68</v>
      </c>
      <c r="T38" s="628">
        <f t="shared" si="4"/>
        <v>2.72</v>
      </c>
      <c r="U38" s="643" t="s">
        <v>1465</v>
      </c>
      <c r="V38" s="627">
        <v>6</v>
      </c>
      <c r="W38" s="4">
        <f>W37+ROUND(G4*0.3,2)</f>
        <v>1.87</v>
      </c>
      <c r="X38" s="628">
        <f t="shared" si="6"/>
        <v>11.22</v>
      </c>
    </row>
    <row r="39" spans="1:24" ht="22.5">
      <c r="A39" s="635">
        <v>0.59</v>
      </c>
      <c r="B39" s="625"/>
      <c r="C39" s="636"/>
      <c r="D39" s="637"/>
      <c r="E39" s="638"/>
      <c r="G39" s="636"/>
      <c r="H39" s="637"/>
      <c r="I39" s="638"/>
      <c r="J39" s="639"/>
      <c r="K39" s="636"/>
      <c r="L39" s="637"/>
      <c r="M39" s="638"/>
      <c r="N39" s="626"/>
      <c r="O39" s="640">
        <f>ROUND(A39/0.175,0)+1</f>
        <v>4</v>
      </c>
      <c r="P39" s="1456"/>
      <c r="Q39" s="643" t="s">
        <v>1466</v>
      </c>
      <c r="R39" s="641">
        <v>6</v>
      </c>
      <c r="S39" s="4">
        <f>ROUND(P51*0.3,2)+0.23</f>
        <v>0.68</v>
      </c>
      <c r="T39" s="628">
        <f t="shared" si="4"/>
        <v>4.08</v>
      </c>
      <c r="U39" s="643" t="s">
        <v>1465</v>
      </c>
      <c r="V39" s="627">
        <v>6</v>
      </c>
      <c r="W39" s="567">
        <f>W37+ROUND(K4*0.3,2)</f>
        <v>2.2000000000000002</v>
      </c>
      <c r="X39" s="628">
        <f t="shared" si="6"/>
        <v>13.200000000000001</v>
      </c>
    </row>
    <row r="40" spans="1:24" ht="22.5">
      <c r="A40" s="645">
        <v>0.23</v>
      </c>
      <c r="B40" s="625"/>
      <c r="H40" s="639"/>
      <c r="I40" s="639"/>
      <c r="J40" s="639"/>
      <c r="N40" s="626"/>
      <c r="Q40" s="4" t="s">
        <v>1504</v>
      </c>
      <c r="R40" s="627"/>
      <c r="S40" s="628"/>
      <c r="T40" s="628"/>
      <c r="U40" s="643" t="s">
        <v>1466</v>
      </c>
      <c r="V40" s="4">
        <v>6</v>
      </c>
      <c r="W40" s="4">
        <f>ROUND(K4*0.3,2)+0.23</f>
        <v>1.18</v>
      </c>
      <c r="X40" s="628">
        <f t="shared" si="6"/>
        <v>7.08</v>
      </c>
    </row>
    <row r="41" spans="1:24" ht="22.5">
      <c r="A41" s="4">
        <v>0.62</v>
      </c>
      <c r="B41" s="625"/>
      <c r="C41" s="621"/>
      <c r="D41" s="623"/>
      <c r="E41" s="624"/>
      <c r="G41" s="621"/>
      <c r="H41" s="623"/>
      <c r="I41" s="624"/>
      <c r="J41" s="639"/>
      <c r="K41" s="621"/>
      <c r="L41" s="623"/>
      <c r="M41" s="624"/>
      <c r="N41" s="626"/>
      <c r="O41" s="640">
        <f>ROUND(A41/0.175,0)+1</f>
        <v>5</v>
      </c>
      <c r="P41" s="1456">
        <v>2.95</v>
      </c>
      <c r="Q41" s="643" t="s">
        <v>1478</v>
      </c>
      <c r="R41" s="627">
        <f>ROUND(3.01/0.15,0)+1</f>
        <v>21</v>
      </c>
      <c r="S41" s="628">
        <f>P19+0.23</f>
        <v>3.2399999999999998</v>
      </c>
      <c r="T41" s="628">
        <f t="shared" si="4"/>
        <v>68.039999999999992</v>
      </c>
      <c r="U41" s="643" t="s">
        <v>1465</v>
      </c>
      <c r="V41" s="627">
        <v>5</v>
      </c>
      <c r="W41" s="4">
        <f>ROUND(G4*0.3,2)+0.23</f>
        <v>0.85</v>
      </c>
      <c r="X41" s="628">
        <f t="shared" si="6"/>
        <v>4.25</v>
      </c>
    </row>
    <row r="42" spans="1:24" ht="22.5">
      <c r="A42" s="1457">
        <v>1.48</v>
      </c>
      <c r="B42" s="625"/>
      <c r="C42" s="646"/>
      <c r="D42" s="1458"/>
      <c r="E42" s="626"/>
      <c r="G42" s="625"/>
      <c r="H42" s="1367"/>
      <c r="I42" s="626"/>
      <c r="J42" s="639"/>
      <c r="K42" s="661"/>
      <c r="L42" s="1458"/>
      <c r="M42" s="626"/>
      <c r="N42" s="626"/>
      <c r="O42" s="1459">
        <f>ROUND(A42/0.175,0)+1</f>
        <v>9</v>
      </c>
      <c r="P42" s="1456"/>
      <c r="Q42" s="643" t="s">
        <v>1478</v>
      </c>
      <c r="R42" s="627">
        <f>ROUND(3.39/0.15,0)+1</f>
        <v>24</v>
      </c>
      <c r="S42" s="628">
        <f>3.39+0.23</f>
        <v>3.62</v>
      </c>
      <c r="T42" s="628">
        <f t="shared" si="4"/>
        <v>86.88</v>
      </c>
      <c r="U42" s="643" t="s">
        <v>1465</v>
      </c>
      <c r="V42" s="627">
        <v>5</v>
      </c>
      <c r="W42" s="567">
        <f>W41+ROUND(K4*0.3,2)</f>
        <v>1.7999999999999998</v>
      </c>
      <c r="X42" s="628">
        <f t="shared" si="6"/>
        <v>9</v>
      </c>
    </row>
    <row r="43" spans="1:24" ht="22.5">
      <c r="A43" s="1457"/>
      <c r="B43" s="625"/>
      <c r="C43" s="646"/>
      <c r="D43" s="1458"/>
      <c r="E43" s="626"/>
      <c r="G43" s="625"/>
      <c r="H43" s="1460"/>
      <c r="I43" s="626"/>
      <c r="J43" s="639"/>
      <c r="K43" s="661"/>
      <c r="L43" s="1458"/>
      <c r="M43" s="626"/>
      <c r="N43" s="626"/>
      <c r="O43" s="1459"/>
      <c r="P43" s="1456"/>
      <c r="Q43" s="4"/>
      <c r="R43" s="627"/>
      <c r="S43" s="628"/>
      <c r="T43" s="628"/>
      <c r="U43" s="643" t="s">
        <v>1466</v>
      </c>
      <c r="V43" s="4">
        <v>5</v>
      </c>
      <c r="W43" s="4">
        <f>ROUND(K4*0.3,2)+0.23</f>
        <v>1.18</v>
      </c>
      <c r="X43" s="628">
        <f t="shared" si="6"/>
        <v>5.8999999999999995</v>
      </c>
    </row>
    <row r="44" spans="1:24" ht="22.5">
      <c r="A44" s="1457"/>
      <c r="B44" s="625"/>
      <c r="C44" s="646"/>
      <c r="D44" s="1458"/>
      <c r="E44" s="626"/>
      <c r="G44" s="625"/>
      <c r="H44" s="1460"/>
      <c r="I44" s="626"/>
      <c r="J44" s="639"/>
      <c r="K44" s="661"/>
      <c r="L44" s="1458"/>
      <c r="M44" s="626"/>
      <c r="N44" s="626"/>
      <c r="O44" s="1459"/>
      <c r="P44" s="1456"/>
      <c r="Q44" s="633"/>
      <c r="R44" s="627"/>
      <c r="S44" s="644"/>
      <c r="T44" s="628"/>
      <c r="U44" s="643" t="s">
        <v>1466</v>
      </c>
      <c r="V44" s="4">
        <v>4</v>
      </c>
      <c r="W44" s="4">
        <f t="shared" ref="W44:W50" si="7">W37</f>
        <v>1.25</v>
      </c>
      <c r="X44" s="628">
        <f t="shared" si="6"/>
        <v>5</v>
      </c>
    </row>
    <row r="45" spans="1:24" ht="22.5">
      <c r="A45" s="1457"/>
      <c r="B45" s="625"/>
      <c r="C45" s="646"/>
      <c r="D45" s="1458"/>
      <c r="E45" s="626"/>
      <c r="G45" s="625"/>
      <c r="H45" s="1460"/>
      <c r="I45" s="626"/>
      <c r="J45" s="639"/>
      <c r="K45" s="661"/>
      <c r="L45" s="1458"/>
      <c r="M45" s="626"/>
      <c r="N45" s="626"/>
      <c r="O45" s="1459"/>
      <c r="P45" s="1456"/>
      <c r="Q45" s="633"/>
      <c r="R45" s="627"/>
      <c r="S45" s="644"/>
      <c r="T45" s="628"/>
      <c r="U45" s="643" t="s">
        <v>1465</v>
      </c>
      <c r="V45" s="627">
        <v>4</v>
      </c>
      <c r="W45" s="4">
        <f t="shared" si="7"/>
        <v>1.87</v>
      </c>
      <c r="X45" s="628">
        <f t="shared" si="6"/>
        <v>7.48</v>
      </c>
    </row>
    <row r="46" spans="1:24" ht="22.5">
      <c r="A46" s="1457"/>
      <c r="B46" s="625"/>
      <c r="C46" s="646"/>
      <c r="D46" s="1458"/>
      <c r="E46" s="626"/>
      <c r="G46" s="625"/>
      <c r="H46" s="1460"/>
      <c r="I46" s="626"/>
      <c r="J46" s="639"/>
      <c r="K46" s="661"/>
      <c r="L46" s="1458"/>
      <c r="M46" s="626"/>
      <c r="N46" s="626"/>
      <c r="O46" s="1459"/>
      <c r="P46" s="1456"/>
      <c r="U46" s="643" t="s">
        <v>1465</v>
      </c>
      <c r="V46" s="627">
        <v>4</v>
      </c>
      <c r="W46" s="567">
        <f t="shared" si="7"/>
        <v>2.2000000000000002</v>
      </c>
      <c r="X46" s="628">
        <f t="shared" si="6"/>
        <v>8.8000000000000007</v>
      </c>
    </row>
    <row r="47" spans="1:24" ht="22.5">
      <c r="A47" s="1457"/>
      <c r="B47" s="625"/>
      <c r="C47" s="646"/>
      <c r="D47" s="1458"/>
      <c r="E47" s="626"/>
      <c r="G47" s="625"/>
      <c r="H47" s="1460"/>
      <c r="I47" s="626"/>
      <c r="J47" s="639"/>
      <c r="K47" s="661"/>
      <c r="L47" s="1458"/>
      <c r="M47" s="626"/>
      <c r="N47" s="626"/>
      <c r="O47" s="1459"/>
      <c r="P47" s="1456"/>
      <c r="U47" s="643" t="s">
        <v>1466</v>
      </c>
      <c r="V47" s="4">
        <v>4</v>
      </c>
      <c r="W47" s="4">
        <f t="shared" si="7"/>
        <v>1.18</v>
      </c>
      <c r="X47" s="628">
        <f t="shared" si="6"/>
        <v>4.72</v>
      </c>
    </row>
    <row r="48" spans="1:24" ht="22.5">
      <c r="A48" s="1457"/>
      <c r="B48" s="625"/>
      <c r="C48" s="646"/>
      <c r="D48" s="1458"/>
      <c r="E48" s="626"/>
      <c r="G48" s="625"/>
      <c r="H48" s="1368"/>
      <c r="I48" s="626"/>
      <c r="J48" s="639"/>
      <c r="K48" s="661"/>
      <c r="L48" s="1458"/>
      <c r="M48" s="626"/>
      <c r="N48" s="626"/>
      <c r="O48" s="1459"/>
      <c r="P48" s="1456"/>
      <c r="Q48" s="4"/>
      <c r="R48" s="627"/>
      <c r="S48" s="644"/>
      <c r="T48" s="628"/>
      <c r="U48" s="643" t="s">
        <v>1465</v>
      </c>
      <c r="V48" s="627">
        <v>4</v>
      </c>
      <c r="W48" s="4">
        <f t="shared" si="7"/>
        <v>0.85</v>
      </c>
      <c r="X48" s="628">
        <f t="shared" si="6"/>
        <v>3.4</v>
      </c>
    </row>
    <row r="49" spans="1:24" ht="22.5">
      <c r="A49" s="635">
        <v>0.62</v>
      </c>
      <c r="B49" s="625"/>
      <c r="C49" s="647"/>
      <c r="D49" s="637"/>
      <c r="E49" s="638"/>
      <c r="G49" s="636"/>
      <c r="H49" s="637"/>
      <c r="I49" s="638"/>
      <c r="J49" s="637"/>
      <c r="K49" s="636"/>
      <c r="L49" s="637"/>
      <c r="M49" s="638"/>
      <c r="N49" s="626"/>
      <c r="O49" s="640">
        <f>ROUND(A49/0.175,0)+1</f>
        <v>5</v>
      </c>
      <c r="P49" s="1456"/>
      <c r="R49" s="627"/>
      <c r="S49" s="627"/>
      <c r="T49" s="628"/>
      <c r="U49" s="643" t="s">
        <v>1465</v>
      </c>
      <c r="V49" s="627">
        <v>4</v>
      </c>
      <c r="W49" s="567">
        <f t="shared" si="7"/>
        <v>1.7999999999999998</v>
      </c>
      <c r="X49" s="628">
        <f t="shared" si="6"/>
        <v>7.1999999999999993</v>
      </c>
    </row>
    <row r="50" spans="1:24" ht="22.5">
      <c r="A50" s="645">
        <v>0.23</v>
      </c>
      <c r="B50" s="636"/>
      <c r="C50" s="637"/>
      <c r="D50" s="637"/>
      <c r="E50" s="637"/>
      <c r="F50" s="639"/>
      <c r="G50" s="639"/>
      <c r="H50" s="639"/>
      <c r="I50" s="639"/>
      <c r="J50" s="639"/>
      <c r="K50" s="637"/>
      <c r="L50" s="637"/>
      <c r="M50" s="637"/>
      <c r="N50" s="626"/>
      <c r="R50" s="627"/>
      <c r="S50" s="644"/>
      <c r="T50" s="628"/>
      <c r="U50" s="643" t="s">
        <v>1466</v>
      </c>
      <c r="V50" s="4">
        <v>4</v>
      </c>
      <c r="W50" s="4">
        <f t="shared" si="7"/>
        <v>1.18</v>
      </c>
      <c r="X50" s="628">
        <f t="shared" si="6"/>
        <v>4.72</v>
      </c>
    </row>
    <row r="51" spans="1:24" ht="22.5">
      <c r="E51">
        <v>0.375</v>
      </c>
      <c r="F51" s="666"/>
      <c r="G51" s="621"/>
      <c r="H51" s="623"/>
      <c r="I51" s="624"/>
      <c r="J51" s="639"/>
      <c r="K51" s="621"/>
      <c r="M51" s="624"/>
      <c r="N51" s="626"/>
      <c r="O51" s="568">
        <f>ROUND(E51/0.175,0)+1</f>
        <v>3</v>
      </c>
      <c r="P51" s="1456">
        <v>1.5</v>
      </c>
      <c r="Q51" s="4"/>
      <c r="R51" s="627"/>
      <c r="S51" s="644"/>
      <c r="T51" s="628"/>
      <c r="U51" s="643" t="s">
        <v>1466</v>
      </c>
      <c r="V51" s="4">
        <v>2</v>
      </c>
      <c r="W51" s="4">
        <f>ROUND(G59*0.3,2)+0.23</f>
        <v>0.85</v>
      </c>
      <c r="X51" s="628">
        <f t="shared" si="6"/>
        <v>1.7</v>
      </c>
    </row>
    <row r="52" spans="1:24" ht="22.5">
      <c r="E52" s="1461">
        <v>0.67</v>
      </c>
      <c r="F52" s="666"/>
      <c r="H52" s="1458"/>
      <c r="I52" s="626"/>
      <c r="K52" s="661"/>
      <c r="L52" s="1458"/>
      <c r="M52" s="626"/>
      <c r="N52" s="626"/>
      <c r="O52" s="1462">
        <f>ROUND(E52/0.175,0)+1</f>
        <v>5</v>
      </c>
      <c r="P52" s="1456"/>
      <c r="Q52" s="633"/>
      <c r="R52" s="627"/>
      <c r="S52" s="644"/>
      <c r="T52" s="628"/>
      <c r="U52" s="643" t="s">
        <v>1465</v>
      </c>
      <c r="V52" s="627">
        <v>2</v>
      </c>
      <c r="W52" s="567">
        <f>W51+ROUND(K59*0.3,2)</f>
        <v>1.7999999999999998</v>
      </c>
      <c r="X52" s="628">
        <f t="shared" si="6"/>
        <v>3.5999999999999996</v>
      </c>
    </row>
    <row r="53" spans="1:24" ht="22.5">
      <c r="A53">
        <f>1.5-E51-E55-0.23</f>
        <v>0.67</v>
      </c>
      <c r="E53" s="1461"/>
      <c r="F53" s="666"/>
      <c r="H53" s="1458"/>
      <c r="I53" s="626"/>
      <c r="K53" s="661"/>
      <c r="L53" s="1458"/>
      <c r="M53" s="626"/>
      <c r="N53" s="626"/>
      <c r="O53" s="1462"/>
      <c r="P53" s="1456"/>
      <c r="Q53" s="633"/>
      <c r="R53" s="627"/>
      <c r="S53" s="644"/>
      <c r="T53" s="628"/>
      <c r="U53" s="643" t="s">
        <v>1466</v>
      </c>
      <c r="V53" s="4">
        <v>2</v>
      </c>
      <c r="W53" s="4">
        <f>ROUND(K59*0.3,2)+0.23</f>
        <v>1.18</v>
      </c>
      <c r="X53" s="628">
        <f t="shared" si="6"/>
        <v>2.36</v>
      </c>
    </row>
    <row r="54" spans="1:24">
      <c r="E54" s="1461"/>
      <c r="F54" s="666"/>
      <c r="H54" s="1458"/>
      <c r="I54" s="626"/>
      <c r="K54" s="661"/>
      <c r="L54" s="1458"/>
      <c r="M54" s="626"/>
      <c r="N54" s="626"/>
      <c r="O54" s="1462"/>
      <c r="P54" s="1456"/>
      <c r="Q54" s="633"/>
      <c r="R54" s="627"/>
      <c r="S54" s="644"/>
      <c r="T54" s="628"/>
      <c r="U54" s="4"/>
      <c r="X54" s="628"/>
    </row>
    <row r="55" spans="1:24">
      <c r="E55" s="635">
        <v>0.22500000000000001</v>
      </c>
      <c r="F55" s="666"/>
      <c r="G55" s="636"/>
      <c r="H55" s="637"/>
      <c r="I55" s="638"/>
      <c r="J55" s="639"/>
      <c r="K55" s="636"/>
      <c r="L55" s="637"/>
      <c r="M55" s="638"/>
      <c r="N55" s="626"/>
      <c r="O55" s="568">
        <f>ROUND(E55/0.175,0)+1</f>
        <v>2</v>
      </c>
      <c r="P55" s="1456"/>
      <c r="R55" s="627"/>
      <c r="S55" s="644"/>
      <c r="T55" s="628"/>
      <c r="U55" s="4"/>
      <c r="X55" s="628"/>
    </row>
    <row r="56" spans="1:24">
      <c r="E56" s="635"/>
      <c r="F56" s="636"/>
      <c r="G56" s="637"/>
      <c r="H56" s="637"/>
      <c r="I56" s="637"/>
      <c r="J56" s="637"/>
      <c r="K56" s="637"/>
      <c r="L56" s="637"/>
      <c r="M56" s="637"/>
      <c r="N56" s="638"/>
      <c r="P56" s="1456"/>
      <c r="Q56" s="4"/>
      <c r="R56" s="627"/>
      <c r="S56" s="644"/>
      <c r="T56" s="628"/>
      <c r="U56" s="4"/>
      <c r="V56" s="4"/>
      <c r="W56" s="4"/>
      <c r="X56" s="628"/>
    </row>
    <row r="58" spans="1:24">
      <c r="C58" s="648">
        <v>0.39</v>
      </c>
      <c r="D58" s="603">
        <v>2.04</v>
      </c>
      <c r="E58" s="649">
        <v>0.73</v>
      </c>
      <c r="F58" s="618">
        <v>0.23</v>
      </c>
      <c r="G58" s="619">
        <v>0.39</v>
      </c>
      <c r="H58" s="543">
        <f>1.83-0.39-0.39</f>
        <v>1.0499999999999998</v>
      </c>
      <c r="I58" s="619">
        <v>0.39</v>
      </c>
      <c r="J58" s="659">
        <v>0.23</v>
      </c>
      <c r="K58">
        <v>0.68</v>
      </c>
      <c r="L58" s="603">
        <v>1.89</v>
      </c>
      <c r="M58" s="667">
        <v>0.36</v>
      </c>
      <c r="N58" s="618">
        <v>0.23</v>
      </c>
      <c r="Q58" s="4"/>
      <c r="R58" s="627"/>
      <c r="S58" s="644"/>
      <c r="T58" s="628"/>
      <c r="U58" s="4"/>
      <c r="W58" s="3"/>
      <c r="X58" s="628"/>
    </row>
    <row r="59" spans="1:24">
      <c r="C59" s="1455">
        <v>3.39</v>
      </c>
      <c r="D59" s="1455"/>
      <c r="E59" s="1455"/>
      <c r="G59" s="1366">
        <v>2.06</v>
      </c>
      <c r="H59" s="1366"/>
      <c r="I59" s="1366"/>
      <c r="K59" s="1366">
        <v>3.16</v>
      </c>
      <c r="L59" s="1366"/>
      <c r="M59" s="1366"/>
      <c r="R59" s="627"/>
      <c r="S59" s="627"/>
      <c r="T59" s="628"/>
      <c r="U59" s="4"/>
      <c r="X59" s="628"/>
    </row>
    <row r="60" spans="1:24">
      <c r="C60" s="543">
        <f>ROUND(C58/0.175,0)+1</f>
        <v>3</v>
      </c>
      <c r="D60" s="543">
        <f>ROUND(D58/0.175,0)+1</f>
        <v>13</v>
      </c>
      <c r="E60" s="543">
        <f>ROUND(E58/0.175,0)+1</f>
        <v>5</v>
      </c>
      <c r="G60" s="543">
        <f>ROUND(G58/0.175,0)+1</f>
        <v>3</v>
      </c>
      <c r="H60" s="543">
        <f>ROUND(H58/0.175,0)+1</f>
        <v>7</v>
      </c>
      <c r="I60" s="543">
        <f>ROUND(I58/0.175,0)+1</f>
        <v>3</v>
      </c>
      <c r="J60" s="543"/>
      <c r="K60" s="543">
        <f>ROUND(K58/0.175,0)+1</f>
        <v>5</v>
      </c>
      <c r="L60" s="543">
        <f>ROUND(L58/0.175,0)+1</f>
        <v>12</v>
      </c>
      <c r="M60" s="543">
        <f>ROUND(M58/0.175,0)+1</f>
        <v>3</v>
      </c>
      <c r="O60" t="s">
        <v>1425</v>
      </c>
      <c r="R60" s="627"/>
      <c r="S60" s="644"/>
      <c r="T60" s="628">
        <f>SUM(T7:T59)</f>
        <v>1045.94</v>
      </c>
      <c r="X60" s="628">
        <f>SUM(X7:X59)</f>
        <v>975.2900000000003</v>
      </c>
    </row>
    <row r="61" spans="1:24">
      <c r="Q61" s="4"/>
      <c r="R61" s="627"/>
      <c r="S61" s="644"/>
      <c r="T61" s="628"/>
    </row>
    <row r="62" spans="1:24">
      <c r="Q62" s="633"/>
      <c r="R62" s="627"/>
      <c r="S62" s="644"/>
      <c r="T62" s="628"/>
    </row>
    <row r="63" spans="1:24">
      <c r="Q63" s="633"/>
      <c r="R63" s="627"/>
      <c r="S63" s="644"/>
      <c r="T63" s="628"/>
    </row>
    <row r="64" spans="1:24">
      <c r="T64" s="651"/>
      <c r="X64" s="651"/>
    </row>
  </sheetData>
  <mergeCells count="39">
    <mergeCell ref="C59:E59"/>
    <mergeCell ref="G59:I59"/>
    <mergeCell ref="K59:M59"/>
    <mergeCell ref="P51:P56"/>
    <mergeCell ref="E52:E54"/>
    <mergeCell ref="H52:H54"/>
    <mergeCell ref="L52:L54"/>
    <mergeCell ref="O52:O54"/>
    <mergeCell ref="P41:P49"/>
    <mergeCell ref="A42:A48"/>
    <mergeCell ref="D42:D48"/>
    <mergeCell ref="H42:H48"/>
    <mergeCell ref="L42:L48"/>
    <mergeCell ref="O42:O48"/>
    <mergeCell ref="P31:P39"/>
    <mergeCell ref="A32:A38"/>
    <mergeCell ref="D32:D38"/>
    <mergeCell ref="H32:H38"/>
    <mergeCell ref="L32:L38"/>
    <mergeCell ref="O32:O38"/>
    <mergeCell ref="P19:P29"/>
    <mergeCell ref="A20:A28"/>
    <mergeCell ref="D20:D28"/>
    <mergeCell ref="H20:H28"/>
    <mergeCell ref="L20:L28"/>
    <mergeCell ref="O20:O28"/>
    <mergeCell ref="P7:P17"/>
    <mergeCell ref="A8:A16"/>
    <mergeCell ref="D8:D16"/>
    <mergeCell ref="H8:H16"/>
    <mergeCell ref="L8:L16"/>
    <mergeCell ref="O8:O16"/>
    <mergeCell ref="B2:N2"/>
    <mergeCell ref="Q2:X2"/>
    <mergeCell ref="Q3:S3"/>
    <mergeCell ref="V3:X3"/>
    <mergeCell ref="C4:E4"/>
    <mergeCell ref="G4:I4"/>
    <mergeCell ref="K4:M4"/>
  </mergeCells>
  <pageMargins left="0.16" right="0.16" top="0.23" bottom="0.75" header="0.3" footer="0.3"/>
  <pageSetup orientation="landscape" verticalDpi="0" r:id="rId1"/>
</worksheet>
</file>

<file path=xl/worksheets/sheet29.xml><?xml version="1.0" encoding="utf-8"?>
<worksheet xmlns="http://schemas.openxmlformats.org/spreadsheetml/2006/main" xmlns:r="http://schemas.openxmlformats.org/officeDocument/2006/relationships">
  <dimension ref="A1:X78"/>
  <sheetViews>
    <sheetView topLeftCell="A10" workbookViewId="0">
      <selection activeCell="G35" sqref="G35:I35"/>
    </sheetView>
  </sheetViews>
  <sheetFormatPr defaultRowHeight="12.75"/>
  <cols>
    <col min="1" max="1" width="4.85546875" style="543" customWidth="1"/>
    <col min="2" max="2" width="12.85546875" customWidth="1"/>
    <col min="3" max="5" width="5.7109375" customWidth="1"/>
    <col min="6" max="7" width="6.140625" customWidth="1"/>
    <col min="8" max="8" width="7.28515625" customWidth="1"/>
    <col min="9" max="9" width="5.140625" customWidth="1"/>
    <col min="10" max="10" width="5.7109375" customWidth="1"/>
    <col min="11" max="11" width="5.28515625" customWidth="1"/>
    <col min="12" max="12" width="14.140625" customWidth="1"/>
    <col min="13" max="14" width="6" style="543" customWidth="1"/>
    <col min="15" max="15" width="6.5703125" customWidth="1"/>
    <col min="16" max="16" width="7.140625" customWidth="1"/>
    <col min="17" max="18" width="5.7109375" customWidth="1"/>
    <col min="19" max="19" width="6.5703125" bestFit="1" customWidth="1"/>
    <col min="20" max="20" width="6.42578125" customWidth="1"/>
    <col min="21" max="21" width="7" bestFit="1" customWidth="1"/>
    <col min="22" max="24" width="6.42578125" customWidth="1"/>
  </cols>
  <sheetData>
    <row r="1" spans="1:24" ht="21">
      <c r="A1" s="652" t="s">
        <v>1480</v>
      </c>
      <c r="B1" s="652"/>
      <c r="C1" s="652"/>
      <c r="D1" s="652"/>
      <c r="E1" s="652"/>
      <c r="F1" s="652"/>
      <c r="G1" s="652"/>
      <c r="H1" s="652"/>
      <c r="I1" s="652"/>
      <c r="J1" s="652"/>
      <c r="K1" s="652"/>
      <c r="L1" s="652"/>
      <c r="M1" s="652"/>
      <c r="N1" s="652"/>
      <c r="O1" s="652"/>
      <c r="P1" s="652"/>
      <c r="Q1" s="652"/>
      <c r="R1" s="652"/>
      <c r="S1" s="652"/>
      <c r="T1" s="652"/>
      <c r="U1" s="652"/>
      <c r="V1" s="652"/>
      <c r="W1" s="652"/>
      <c r="X1" s="652"/>
    </row>
    <row r="2" spans="1:24" ht="33.75">
      <c r="A2" s="653" t="s">
        <v>1004</v>
      </c>
      <c r="B2" s="654" t="s">
        <v>1481</v>
      </c>
      <c r="C2" s="654"/>
      <c r="D2" s="654"/>
      <c r="E2" s="654"/>
      <c r="F2" s="654"/>
      <c r="G2" s="654"/>
      <c r="H2" s="655" t="s">
        <v>97</v>
      </c>
      <c r="I2" s="655" t="s">
        <v>1482</v>
      </c>
      <c r="J2" s="655" t="s">
        <v>99</v>
      </c>
      <c r="K2" s="654" t="s">
        <v>100</v>
      </c>
      <c r="L2" s="654"/>
      <c r="M2" s="656"/>
      <c r="N2" s="656" t="s">
        <v>1425</v>
      </c>
      <c r="O2" s="609" t="s">
        <v>1483</v>
      </c>
      <c r="P2" s="609" t="s">
        <v>1484</v>
      </c>
      <c r="Q2" s="609" t="s">
        <v>1485</v>
      </c>
      <c r="R2" s="609" t="s">
        <v>1486</v>
      </c>
      <c r="S2" s="609" t="s">
        <v>1487</v>
      </c>
      <c r="T2" s="609" t="s">
        <v>1423</v>
      </c>
      <c r="U2" s="653">
        <v>12</v>
      </c>
      <c r="V2" s="653">
        <v>8</v>
      </c>
      <c r="W2" s="653">
        <v>16</v>
      </c>
      <c r="X2" s="653">
        <v>20</v>
      </c>
    </row>
    <row r="3" spans="1:24">
      <c r="A3" s="225">
        <v>1</v>
      </c>
      <c r="B3" s="445" t="s">
        <v>1488</v>
      </c>
      <c r="C3" s="445"/>
      <c r="D3" s="445"/>
      <c r="E3" s="445">
        <v>3.39</v>
      </c>
      <c r="F3" s="445">
        <v>5.22</v>
      </c>
      <c r="G3" s="445"/>
      <c r="H3" s="445">
        <f>E3</f>
        <v>3.39</v>
      </c>
      <c r="I3" s="445">
        <v>0.23</v>
      </c>
      <c r="J3" s="445">
        <v>0.42499999999999999</v>
      </c>
      <c r="K3" s="445">
        <f>ROUND(J3*I3*H3,2)</f>
        <v>0.33</v>
      </c>
      <c r="L3" s="445" t="s">
        <v>1489</v>
      </c>
      <c r="M3" s="225" t="s">
        <v>1427</v>
      </c>
      <c r="N3" s="225">
        <v>3</v>
      </c>
      <c r="O3" s="445">
        <f>E3</f>
        <v>3.39</v>
      </c>
      <c r="P3" s="445">
        <f>0.23-1*0.025+0.906</f>
        <v>1.111</v>
      </c>
      <c r="Q3" s="445">
        <f>ROUND(2/3*J3,2)</f>
        <v>0.28000000000000003</v>
      </c>
      <c r="R3" s="445"/>
      <c r="S3" s="608">
        <f>SUM(O3:R3)</f>
        <v>4.7810000000000006</v>
      </c>
      <c r="T3" s="445">
        <f>S3*N3</f>
        <v>14.343000000000002</v>
      </c>
      <c r="U3" s="445">
        <f>T3</f>
        <v>14.343000000000002</v>
      </c>
      <c r="V3" s="445"/>
      <c r="W3" s="445"/>
      <c r="X3" s="445"/>
    </row>
    <row r="4" spans="1:24">
      <c r="A4" s="225"/>
      <c r="B4" s="445"/>
      <c r="C4" s="445"/>
      <c r="D4" s="445"/>
      <c r="E4" s="445"/>
      <c r="F4" s="445"/>
      <c r="G4" s="445"/>
      <c r="H4" s="445">
        <f>F3+0.23</f>
        <v>5.45</v>
      </c>
      <c r="I4" s="445">
        <v>0.23</v>
      </c>
      <c r="J4" s="445">
        <v>0.505</v>
      </c>
      <c r="K4" s="445">
        <f>ROUND(J4*I4*H4,2)</f>
        <v>0.63</v>
      </c>
      <c r="L4" s="445" t="s">
        <v>1489</v>
      </c>
      <c r="M4" s="225" t="s">
        <v>1429</v>
      </c>
      <c r="N4" s="225">
        <v>2</v>
      </c>
      <c r="O4" s="445">
        <v>5.22</v>
      </c>
      <c r="P4" s="445">
        <f>0.23-2*0.025</f>
        <v>0.18</v>
      </c>
      <c r="Q4" s="445">
        <f>ROUND(2/3*J4,2)</f>
        <v>0.34</v>
      </c>
      <c r="R4" s="445">
        <f>ROUND(2/3*J4*1,2)</f>
        <v>0.34</v>
      </c>
      <c r="S4" s="608">
        <f>SUM(O4:R4)</f>
        <v>6.0799999999999992</v>
      </c>
      <c r="T4" s="608">
        <f t="shared" ref="T4:T9" si="0">S4*N4</f>
        <v>12.159999999999998</v>
      </c>
      <c r="U4" s="445"/>
      <c r="V4" s="445"/>
      <c r="W4" s="608">
        <f>T4</f>
        <v>12.159999999999998</v>
      </c>
    </row>
    <row r="5" spans="1:24">
      <c r="A5" s="225"/>
      <c r="B5" s="445"/>
      <c r="C5" s="445"/>
      <c r="D5" s="445"/>
      <c r="E5" s="445"/>
      <c r="F5" s="445"/>
      <c r="G5" s="445"/>
      <c r="H5" s="445"/>
      <c r="I5" s="445"/>
      <c r="J5" s="445"/>
      <c r="K5" s="445"/>
      <c r="L5" s="445" t="s">
        <v>1490</v>
      </c>
      <c r="M5" s="225" t="s">
        <v>1429</v>
      </c>
      <c r="N5" s="225">
        <v>2</v>
      </c>
      <c r="O5" s="445">
        <f>E3+F3</f>
        <v>8.61</v>
      </c>
      <c r="P5" s="445">
        <f>0.23-2*0.025</f>
        <v>0.18</v>
      </c>
      <c r="Q5" s="445">
        <f>ROUND(2/3*J3,2)</f>
        <v>0.28000000000000003</v>
      </c>
      <c r="R5" s="445">
        <f>ROUND(2/3*J4,2)</f>
        <v>0.34</v>
      </c>
      <c r="S5" s="608">
        <f>SUM(O5:R5)</f>
        <v>9.4099999999999984</v>
      </c>
      <c r="T5" s="445">
        <f t="shared" si="0"/>
        <v>18.819999999999997</v>
      </c>
      <c r="U5" s="445"/>
      <c r="V5" s="445"/>
      <c r="W5" s="445">
        <f>T5</f>
        <v>18.819999999999997</v>
      </c>
      <c r="X5" s="445"/>
    </row>
    <row r="6" spans="1:24">
      <c r="A6" s="225"/>
      <c r="B6" s="445"/>
      <c r="C6" s="445"/>
      <c r="D6" s="445"/>
      <c r="E6" s="445"/>
      <c r="F6" s="445"/>
      <c r="G6" s="445"/>
      <c r="H6" s="445"/>
      <c r="I6" s="445"/>
      <c r="J6" s="445"/>
      <c r="K6" s="445"/>
      <c r="L6" s="657" t="s">
        <v>1491</v>
      </c>
      <c r="M6" s="225" t="s">
        <v>1428</v>
      </c>
      <c r="N6" s="225">
        <f>ROUND(0.75/0.1+1,0)*2</f>
        <v>18</v>
      </c>
      <c r="O6" s="445"/>
      <c r="P6" s="445"/>
      <c r="Q6" s="445"/>
      <c r="R6" s="445"/>
      <c r="S6" s="608">
        <f>2*(0.23+0.425)-4*0.025</f>
        <v>1.21</v>
      </c>
      <c r="T6" s="445">
        <f t="shared" si="0"/>
        <v>21.78</v>
      </c>
      <c r="U6" s="445"/>
      <c r="V6" s="445">
        <f>T6</f>
        <v>21.78</v>
      </c>
      <c r="W6" s="445"/>
      <c r="X6" s="445"/>
    </row>
    <row r="7" spans="1:24">
      <c r="A7" s="225"/>
      <c r="B7" s="445"/>
      <c r="C7" s="445"/>
      <c r="D7" s="445"/>
      <c r="E7" s="445"/>
      <c r="F7" s="445"/>
      <c r="G7" s="445"/>
      <c r="H7" s="445"/>
      <c r="I7" s="445"/>
      <c r="J7" s="445"/>
      <c r="K7" s="445"/>
      <c r="L7" s="657" t="s">
        <v>1491</v>
      </c>
      <c r="M7" s="225" t="s">
        <v>1428</v>
      </c>
      <c r="N7" s="225">
        <f>ROUND(0.94/0.1+1,0)*2</f>
        <v>20</v>
      </c>
      <c r="O7" s="445"/>
      <c r="P7" s="445"/>
      <c r="Q7" s="445"/>
      <c r="R7" s="445"/>
      <c r="S7" s="608">
        <f>2*(0.23+0.505)-4*0.025</f>
        <v>1.3699999999999999</v>
      </c>
      <c r="T7" s="445">
        <f t="shared" si="0"/>
        <v>27.4</v>
      </c>
      <c r="U7" s="445"/>
      <c r="V7" s="445">
        <f>T7</f>
        <v>27.4</v>
      </c>
      <c r="W7" s="445"/>
      <c r="X7" s="445"/>
    </row>
    <row r="8" spans="1:24">
      <c r="A8" s="225"/>
      <c r="B8" s="445"/>
      <c r="C8" s="445"/>
      <c r="D8" s="445"/>
      <c r="E8" s="445"/>
      <c r="F8" s="445"/>
      <c r="G8" s="445"/>
      <c r="H8" s="445"/>
      <c r="I8" s="445"/>
      <c r="J8" s="445"/>
      <c r="K8" s="445"/>
      <c r="L8" s="657" t="s">
        <v>1492</v>
      </c>
      <c r="M8" s="225" t="s">
        <v>1428</v>
      </c>
      <c r="N8" s="225">
        <f>ROUND((3.39+0.23-2*0.38-2*0.75)/0.14+1,0)</f>
        <v>11</v>
      </c>
      <c r="O8" s="445"/>
      <c r="P8" s="445"/>
      <c r="Q8" s="445"/>
      <c r="R8" s="445"/>
      <c r="S8" s="608">
        <f>2*(0.23+0.425)-4*0.025</f>
        <v>1.21</v>
      </c>
      <c r="T8" s="445">
        <f t="shared" si="0"/>
        <v>13.309999999999999</v>
      </c>
      <c r="U8" s="445"/>
      <c r="V8" s="445">
        <f>T8</f>
        <v>13.309999999999999</v>
      </c>
      <c r="W8" s="445"/>
      <c r="X8" s="445"/>
    </row>
    <row r="9" spans="1:24">
      <c r="A9" s="225"/>
      <c r="B9" s="445"/>
      <c r="C9" s="445"/>
      <c r="D9" s="445"/>
      <c r="E9" s="445"/>
      <c r="F9" s="445"/>
      <c r="G9" s="445"/>
      <c r="H9" s="445"/>
      <c r="I9" s="445"/>
      <c r="J9" s="445"/>
      <c r="K9" s="445"/>
      <c r="L9" s="657" t="s">
        <v>1492</v>
      </c>
      <c r="M9" s="225" t="s">
        <v>1428</v>
      </c>
      <c r="N9" s="225">
        <f>ROUND((5.22+0.23-2*0.38-2*0.94)/0.16+1,0)</f>
        <v>19</v>
      </c>
      <c r="O9" s="445"/>
      <c r="P9" s="445"/>
      <c r="Q9" s="445"/>
      <c r="R9" s="445"/>
      <c r="S9" s="608">
        <f>2*(0.23+0.505)-4*0.025</f>
        <v>1.3699999999999999</v>
      </c>
      <c r="T9" s="445">
        <f t="shared" si="0"/>
        <v>26.029999999999998</v>
      </c>
      <c r="U9" s="445"/>
      <c r="V9" s="445">
        <f>T9</f>
        <v>26.029999999999998</v>
      </c>
      <c r="W9" s="445"/>
      <c r="X9" s="445"/>
    </row>
    <row r="10" spans="1:24">
      <c r="A10" s="225">
        <v>2</v>
      </c>
      <c r="B10" s="445" t="s">
        <v>1493</v>
      </c>
      <c r="C10" s="445"/>
      <c r="D10" s="445"/>
      <c r="E10" s="445">
        <v>3.39</v>
      </c>
      <c r="F10" s="445">
        <v>5.22</v>
      </c>
      <c r="G10" s="445"/>
      <c r="H10" s="445">
        <f>E10</f>
        <v>3.39</v>
      </c>
      <c r="I10" s="445">
        <v>0.23</v>
      </c>
      <c r="J10" s="445">
        <v>0.42499999999999999</v>
      </c>
      <c r="K10" s="445">
        <f>ROUND(J10*I10*H10,2)</f>
        <v>0.33</v>
      </c>
      <c r="L10" s="445" t="s">
        <v>1489</v>
      </c>
      <c r="M10" s="225" t="s">
        <v>1427</v>
      </c>
      <c r="N10" s="225">
        <v>3</v>
      </c>
      <c r="O10" s="445">
        <f>E10</f>
        <v>3.39</v>
      </c>
      <c r="P10" s="445">
        <f>0.23-1*0.025+0.6</f>
        <v>0.80499999999999994</v>
      </c>
      <c r="Q10" s="445">
        <f>ROUND(2/3*J10,2)</f>
        <v>0.28000000000000003</v>
      </c>
      <c r="R10" s="445"/>
      <c r="S10" s="608">
        <f>SUM(O10:R10)</f>
        <v>4.4750000000000005</v>
      </c>
      <c r="T10" s="445">
        <f>S10*N10</f>
        <v>13.425000000000001</v>
      </c>
      <c r="U10" s="445">
        <f>T10</f>
        <v>13.425000000000001</v>
      </c>
      <c r="V10" s="445"/>
      <c r="W10" s="445"/>
      <c r="X10" s="445"/>
    </row>
    <row r="11" spans="1:24">
      <c r="A11" s="225"/>
      <c r="B11" s="445"/>
      <c r="C11" s="445"/>
      <c r="D11" s="445"/>
      <c r="E11" s="445"/>
      <c r="F11" s="445"/>
      <c r="G11" s="445"/>
      <c r="H11" s="445">
        <f>F10+0.23</f>
        <v>5.45</v>
      </c>
      <c r="I11" s="445">
        <v>0.23</v>
      </c>
      <c r="J11" s="445">
        <v>0.505</v>
      </c>
      <c r="K11" s="445">
        <f>ROUND(J11*I11*H11,2)</f>
        <v>0.63</v>
      </c>
      <c r="L11" s="445" t="s">
        <v>1489</v>
      </c>
      <c r="M11" s="225" t="s">
        <v>1494</v>
      </c>
      <c r="N11" s="225">
        <v>2</v>
      </c>
      <c r="O11" s="445">
        <v>5.22</v>
      </c>
      <c r="P11" s="445">
        <f>0.23-2*0.025</f>
        <v>0.18</v>
      </c>
      <c r="Q11" s="445">
        <f>ROUND(2/3*J11,2)</f>
        <v>0.34</v>
      </c>
      <c r="R11" s="445">
        <f>ROUND(2/3*J11*1,2)</f>
        <v>0.34</v>
      </c>
      <c r="S11" s="608">
        <f>SUM(O11:R11)</f>
        <v>6.0799999999999992</v>
      </c>
      <c r="T11" s="608">
        <f t="shared" ref="T11:T16" si="1">S11*N11</f>
        <v>12.159999999999998</v>
      </c>
      <c r="U11" s="445"/>
      <c r="V11" s="445"/>
      <c r="W11" s="445"/>
      <c r="X11" s="608">
        <f>T11</f>
        <v>12.159999999999998</v>
      </c>
    </row>
    <row r="12" spans="1:24">
      <c r="A12" s="225"/>
      <c r="B12" s="445"/>
      <c r="C12" s="445"/>
      <c r="D12" s="445"/>
      <c r="E12" s="445"/>
      <c r="F12" s="445"/>
      <c r="G12" s="445"/>
      <c r="H12" s="445"/>
      <c r="I12" s="445"/>
      <c r="J12" s="445"/>
      <c r="K12" s="445"/>
      <c r="L12" s="445" t="s">
        <v>1490</v>
      </c>
      <c r="M12" s="225" t="s">
        <v>1429</v>
      </c>
      <c r="N12" s="225">
        <v>2</v>
      </c>
      <c r="O12" s="445">
        <f>E10+F10</f>
        <v>8.61</v>
      </c>
      <c r="P12" s="445">
        <f>0.23-2*0.025</f>
        <v>0.18</v>
      </c>
      <c r="Q12" s="445">
        <f>ROUND(2/3*J10,2)</f>
        <v>0.28000000000000003</v>
      </c>
      <c r="R12" s="445">
        <f>ROUND(2/3*J11,2)</f>
        <v>0.34</v>
      </c>
      <c r="S12" s="608">
        <f>SUM(O12:R12)</f>
        <v>9.4099999999999984</v>
      </c>
      <c r="T12" s="445">
        <f t="shared" si="1"/>
        <v>18.819999999999997</v>
      </c>
      <c r="U12" s="445"/>
      <c r="V12" s="445"/>
      <c r="W12" s="445">
        <f>T12</f>
        <v>18.819999999999997</v>
      </c>
      <c r="X12" s="445"/>
    </row>
    <row r="13" spans="1:24">
      <c r="A13" s="225"/>
      <c r="B13" s="445"/>
      <c r="C13" s="445"/>
      <c r="D13" s="445"/>
      <c r="E13" s="445"/>
      <c r="F13" s="445"/>
      <c r="G13" s="445"/>
      <c r="H13" s="445"/>
      <c r="I13" s="445"/>
      <c r="J13" s="445"/>
      <c r="K13" s="445"/>
      <c r="L13" s="657" t="s">
        <v>1491</v>
      </c>
      <c r="M13" s="225" t="s">
        <v>1428</v>
      </c>
      <c r="N13" s="225">
        <f>ROUND(0.75/0.1+1,0)*2</f>
        <v>18</v>
      </c>
      <c r="O13" s="445"/>
      <c r="P13" s="445"/>
      <c r="Q13" s="445"/>
      <c r="R13" s="445"/>
      <c r="S13" s="608">
        <f>2*(0.23+0.425)-4*0.025</f>
        <v>1.21</v>
      </c>
      <c r="T13" s="445">
        <f t="shared" si="1"/>
        <v>21.78</v>
      </c>
      <c r="U13" s="445"/>
      <c r="V13" s="445">
        <f>T13</f>
        <v>21.78</v>
      </c>
      <c r="W13" s="445"/>
      <c r="X13" s="445"/>
    </row>
    <row r="14" spans="1:24">
      <c r="A14" s="225"/>
      <c r="B14" s="445"/>
      <c r="C14" s="445"/>
      <c r="D14" s="445"/>
      <c r="E14" s="445"/>
      <c r="F14" s="445"/>
      <c r="G14" s="445"/>
      <c r="H14" s="445"/>
      <c r="I14" s="445"/>
      <c r="J14" s="445"/>
      <c r="K14" s="445"/>
      <c r="L14" s="657" t="s">
        <v>1491</v>
      </c>
      <c r="M14" s="225" t="s">
        <v>1428</v>
      </c>
      <c r="N14" s="225">
        <f>ROUND(0.94/0.1+1,0)*2</f>
        <v>20</v>
      </c>
      <c r="O14" s="445"/>
      <c r="P14" s="445"/>
      <c r="Q14" s="445"/>
      <c r="R14" s="445"/>
      <c r="S14" s="608">
        <f>2*(0.23+0.505)-4*0.025</f>
        <v>1.3699999999999999</v>
      </c>
      <c r="T14" s="445">
        <f t="shared" si="1"/>
        <v>27.4</v>
      </c>
      <c r="U14" s="445"/>
      <c r="V14" s="445">
        <f>T14</f>
        <v>27.4</v>
      </c>
      <c r="W14" s="445"/>
      <c r="X14" s="445"/>
    </row>
    <row r="15" spans="1:24">
      <c r="A15" s="225"/>
      <c r="B15" s="445"/>
      <c r="C15" s="445"/>
      <c r="D15" s="445"/>
      <c r="E15" s="445"/>
      <c r="F15" s="445"/>
      <c r="G15" s="445"/>
      <c r="H15" s="445"/>
      <c r="I15" s="445"/>
      <c r="J15" s="445"/>
      <c r="K15" s="445"/>
      <c r="L15" s="657" t="s">
        <v>1492</v>
      </c>
      <c r="M15" s="225" t="s">
        <v>1428</v>
      </c>
      <c r="N15" s="225">
        <f>ROUND((3.39+0.23-2*0.38-2*0.75)/0.14+1,0)</f>
        <v>11</v>
      </c>
      <c r="O15" s="445"/>
      <c r="P15" s="445"/>
      <c r="Q15" s="445"/>
      <c r="R15" s="445"/>
      <c r="S15" s="608">
        <f>2*(0.23+0.425)-4*0.025</f>
        <v>1.21</v>
      </c>
      <c r="T15" s="445">
        <f t="shared" si="1"/>
        <v>13.309999999999999</v>
      </c>
      <c r="U15" s="445"/>
      <c r="V15" s="445">
        <f>T15</f>
        <v>13.309999999999999</v>
      </c>
      <c r="W15" s="445"/>
      <c r="X15" s="445"/>
    </row>
    <row r="16" spans="1:24">
      <c r="A16" s="225"/>
      <c r="B16" s="445"/>
      <c r="C16" s="445"/>
      <c r="D16" s="445"/>
      <c r="E16" s="445"/>
      <c r="F16" s="445"/>
      <c r="G16" s="445"/>
      <c r="H16" s="445"/>
      <c r="I16" s="445"/>
      <c r="J16" s="445"/>
      <c r="K16" s="445"/>
      <c r="L16" s="657" t="s">
        <v>1492</v>
      </c>
      <c r="M16" s="225" t="s">
        <v>1428</v>
      </c>
      <c r="N16" s="225">
        <f>ROUND((5.22+0.23-2*0.38-2*0.94)/0.16+1,0)</f>
        <v>19</v>
      </c>
      <c r="O16" s="445"/>
      <c r="P16" s="445"/>
      <c r="Q16" s="445"/>
      <c r="R16" s="445"/>
      <c r="S16" s="608">
        <f>2*(0.23+0.505)-4*0.025</f>
        <v>1.3699999999999999</v>
      </c>
      <c r="T16" s="445">
        <f t="shared" si="1"/>
        <v>26.029999999999998</v>
      </c>
      <c r="U16" s="445"/>
      <c r="V16" s="445">
        <f>T16</f>
        <v>26.029999999999998</v>
      </c>
      <c r="W16" s="445"/>
      <c r="X16" s="445"/>
    </row>
    <row r="17" spans="1:24">
      <c r="A17" s="225">
        <v>4</v>
      </c>
      <c r="B17" s="445" t="s">
        <v>1495</v>
      </c>
      <c r="C17" s="445"/>
      <c r="D17" s="445"/>
      <c r="E17" s="445">
        <v>3.39</v>
      </c>
      <c r="F17" s="445">
        <v>5.22</v>
      </c>
      <c r="G17" s="445"/>
      <c r="H17" s="445">
        <f>E17</f>
        <v>3.39</v>
      </c>
      <c r="I17" s="445">
        <v>0.23</v>
      </c>
      <c r="J17" s="445">
        <v>0.42499999999999999</v>
      </c>
      <c r="K17" s="445">
        <f>ROUND(J17*I17*H17,2)</f>
        <v>0.33</v>
      </c>
      <c r="L17" s="445" t="s">
        <v>1489</v>
      </c>
      <c r="M17" s="225" t="s">
        <v>1427</v>
      </c>
      <c r="N17" s="225">
        <v>3</v>
      </c>
      <c r="O17" s="445">
        <f>E17</f>
        <v>3.39</v>
      </c>
      <c r="P17" s="445">
        <f>0.23-1*0.025+0.906</f>
        <v>1.111</v>
      </c>
      <c r="Q17" s="445">
        <f>ROUND(2/3*J17,2)</f>
        <v>0.28000000000000003</v>
      </c>
      <c r="R17" s="445"/>
      <c r="S17" s="608">
        <f>SUM(O17:R17)</f>
        <v>4.7810000000000006</v>
      </c>
      <c r="T17" s="445">
        <f>S17*N17</f>
        <v>14.343000000000002</v>
      </c>
      <c r="U17" s="445">
        <f>T17</f>
        <v>14.343000000000002</v>
      </c>
      <c r="V17" s="445"/>
      <c r="W17" s="445"/>
      <c r="X17" s="445"/>
    </row>
    <row r="18" spans="1:24">
      <c r="A18" s="225"/>
      <c r="B18" s="445"/>
      <c r="C18" s="445"/>
      <c r="D18" s="445"/>
      <c r="E18" s="445"/>
      <c r="F18" s="445"/>
      <c r="G18" s="445"/>
      <c r="H18" s="445">
        <f>F17+0.23</f>
        <v>5.45</v>
      </c>
      <c r="I18" s="445">
        <v>0.23</v>
      </c>
      <c r="J18" s="445">
        <v>0.505</v>
      </c>
      <c r="K18" s="445">
        <f>ROUND(J18*I18*H18,2)</f>
        <v>0.63</v>
      </c>
      <c r="L18" s="445" t="s">
        <v>1489</v>
      </c>
      <c r="M18" s="225" t="s">
        <v>1494</v>
      </c>
      <c r="N18" s="225">
        <v>3</v>
      </c>
      <c r="O18" s="445">
        <v>5.22</v>
      </c>
      <c r="P18" s="445">
        <f>0.23-2*0.025</f>
        <v>0.18</v>
      </c>
      <c r="Q18" s="445">
        <f>ROUND(2/3*J18,2)</f>
        <v>0.34</v>
      </c>
      <c r="R18" s="445">
        <f>ROUND(2/3*J18*1,2)</f>
        <v>0.34</v>
      </c>
      <c r="S18" s="608">
        <f>SUM(O18:R18)</f>
        <v>6.0799999999999992</v>
      </c>
      <c r="T18" s="608">
        <f t="shared" ref="T18:T23" si="2">S18*N18</f>
        <v>18.239999999999998</v>
      </c>
      <c r="U18" s="445"/>
      <c r="V18" s="445"/>
      <c r="W18" s="445"/>
      <c r="X18" s="608">
        <f>T18</f>
        <v>18.239999999999998</v>
      </c>
    </row>
    <row r="19" spans="1:24">
      <c r="A19" s="225"/>
      <c r="B19" s="445"/>
      <c r="C19" s="445"/>
      <c r="D19" s="445"/>
      <c r="E19" s="445"/>
      <c r="F19" s="445"/>
      <c r="G19" s="445"/>
      <c r="H19" s="445"/>
      <c r="I19" s="445"/>
      <c r="J19" s="445"/>
      <c r="K19" s="445"/>
      <c r="L19" s="445" t="s">
        <v>1490</v>
      </c>
      <c r="M19" s="225" t="s">
        <v>1429</v>
      </c>
      <c r="N19" s="225">
        <v>2</v>
      </c>
      <c r="O19" s="445">
        <f>E17+F17</f>
        <v>8.61</v>
      </c>
      <c r="P19" s="445">
        <f>0.23-2*0.025</f>
        <v>0.18</v>
      </c>
      <c r="Q19" s="445">
        <f>ROUND(2/3*J17,2)</f>
        <v>0.28000000000000003</v>
      </c>
      <c r="R19" s="445">
        <f>ROUND(2/3*J18,2)</f>
        <v>0.34</v>
      </c>
      <c r="S19" s="608">
        <f>SUM(O19:R19)</f>
        <v>9.4099999999999984</v>
      </c>
      <c r="T19" s="445">
        <f t="shared" si="2"/>
        <v>18.819999999999997</v>
      </c>
      <c r="U19" s="445"/>
      <c r="V19" s="445"/>
      <c r="W19" s="445">
        <f>T19</f>
        <v>18.819999999999997</v>
      </c>
      <c r="X19" s="445"/>
    </row>
    <row r="20" spans="1:24">
      <c r="A20" s="225"/>
      <c r="B20" s="445"/>
      <c r="C20" s="445"/>
      <c r="D20" s="445"/>
      <c r="E20" s="445"/>
      <c r="F20" s="445"/>
      <c r="G20" s="445"/>
      <c r="H20" s="445"/>
      <c r="I20" s="445"/>
      <c r="J20" s="445"/>
      <c r="K20" s="445"/>
      <c r="L20" s="657" t="s">
        <v>1491</v>
      </c>
      <c r="M20" s="225" t="s">
        <v>1428</v>
      </c>
      <c r="N20" s="225">
        <f>ROUND(0.75/0.1+1,0)*2</f>
        <v>18</v>
      </c>
      <c r="O20" s="445"/>
      <c r="P20" s="445"/>
      <c r="Q20" s="445"/>
      <c r="R20" s="445"/>
      <c r="S20" s="608">
        <f>2*(0.23+0.425)-4*0.025</f>
        <v>1.21</v>
      </c>
      <c r="T20" s="445">
        <f t="shared" si="2"/>
        <v>21.78</v>
      </c>
      <c r="U20" s="445"/>
      <c r="V20" s="445">
        <f>T20</f>
        <v>21.78</v>
      </c>
      <c r="W20" s="445"/>
      <c r="X20" s="445"/>
    </row>
    <row r="21" spans="1:24">
      <c r="A21" s="225"/>
      <c r="B21" s="445"/>
      <c r="C21" s="445"/>
      <c r="D21" s="445"/>
      <c r="E21" s="445"/>
      <c r="F21" s="445"/>
      <c r="G21" s="445"/>
      <c r="H21" s="445"/>
      <c r="I21" s="445"/>
      <c r="J21" s="445"/>
      <c r="K21" s="445"/>
      <c r="L21" s="657" t="s">
        <v>1491</v>
      </c>
      <c r="M21" s="225" t="s">
        <v>1428</v>
      </c>
      <c r="N21" s="225">
        <f>ROUND(0.94/0.1+1,0)*2</f>
        <v>20</v>
      </c>
      <c r="O21" s="445"/>
      <c r="P21" s="445"/>
      <c r="Q21" s="445"/>
      <c r="R21" s="445"/>
      <c r="S21" s="608">
        <f>2*(0.23+0.505)-4*0.025</f>
        <v>1.3699999999999999</v>
      </c>
      <c r="T21" s="445">
        <f t="shared" si="2"/>
        <v>27.4</v>
      </c>
      <c r="U21" s="445"/>
      <c r="V21" s="445">
        <f>T21</f>
        <v>27.4</v>
      </c>
      <c r="W21" s="445"/>
      <c r="X21" s="445"/>
    </row>
    <row r="22" spans="1:24">
      <c r="A22" s="225"/>
      <c r="B22" s="445"/>
      <c r="C22" s="445"/>
      <c r="D22" s="445"/>
      <c r="E22" s="445"/>
      <c r="F22" s="445"/>
      <c r="G22" s="445"/>
      <c r="H22" s="445"/>
      <c r="I22" s="445"/>
      <c r="J22" s="445"/>
      <c r="K22" s="445"/>
      <c r="L22" s="657" t="s">
        <v>1492</v>
      </c>
      <c r="M22" s="225" t="s">
        <v>1428</v>
      </c>
      <c r="N22" s="225">
        <f>ROUND((3.39+0.23-2*0.38-2*0.75)/0.14+1,0)</f>
        <v>11</v>
      </c>
      <c r="O22" s="445"/>
      <c r="P22" s="445"/>
      <c r="Q22" s="445"/>
      <c r="R22" s="445"/>
      <c r="S22" s="608">
        <f>2*(0.23+0.425)-4*0.025</f>
        <v>1.21</v>
      </c>
      <c r="T22" s="445">
        <f t="shared" si="2"/>
        <v>13.309999999999999</v>
      </c>
      <c r="U22" s="445"/>
      <c r="V22" s="445">
        <f>T22</f>
        <v>13.309999999999999</v>
      </c>
      <c r="W22" s="445"/>
      <c r="X22" s="445"/>
    </row>
    <row r="23" spans="1:24">
      <c r="A23" s="225"/>
      <c r="B23" s="445"/>
      <c r="C23" s="445"/>
      <c r="D23" s="445"/>
      <c r="E23" s="445"/>
      <c r="F23" s="445"/>
      <c r="G23" s="445"/>
      <c r="H23" s="445"/>
      <c r="I23" s="445"/>
      <c r="J23" s="445"/>
      <c r="K23" s="445"/>
      <c r="L23" s="657" t="s">
        <v>1492</v>
      </c>
      <c r="M23" s="225" t="s">
        <v>1428</v>
      </c>
      <c r="N23" s="225">
        <f>ROUND((5.22+0.23-2*0.38-2*0.94)/0.16+1,0)</f>
        <v>19</v>
      </c>
      <c r="O23" s="445"/>
      <c r="P23" s="445"/>
      <c r="Q23" s="445"/>
      <c r="R23" s="445"/>
      <c r="S23" s="608">
        <f>2*(0.23+0.505)-4*0.025</f>
        <v>1.3699999999999999</v>
      </c>
      <c r="T23" s="445">
        <f t="shared" si="2"/>
        <v>26.029999999999998</v>
      </c>
      <c r="U23" s="445"/>
      <c r="V23" s="445">
        <f>T23</f>
        <v>26.029999999999998</v>
      </c>
      <c r="W23" s="445"/>
      <c r="X23" s="445"/>
    </row>
    <row r="24" spans="1:24">
      <c r="A24" s="225">
        <v>5</v>
      </c>
      <c r="B24" s="445" t="s">
        <v>1496</v>
      </c>
      <c r="C24" s="608"/>
      <c r="D24" s="608">
        <v>1</v>
      </c>
      <c r="E24" s="445">
        <v>3.39</v>
      </c>
      <c r="F24" s="445">
        <v>5.22</v>
      </c>
      <c r="G24" s="608">
        <v>1</v>
      </c>
      <c r="H24" s="445">
        <f>E24</f>
        <v>3.39</v>
      </c>
      <c r="I24" s="445">
        <v>0.23</v>
      </c>
      <c r="J24" s="445">
        <v>0.42499999999999999</v>
      </c>
      <c r="K24" s="445">
        <f>ROUND(J24*I24*H24,2)</f>
        <v>0.33</v>
      </c>
      <c r="L24" s="445" t="s">
        <v>1489</v>
      </c>
      <c r="M24" s="225" t="s">
        <v>1427</v>
      </c>
      <c r="N24" s="225">
        <v>3</v>
      </c>
      <c r="O24" s="445">
        <f>E24</f>
        <v>3.39</v>
      </c>
      <c r="P24" s="445">
        <f>1+0.23-1*0.025+0.6</f>
        <v>1.8050000000000002</v>
      </c>
      <c r="Q24" s="445">
        <f>ROUND(2/3*J24,2)</f>
        <v>0.28000000000000003</v>
      </c>
      <c r="R24" s="445"/>
      <c r="S24" s="608">
        <f>SUM(O24:R24)</f>
        <v>5.4750000000000005</v>
      </c>
      <c r="T24" s="445">
        <f>S24*N24</f>
        <v>16.425000000000001</v>
      </c>
      <c r="U24" s="445">
        <f>T24</f>
        <v>16.425000000000001</v>
      </c>
      <c r="V24" s="445"/>
      <c r="W24" s="445"/>
      <c r="X24" s="445"/>
    </row>
    <row r="25" spans="1:24">
      <c r="A25" s="225"/>
      <c r="B25" s="445"/>
      <c r="C25" s="445"/>
      <c r="D25" s="445"/>
      <c r="E25" s="445"/>
      <c r="F25" s="445"/>
      <c r="G25" s="445"/>
      <c r="H25" s="445">
        <f>F24+0.23</f>
        <v>5.45</v>
      </c>
      <c r="I25" s="445">
        <v>0.23</v>
      </c>
      <c r="J25" s="445">
        <v>0.505</v>
      </c>
      <c r="K25" s="445">
        <f>ROUND(J25*I25*H25,2)</f>
        <v>0.63</v>
      </c>
      <c r="L25" s="445" t="s">
        <v>1489</v>
      </c>
      <c r="M25" s="225" t="s">
        <v>1494</v>
      </c>
      <c r="N25" s="225">
        <v>2</v>
      </c>
      <c r="O25" s="445">
        <v>5.22</v>
      </c>
      <c r="P25" s="445">
        <f>0.23-2*0.025</f>
        <v>0.18</v>
      </c>
      <c r="Q25" s="445">
        <f>ROUND(2/3*J25,2)</f>
        <v>0.34</v>
      </c>
      <c r="R25" s="445">
        <f>ROUND(2/3*J25*1,2)</f>
        <v>0.34</v>
      </c>
      <c r="S25" s="608">
        <f>SUM(O25:R25)</f>
        <v>6.0799999999999992</v>
      </c>
      <c r="T25" s="608">
        <f t="shared" ref="T25:T33" si="3">S25*N25</f>
        <v>12.159999999999998</v>
      </c>
      <c r="U25" s="445"/>
      <c r="V25" s="445"/>
      <c r="W25" s="445"/>
      <c r="X25" s="608">
        <f>T25</f>
        <v>12.159999999999998</v>
      </c>
    </row>
    <row r="26" spans="1:24">
      <c r="A26" s="225"/>
      <c r="B26" s="445"/>
      <c r="C26" s="445"/>
      <c r="D26" s="445"/>
      <c r="E26" s="445"/>
      <c r="F26" s="445"/>
      <c r="G26" s="445"/>
      <c r="H26" s="445"/>
      <c r="I26" s="445"/>
      <c r="J26" s="445"/>
      <c r="K26" s="445"/>
      <c r="L26" s="445" t="s">
        <v>1489</v>
      </c>
      <c r="M26" s="225" t="s">
        <v>1427</v>
      </c>
      <c r="N26" s="225">
        <v>3</v>
      </c>
      <c r="O26" s="445">
        <f>0.925+0.6</f>
        <v>1.5249999999999999</v>
      </c>
      <c r="P26" s="445">
        <f>0.115-1*0.025</f>
        <v>0.09</v>
      </c>
      <c r="Q26" s="445"/>
      <c r="R26" s="445">
        <f>ROUND(2/3*J24,2)</f>
        <v>0.28000000000000003</v>
      </c>
      <c r="S26" s="608">
        <f>SUM(O26:R26)</f>
        <v>1.895</v>
      </c>
      <c r="T26" s="445">
        <f>S26*N26</f>
        <v>5.6850000000000005</v>
      </c>
      <c r="U26" s="445">
        <f>T26</f>
        <v>5.6850000000000005</v>
      </c>
      <c r="V26" s="445"/>
      <c r="W26" s="445"/>
      <c r="X26" s="608"/>
    </row>
    <row r="27" spans="1:24">
      <c r="A27" s="225"/>
      <c r="B27" s="445"/>
      <c r="C27" s="445"/>
      <c r="D27" s="445"/>
      <c r="E27" s="445"/>
      <c r="F27" s="445"/>
      <c r="G27" s="445"/>
      <c r="H27" s="445"/>
      <c r="I27" s="445"/>
      <c r="J27" s="445"/>
      <c r="K27" s="445"/>
      <c r="L27" s="445" t="s">
        <v>1490</v>
      </c>
      <c r="M27" s="225" t="s">
        <v>1429</v>
      </c>
      <c r="N27" s="225">
        <v>2</v>
      </c>
      <c r="O27" s="608">
        <f>C24+E24+F24</f>
        <v>8.61</v>
      </c>
      <c r="P27" s="445">
        <f>0.23-2*0.025</f>
        <v>0.18</v>
      </c>
      <c r="Q27" s="445">
        <f>ROUND(2/3*J24,2)</f>
        <v>0.28000000000000003</v>
      </c>
      <c r="R27" s="445">
        <f>ROUND(2/3*J25,2)</f>
        <v>0.34</v>
      </c>
      <c r="S27" s="608">
        <f>SUM(O27:R27)</f>
        <v>9.4099999999999984</v>
      </c>
      <c r="T27" s="445">
        <f t="shared" si="3"/>
        <v>18.819999999999997</v>
      </c>
      <c r="U27" s="445"/>
      <c r="V27" s="445"/>
      <c r="W27" s="445">
        <f>T27</f>
        <v>18.819999999999997</v>
      </c>
      <c r="X27" s="445"/>
    </row>
    <row r="28" spans="1:24">
      <c r="A28" s="225"/>
      <c r="B28" s="445"/>
      <c r="C28" s="445"/>
      <c r="D28" s="445"/>
      <c r="E28" s="445"/>
      <c r="F28" s="445"/>
      <c r="G28" s="445"/>
      <c r="H28" s="445"/>
      <c r="I28" s="445"/>
      <c r="J28" s="445"/>
      <c r="K28" s="445"/>
      <c r="L28" s="657" t="s">
        <v>1497</v>
      </c>
      <c r="M28" s="225" t="s">
        <v>1428</v>
      </c>
      <c r="N28" s="225">
        <f>ROUND(0.96/0.1+1,0)</f>
        <v>11</v>
      </c>
      <c r="O28" s="445"/>
      <c r="P28" s="445"/>
      <c r="Q28" s="445"/>
      <c r="R28" s="445"/>
      <c r="S28" s="608">
        <f>2*(0.23+0.425)-4*0.025</f>
        <v>1.21</v>
      </c>
      <c r="T28" s="445">
        <f t="shared" si="3"/>
        <v>13.309999999999999</v>
      </c>
      <c r="U28" s="445"/>
      <c r="V28" s="445">
        <f t="shared" ref="V28:V33" si="4">T28</f>
        <v>13.309999999999999</v>
      </c>
      <c r="W28" s="445"/>
      <c r="X28" s="445"/>
    </row>
    <row r="29" spans="1:24">
      <c r="A29" s="225"/>
      <c r="B29" s="445"/>
      <c r="C29" s="445"/>
      <c r="D29" s="445"/>
      <c r="E29" s="445"/>
      <c r="F29" s="445"/>
      <c r="G29" s="445"/>
      <c r="H29" s="445"/>
      <c r="I29" s="445"/>
      <c r="J29" s="445"/>
      <c r="K29" s="445"/>
      <c r="L29" s="657" t="s">
        <v>1491</v>
      </c>
      <c r="M29" s="225" t="s">
        <v>1428</v>
      </c>
      <c r="N29" s="225">
        <f>ROUND(0.75/0.1+1,0)*2</f>
        <v>18</v>
      </c>
      <c r="O29" s="445"/>
      <c r="P29" s="445"/>
      <c r="Q29" s="445"/>
      <c r="R29" s="445"/>
      <c r="S29" s="608">
        <f>2*(0.23+0.425)-4*0.025</f>
        <v>1.21</v>
      </c>
      <c r="T29" s="445">
        <f t="shared" si="3"/>
        <v>21.78</v>
      </c>
      <c r="U29" s="445"/>
      <c r="V29" s="445">
        <f t="shared" si="4"/>
        <v>21.78</v>
      </c>
      <c r="W29" s="445"/>
      <c r="X29" s="445"/>
    </row>
    <row r="30" spans="1:24">
      <c r="A30" s="225"/>
      <c r="B30" s="445"/>
      <c r="C30" s="445"/>
      <c r="D30" s="445"/>
      <c r="E30" s="445"/>
      <c r="F30" s="445"/>
      <c r="G30" s="445"/>
      <c r="H30" s="445"/>
      <c r="I30" s="445"/>
      <c r="J30" s="445"/>
      <c r="K30" s="445"/>
      <c r="L30" s="657" t="s">
        <v>1491</v>
      </c>
      <c r="M30" s="225" t="s">
        <v>1428</v>
      </c>
      <c r="N30" s="225">
        <f>ROUND(0.94/0.1+1,0)*2</f>
        <v>20</v>
      </c>
      <c r="O30" s="445"/>
      <c r="P30" s="445"/>
      <c r="Q30" s="445"/>
      <c r="R30" s="445"/>
      <c r="S30" s="608">
        <f>2*(0.23+0.505)-4*0.025</f>
        <v>1.3699999999999999</v>
      </c>
      <c r="T30" s="445">
        <f t="shared" si="3"/>
        <v>27.4</v>
      </c>
      <c r="U30" s="445"/>
      <c r="V30" s="445">
        <f t="shared" si="4"/>
        <v>27.4</v>
      </c>
      <c r="W30" s="445"/>
      <c r="X30" s="445"/>
    </row>
    <row r="31" spans="1:24">
      <c r="A31" s="225"/>
      <c r="B31" s="445"/>
      <c r="C31" s="445"/>
      <c r="D31" s="445"/>
      <c r="E31" s="445"/>
      <c r="F31" s="445"/>
      <c r="G31" s="445"/>
      <c r="H31" s="445"/>
      <c r="I31" s="445"/>
      <c r="J31" s="445"/>
      <c r="K31" s="445"/>
      <c r="L31" s="657" t="s">
        <v>1492</v>
      </c>
      <c r="M31" s="225" t="s">
        <v>1428</v>
      </c>
      <c r="N31" s="225">
        <f>ROUND((3.39+0.23-2*0.38-2*0.75)/0.14+1,0)</f>
        <v>11</v>
      </c>
      <c r="O31" s="445"/>
      <c r="P31" s="445"/>
      <c r="Q31" s="445"/>
      <c r="R31" s="445"/>
      <c r="S31" s="608">
        <f>2*(0.23+0.425)-4*0.025</f>
        <v>1.21</v>
      </c>
      <c r="T31" s="445">
        <f t="shared" si="3"/>
        <v>13.309999999999999</v>
      </c>
      <c r="U31" s="445"/>
      <c r="V31" s="445">
        <f t="shared" si="4"/>
        <v>13.309999999999999</v>
      </c>
      <c r="W31" s="445"/>
      <c r="X31" s="445"/>
    </row>
    <row r="32" spans="1:24">
      <c r="A32" s="225"/>
      <c r="B32" s="445"/>
      <c r="C32" s="445"/>
      <c r="D32" s="445"/>
      <c r="E32" s="445"/>
      <c r="F32" s="445"/>
      <c r="G32" s="445"/>
      <c r="H32" s="445"/>
      <c r="I32" s="445"/>
      <c r="J32" s="445"/>
      <c r="K32" s="445"/>
      <c r="L32" s="657" t="s">
        <v>1492</v>
      </c>
      <c r="M32" s="225" t="s">
        <v>1428</v>
      </c>
      <c r="N32" s="225">
        <f>ROUND((5.22+0.23-2*0.38-2*0.94)/0.16+1,0)</f>
        <v>19</v>
      </c>
      <c r="O32" s="445"/>
      <c r="P32" s="445"/>
      <c r="Q32" s="445"/>
      <c r="R32" s="445"/>
      <c r="S32" s="608">
        <f>2*(0.23+0.505)-4*0.025</f>
        <v>1.3699999999999999</v>
      </c>
      <c r="T32" s="445">
        <f t="shared" si="3"/>
        <v>26.029999999999998</v>
      </c>
      <c r="U32" s="445"/>
      <c r="V32" s="445">
        <f t="shared" si="4"/>
        <v>26.029999999999998</v>
      </c>
      <c r="W32" s="445"/>
      <c r="X32" s="445"/>
    </row>
    <row r="33" spans="1:24">
      <c r="A33" s="225"/>
      <c r="B33" s="445"/>
      <c r="C33" s="445"/>
      <c r="D33" s="445"/>
      <c r="E33" s="445"/>
      <c r="F33" s="445"/>
      <c r="G33" s="445"/>
      <c r="H33" s="445"/>
      <c r="I33" s="445"/>
      <c r="J33" s="445"/>
      <c r="K33" s="445"/>
      <c r="L33" s="657" t="s">
        <v>1497</v>
      </c>
      <c r="M33" s="225" t="s">
        <v>1428</v>
      </c>
      <c r="N33" s="225">
        <f>ROUND(0.96/0.1+1,0)</f>
        <v>11</v>
      </c>
      <c r="O33" s="445"/>
      <c r="P33" s="445"/>
      <c r="Q33" s="445"/>
      <c r="R33" s="445"/>
      <c r="S33" s="608">
        <f>2*(0.23+0.505)-4*0.025</f>
        <v>1.3699999999999999</v>
      </c>
      <c r="T33" s="445">
        <f t="shared" si="3"/>
        <v>15.069999999999999</v>
      </c>
      <c r="U33" s="445"/>
      <c r="V33" s="445">
        <f t="shared" si="4"/>
        <v>15.069999999999999</v>
      </c>
      <c r="W33" s="445"/>
      <c r="X33" s="445"/>
    </row>
    <row r="34" spans="1:24">
      <c r="A34" s="225">
        <v>5</v>
      </c>
      <c r="B34" s="445" t="s">
        <v>1498</v>
      </c>
      <c r="C34" s="608"/>
      <c r="D34" s="608">
        <v>1</v>
      </c>
      <c r="E34" s="445">
        <v>3.39</v>
      </c>
      <c r="F34" s="445">
        <v>5.22</v>
      </c>
      <c r="G34" s="608">
        <v>1</v>
      </c>
      <c r="H34" s="445">
        <f>E34</f>
        <v>3.39</v>
      </c>
      <c r="I34" s="445">
        <v>0.23</v>
      </c>
      <c r="J34" s="445">
        <v>0.42499999999999999</v>
      </c>
      <c r="K34" s="445">
        <f>ROUND(J34*I34*H34,2)</f>
        <v>0.33</v>
      </c>
      <c r="L34" s="445" t="s">
        <v>1489</v>
      </c>
      <c r="M34" s="225" t="s">
        <v>1427</v>
      </c>
      <c r="N34" s="225">
        <v>3</v>
      </c>
      <c r="O34" s="445">
        <f>E34</f>
        <v>3.39</v>
      </c>
      <c r="P34" s="445">
        <f>1+0.23-1*0.025+0.96</f>
        <v>2.165</v>
      </c>
      <c r="Q34" s="445">
        <f>ROUND(2/3*J34,2)</f>
        <v>0.28000000000000003</v>
      </c>
      <c r="R34" s="445"/>
      <c r="S34" s="608">
        <f>SUM(O34:R34)</f>
        <v>5.835</v>
      </c>
      <c r="T34" s="445">
        <f>S34*N34</f>
        <v>17.504999999999999</v>
      </c>
      <c r="U34" s="445">
        <f>T34</f>
        <v>17.504999999999999</v>
      </c>
      <c r="V34" s="445"/>
      <c r="W34" s="445"/>
      <c r="X34" s="445"/>
    </row>
    <row r="35" spans="1:24">
      <c r="A35" s="225"/>
      <c r="B35" s="445"/>
      <c r="C35" s="445"/>
      <c r="D35" s="445"/>
      <c r="E35" s="445"/>
      <c r="F35" s="445"/>
      <c r="G35" s="445"/>
      <c r="H35" s="445">
        <f>F34+0.23</f>
        <v>5.45</v>
      </c>
      <c r="I35" s="445">
        <v>0.23</v>
      </c>
      <c r="J35" s="445">
        <v>0.505</v>
      </c>
      <c r="K35" s="445">
        <f>ROUND(J35*I35*H35,2)</f>
        <v>0.63</v>
      </c>
      <c r="L35" s="445" t="s">
        <v>1489</v>
      </c>
      <c r="M35" s="225" t="s">
        <v>1429</v>
      </c>
      <c r="N35" s="225">
        <v>2</v>
      </c>
      <c r="O35" s="445">
        <v>5.22</v>
      </c>
      <c r="P35" s="445">
        <f>0.23-2*0.025</f>
        <v>0.18</v>
      </c>
      <c r="Q35" s="445">
        <f>ROUND(2/3*J35,2)</f>
        <v>0.34</v>
      </c>
      <c r="R35" s="445">
        <f>ROUND(2/3*J35*1,2)</f>
        <v>0.34</v>
      </c>
      <c r="S35" s="608">
        <f>SUM(O35:R35)</f>
        <v>6.0799999999999992</v>
      </c>
      <c r="T35" s="608">
        <f>S35*N35</f>
        <v>12.159999999999998</v>
      </c>
      <c r="U35" s="445"/>
      <c r="V35" s="445"/>
      <c r="W35" s="445"/>
      <c r="X35" s="608">
        <f>T35</f>
        <v>12.159999999999998</v>
      </c>
    </row>
    <row r="36" spans="1:24">
      <c r="A36" s="225"/>
      <c r="B36" s="445"/>
      <c r="C36" s="445"/>
      <c r="D36" s="445"/>
      <c r="E36" s="445"/>
      <c r="F36" s="445"/>
      <c r="G36" s="445"/>
      <c r="H36" s="445"/>
      <c r="I36" s="445"/>
      <c r="J36" s="445"/>
      <c r="K36" s="445"/>
      <c r="L36" s="445" t="s">
        <v>1489</v>
      </c>
      <c r="M36" s="225" t="s">
        <v>1427</v>
      </c>
      <c r="N36" s="225">
        <v>3</v>
      </c>
      <c r="O36" s="445">
        <f>0.925+0.6</f>
        <v>1.5249999999999999</v>
      </c>
      <c r="P36" s="445">
        <f>0.115-1*0.025</f>
        <v>0.09</v>
      </c>
      <c r="Q36" s="445"/>
      <c r="R36" s="445">
        <f>ROUND(2/3*J34,2)</f>
        <v>0.28000000000000003</v>
      </c>
      <c r="S36" s="608">
        <f>SUM(O36:R36)</f>
        <v>1.895</v>
      </c>
      <c r="T36" s="445">
        <f>S36*N36</f>
        <v>5.6850000000000005</v>
      </c>
      <c r="U36" s="445">
        <f>T36</f>
        <v>5.6850000000000005</v>
      </c>
      <c r="V36" s="445"/>
      <c r="W36" s="445"/>
      <c r="X36" s="608"/>
    </row>
    <row r="37" spans="1:24">
      <c r="A37" s="225"/>
      <c r="B37" s="445"/>
      <c r="C37" s="445"/>
      <c r="D37" s="445"/>
      <c r="E37" s="445"/>
      <c r="F37" s="445"/>
      <c r="G37" s="445"/>
      <c r="H37" s="445"/>
      <c r="I37" s="445"/>
      <c r="J37" s="445"/>
      <c r="K37" s="445"/>
      <c r="L37" s="445" t="s">
        <v>1490</v>
      </c>
      <c r="M37" s="225" t="s">
        <v>1429</v>
      </c>
      <c r="N37" s="225">
        <v>2</v>
      </c>
      <c r="O37" s="608">
        <f>D34+E34+F34+G34</f>
        <v>10.61</v>
      </c>
      <c r="P37" s="445">
        <f>0.23-2*0.025</f>
        <v>0.18</v>
      </c>
      <c r="Q37" s="445">
        <f>ROUND(2/3*J34,2)</f>
        <v>0.28000000000000003</v>
      </c>
      <c r="R37" s="445">
        <f>ROUND(2/3*J34,2)</f>
        <v>0.28000000000000003</v>
      </c>
      <c r="S37" s="608">
        <f>SUM(O37:R37)</f>
        <v>11.349999999999998</v>
      </c>
      <c r="T37" s="445">
        <f t="shared" ref="T37:T47" si="5">S37*N37</f>
        <v>22.699999999999996</v>
      </c>
      <c r="U37" s="445"/>
      <c r="V37" s="445"/>
      <c r="W37" s="445">
        <f>T37</f>
        <v>22.699999999999996</v>
      </c>
      <c r="X37" s="445"/>
    </row>
    <row r="38" spans="1:24">
      <c r="A38" s="225"/>
      <c r="B38" s="445"/>
      <c r="C38" s="445"/>
      <c r="D38" s="445"/>
      <c r="E38" s="445"/>
      <c r="F38" s="445"/>
      <c r="G38" s="445"/>
      <c r="H38" s="445"/>
      <c r="I38" s="445"/>
      <c r="J38" s="445"/>
      <c r="K38" s="445"/>
      <c r="L38" s="657" t="s">
        <v>1497</v>
      </c>
      <c r="M38" s="225" t="s">
        <v>1428</v>
      </c>
      <c r="N38" s="225">
        <f>ROUND(0.96/0.1+1,0)</f>
        <v>11</v>
      </c>
      <c r="O38" s="445"/>
      <c r="P38" s="445"/>
      <c r="Q38" s="445"/>
      <c r="R38" s="445"/>
      <c r="S38" s="608">
        <f>2*(0.23+0.425)-4*0.025</f>
        <v>1.21</v>
      </c>
      <c r="T38" s="445">
        <f t="shared" si="5"/>
        <v>13.309999999999999</v>
      </c>
      <c r="U38" s="445"/>
      <c r="V38" s="445">
        <f t="shared" ref="V38:V43" si="6">T38</f>
        <v>13.309999999999999</v>
      </c>
      <c r="W38" s="445"/>
      <c r="X38" s="445"/>
    </row>
    <row r="39" spans="1:24">
      <c r="A39" s="225"/>
      <c r="B39" s="445"/>
      <c r="C39" s="445"/>
      <c r="D39" s="445"/>
      <c r="E39" s="445"/>
      <c r="F39" s="445"/>
      <c r="G39" s="445"/>
      <c r="H39" s="445"/>
      <c r="I39" s="445"/>
      <c r="J39" s="445"/>
      <c r="K39" s="445"/>
      <c r="L39" s="657" t="s">
        <v>1491</v>
      </c>
      <c r="M39" s="225" t="s">
        <v>1428</v>
      </c>
      <c r="N39" s="225">
        <f>ROUND(0.75/0.1+1,0)*2</f>
        <v>18</v>
      </c>
      <c r="O39" s="445"/>
      <c r="P39" s="445"/>
      <c r="Q39" s="445"/>
      <c r="R39" s="445"/>
      <c r="S39" s="608">
        <f>2*(0.23+0.425)-4*0.025</f>
        <v>1.21</v>
      </c>
      <c r="T39" s="445">
        <f t="shared" si="5"/>
        <v>21.78</v>
      </c>
      <c r="U39" s="445"/>
      <c r="V39" s="445">
        <f t="shared" si="6"/>
        <v>21.78</v>
      </c>
      <c r="W39" s="445"/>
      <c r="X39" s="445"/>
    </row>
    <row r="40" spans="1:24">
      <c r="A40" s="225"/>
      <c r="B40" s="445"/>
      <c r="C40" s="445"/>
      <c r="D40" s="445"/>
      <c r="E40" s="445"/>
      <c r="F40" s="445"/>
      <c r="G40" s="445"/>
      <c r="H40" s="445"/>
      <c r="I40" s="445"/>
      <c r="J40" s="445"/>
      <c r="K40" s="445"/>
      <c r="L40" s="657" t="s">
        <v>1491</v>
      </c>
      <c r="M40" s="225" t="s">
        <v>1428</v>
      </c>
      <c r="N40" s="225">
        <f>ROUND(0.94/0.1+1,0)*2</f>
        <v>20</v>
      </c>
      <c r="O40" s="445"/>
      <c r="P40" s="445"/>
      <c r="Q40" s="445"/>
      <c r="R40" s="445"/>
      <c r="S40" s="608">
        <f>2*(0.23+0.505)-4*0.025</f>
        <v>1.3699999999999999</v>
      </c>
      <c r="T40" s="445">
        <f t="shared" si="5"/>
        <v>27.4</v>
      </c>
      <c r="U40" s="445"/>
      <c r="V40" s="445">
        <f t="shared" si="6"/>
        <v>27.4</v>
      </c>
      <c r="W40" s="445"/>
      <c r="X40" s="445"/>
    </row>
    <row r="41" spans="1:24">
      <c r="A41" s="225"/>
      <c r="B41" s="445"/>
      <c r="C41" s="445"/>
      <c r="D41" s="445"/>
      <c r="E41" s="445"/>
      <c r="F41" s="445"/>
      <c r="G41" s="445"/>
      <c r="H41" s="445"/>
      <c r="I41" s="445"/>
      <c r="J41" s="445"/>
      <c r="K41" s="445"/>
      <c r="L41" s="657" t="s">
        <v>1492</v>
      </c>
      <c r="M41" s="225" t="s">
        <v>1428</v>
      </c>
      <c r="N41" s="225">
        <f>ROUND((3.39+0.23-2*0.38-2*0.75)/0.14+1,0)</f>
        <v>11</v>
      </c>
      <c r="O41" s="445"/>
      <c r="P41" s="445"/>
      <c r="Q41" s="445"/>
      <c r="R41" s="445"/>
      <c r="S41" s="608">
        <f>2*(0.23+0.425)-4*0.025</f>
        <v>1.21</v>
      </c>
      <c r="T41" s="445">
        <f t="shared" si="5"/>
        <v>13.309999999999999</v>
      </c>
      <c r="U41" s="445"/>
      <c r="V41" s="445">
        <f t="shared" si="6"/>
        <v>13.309999999999999</v>
      </c>
      <c r="W41" s="445"/>
      <c r="X41" s="445"/>
    </row>
    <row r="42" spans="1:24">
      <c r="A42" s="225"/>
      <c r="B42" s="445"/>
      <c r="C42" s="445"/>
      <c r="D42" s="445"/>
      <c r="E42" s="445"/>
      <c r="F42" s="445"/>
      <c r="G42" s="445"/>
      <c r="H42" s="445"/>
      <c r="I42" s="445"/>
      <c r="J42" s="445"/>
      <c r="K42" s="445"/>
      <c r="L42" s="657" t="s">
        <v>1492</v>
      </c>
      <c r="M42" s="225" t="s">
        <v>1428</v>
      </c>
      <c r="N42" s="225">
        <f>ROUND((5.22+0.23-2*0.38-2*0.94)/0.16+1,0)</f>
        <v>19</v>
      </c>
      <c r="O42" s="445"/>
      <c r="P42" s="445"/>
      <c r="Q42" s="445"/>
      <c r="R42" s="445"/>
      <c r="S42" s="608">
        <f>2*(0.23+0.505)-4*0.025</f>
        <v>1.3699999999999999</v>
      </c>
      <c r="T42" s="445">
        <f t="shared" si="5"/>
        <v>26.029999999999998</v>
      </c>
      <c r="U42" s="445"/>
      <c r="V42" s="445">
        <f t="shared" si="6"/>
        <v>26.029999999999998</v>
      </c>
      <c r="W42" s="445"/>
      <c r="X42" s="445"/>
    </row>
    <row r="43" spans="1:24">
      <c r="A43" s="225"/>
      <c r="B43" s="445"/>
      <c r="C43" s="445"/>
      <c r="D43" s="445"/>
      <c r="E43" s="445"/>
      <c r="F43" s="445"/>
      <c r="G43" s="445"/>
      <c r="H43" s="445"/>
      <c r="I43" s="445"/>
      <c r="J43" s="445"/>
      <c r="K43" s="445"/>
      <c r="L43" s="657" t="s">
        <v>1497</v>
      </c>
      <c r="M43" s="225" t="s">
        <v>1428</v>
      </c>
      <c r="N43" s="225">
        <f>ROUND(0.96/0.1+1,0)</f>
        <v>11</v>
      </c>
      <c r="O43" s="445"/>
      <c r="P43" s="445"/>
      <c r="Q43" s="445"/>
      <c r="R43" s="445"/>
      <c r="S43" s="608">
        <f>2*(0.23+0.505)-4*0.025</f>
        <v>1.3699999999999999</v>
      </c>
      <c r="T43" s="445">
        <f t="shared" si="5"/>
        <v>15.069999999999999</v>
      </c>
      <c r="U43" s="445"/>
      <c r="V43" s="445">
        <f t="shared" si="6"/>
        <v>15.069999999999999</v>
      </c>
      <c r="W43" s="445"/>
      <c r="X43" s="445"/>
    </row>
    <row r="44" spans="1:24">
      <c r="A44" s="225">
        <v>7</v>
      </c>
      <c r="B44" s="445" t="s">
        <v>1499</v>
      </c>
      <c r="C44" s="445"/>
      <c r="D44" s="445"/>
      <c r="E44" s="445">
        <v>2.95</v>
      </c>
      <c r="F44" s="445"/>
      <c r="G44" s="445"/>
      <c r="H44" s="445">
        <f>E44+0.23</f>
        <v>3.18</v>
      </c>
      <c r="I44" s="445">
        <v>0.23</v>
      </c>
      <c r="J44" s="445">
        <v>0.42499999999999999</v>
      </c>
      <c r="K44" s="445">
        <f>ROUND(J44*I44*H44,2)</f>
        <v>0.31</v>
      </c>
      <c r="L44" s="445" t="s">
        <v>1489</v>
      </c>
      <c r="M44" s="225" t="s">
        <v>1427</v>
      </c>
      <c r="N44" s="225">
        <v>3</v>
      </c>
      <c r="O44" s="445">
        <v>2.95</v>
      </c>
      <c r="P44" s="445">
        <f>0.23-2*0.025</f>
        <v>0.18</v>
      </c>
      <c r="Q44" s="445">
        <f>ROUND(2/3*J44,2)</f>
        <v>0.28000000000000003</v>
      </c>
      <c r="R44" s="445">
        <f>ROUND(2/3*J44,2)</f>
        <v>0.28000000000000003</v>
      </c>
      <c r="S44" s="608">
        <f>SUM(O44:R44)</f>
        <v>3.6900000000000004</v>
      </c>
      <c r="T44" s="445">
        <f t="shared" si="5"/>
        <v>11.07</v>
      </c>
      <c r="U44" s="445"/>
      <c r="V44" s="445"/>
      <c r="W44" s="445">
        <f>T44</f>
        <v>11.07</v>
      </c>
      <c r="X44" s="445"/>
    </row>
    <row r="45" spans="1:24">
      <c r="A45" s="225"/>
      <c r="B45" s="445"/>
      <c r="C45" s="445"/>
      <c r="D45" s="445"/>
      <c r="E45" s="445"/>
      <c r="F45" s="445"/>
      <c r="G45" s="445"/>
      <c r="H45" s="445"/>
      <c r="I45" s="445"/>
      <c r="J45" s="445"/>
      <c r="K45" s="445"/>
      <c r="L45" s="445" t="s">
        <v>1490</v>
      </c>
      <c r="M45" s="225" t="s">
        <v>1427</v>
      </c>
      <c r="N45" s="225">
        <v>3</v>
      </c>
      <c r="O45" s="445">
        <f>O44</f>
        <v>2.95</v>
      </c>
      <c r="P45" s="445">
        <f>0.23-2*0.025</f>
        <v>0.18</v>
      </c>
      <c r="Q45" s="445">
        <f>ROUND(2/3*J44,2)</f>
        <v>0.28000000000000003</v>
      </c>
      <c r="R45" s="445">
        <f>ROUND(2/3*J44*1,2)</f>
        <v>0.28000000000000003</v>
      </c>
      <c r="S45" s="608">
        <f>SUM(O45:R45)</f>
        <v>3.6900000000000004</v>
      </c>
      <c r="T45" s="445">
        <f t="shared" si="5"/>
        <v>11.07</v>
      </c>
      <c r="U45" s="445"/>
      <c r="V45" s="445"/>
      <c r="W45" s="445">
        <f>T45</f>
        <v>11.07</v>
      </c>
      <c r="X45" s="445"/>
    </row>
    <row r="46" spans="1:24">
      <c r="A46" s="225"/>
      <c r="B46" s="445"/>
      <c r="C46" s="445"/>
      <c r="D46" s="445"/>
      <c r="E46" s="445"/>
      <c r="F46" s="445"/>
      <c r="G46" s="445"/>
      <c r="H46" s="445"/>
      <c r="I46" s="445"/>
      <c r="J46" s="445"/>
      <c r="K46" s="445"/>
      <c r="L46" s="657" t="s">
        <v>1491</v>
      </c>
      <c r="M46" s="225" t="s">
        <v>1428</v>
      </c>
      <c r="N46" s="225">
        <f>ROUND(0.75/0.1+1,0)*2</f>
        <v>18</v>
      </c>
      <c r="O46" s="445"/>
      <c r="P46" s="445"/>
      <c r="Q46" s="445"/>
      <c r="R46" s="445"/>
      <c r="S46" s="608">
        <f>2*(0.23+0.425)-4*0.025</f>
        <v>1.21</v>
      </c>
      <c r="T46" s="445">
        <f t="shared" si="5"/>
        <v>21.78</v>
      </c>
      <c r="U46" s="445"/>
      <c r="V46" s="445">
        <f>T46</f>
        <v>21.78</v>
      </c>
      <c r="W46" s="445"/>
      <c r="X46" s="445"/>
    </row>
    <row r="47" spans="1:24">
      <c r="A47" s="225"/>
      <c r="B47" s="445"/>
      <c r="C47" s="445"/>
      <c r="D47" s="445"/>
      <c r="E47" s="445"/>
      <c r="F47" s="445"/>
      <c r="G47" s="445"/>
      <c r="H47" s="445"/>
      <c r="I47" s="445"/>
      <c r="J47" s="445"/>
      <c r="K47" s="445"/>
      <c r="L47" s="657" t="s">
        <v>1492</v>
      </c>
      <c r="M47" s="225" t="s">
        <v>1428</v>
      </c>
      <c r="N47" s="225">
        <f>ROUND((E44+0.23-2*0.23-2*0.75)/0.14+1,0)</f>
        <v>10</v>
      </c>
      <c r="O47" s="445"/>
      <c r="P47" s="445"/>
      <c r="Q47" s="445"/>
      <c r="R47" s="445"/>
      <c r="S47" s="608">
        <f>2*(0.23+0.425)-4*0.025</f>
        <v>1.21</v>
      </c>
      <c r="T47" s="445">
        <f t="shared" si="5"/>
        <v>12.1</v>
      </c>
      <c r="U47" s="445"/>
      <c r="V47" s="445">
        <f>T47</f>
        <v>12.1</v>
      </c>
      <c r="W47" s="445"/>
      <c r="X47" s="445"/>
    </row>
    <row r="48" spans="1:24">
      <c r="A48" s="225">
        <v>10</v>
      </c>
      <c r="B48" s="445" t="s">
        <v>1500</v>
      </c>
      <c r="C48" s="608"/>
      <c r="D48" s="608">
        <v>2.95</v>
      </c>
      <c r="E48" s="445">
        <v>2.82</v>
      </c>
      <c r="F48" s="445">
        <v>3.01</v>
      </c>
      <c r="G48" s="658">
        <v>3.4649999999999999</v>
      </c>
      <c r="H48" s="658">
        <f>D48+E48+F48+G48+0.23</f>
        <v>12.475</v>
      </c>
      <c r="I48" s="445">
        <v>0.23</v>
      </c>
      <c r="J48" s="445">
        <v>0.42499999999999999</v>
      </c>
      <c r="K48" s="445">
        <f>ROUND(J48*I48*H48,2)</f>
        <v>1.22</v>
      </c>
      <c r="L48" s="445" t="s">
        <v>1489</v>
      </c>
      <c r="M48" s="225" t="s">
        <v>1427</v>
      </c>
      <c r="N48" s="225">
        <v>3</v>
      </c>
      <c r="O48" s="658">
        <f>H48</f>
        <v>12.475</v>
      </c>
      <c r="P48" s="445">
        <f>0.23-2*0.025</f>
        <v>0.18</v>
      </c>
      <c r="Q48" s="445">
        <f>ROUND(2/3*J48,2)</f>
        <v>0.28000000000000003</v>
      </c>
      <c r="R48" s="445">
        <f>ROUND(2/3*J48,2)</f>
        <v>0.28000000000000003</v>
      </c>
      <c r="S48" s="658">
        <f>SUM(O48:R48)</f>
        <v>13.214999999999998</v>
      </c>
      <c r="T48" s="445">
        <f>S48*N48</f>
        <v>39.644999999999996</v>
      </c>
      <c r="U48" s="445">
        <f>T48</f>
        <v>39.644999999999996</v>
      </c>
      <c r="V48" s="445"/>
      <c r="W48" s="445"/>
      <c r="X48" s="445"/>
    </row>
    <row r="49" spans="1:24">
      <c r="A49" s="225"/>
      <c r="B49" s="445"/>
      <c r="C49" s="608"/>
      <c r="D49" s="608"/>
      <c r="E49" s="445"/>
      <c r="F49" s="445"/>
      <c r="G49" s="658"/>
      <c r="H49" s="445"/>
      <c r="I49" s="445"/>
      <c r="J49" s="445"/>
      <c r="K49" s="445"/>
      <c r="L49" s="445" t="s">
        <v>1490</v>
      </c>
      <c r="M49" s="225" t="s">
        <v>1427</v>
      </c>
      <c r="N49" s="225">
        <v>3</v>
      </c>
      <c r="O49" s="658">
        <f>D48+E48+F48+G48+0.23</f>
        <v>12.475</v>
      </c>
      <c r="P49" s="445">
        <f>0.23-2*0.025</f>
        <v>0.18</v>
      </c>
      <c r="Q49" s="445">
        <f>ROUND(2/3*J48,2)</f>
        <v>0.28000000000000003</v>
      </c>
      <c r="R49" s="445">
        <f>ROUND(2/3*J48,2)</f>
        <v>0.28000000000000003</v>
      </c>
      <c r="S49" s="608">
        <f>SUM(O49:R49)</f>
        <v>13.214999999999998</v>
      </c>
      <c r="T49" s="445">
        <f>S49*N49</f>
        <v>39.644999999999996</v>
      </c>
      <c r="U49" s="445">
        <f>T49</f>
        <v>39.644999999999996</v>
      </c>
      <c r="V49" s="445"/>
      <c r="W49" s="445"/>
      <c r="X49" s="445"/>
    </row>
    <row r="50" spans="1:24">
      <c r="A50" s="225"/>
      <c r="B50" s="445"/>
      <c r="C50" s="445"/>
      <c r="D50" s="445"/>
      <c r="E50" s="445"/>
      <c r="F50" s="445"/>
      <c r="G50" s="445"/>
      <c r="H50" s="445"/>
      <c r="I50" s="445"/>
      <c r="J50" s="445"/>
      <c r="K50" s="445"/>
      <c r="L50" s="657" t="s">
        <v>1491</v>
      </c>
      <c r="M50" s="225" t="s">
        <v>1428</v>
      </c>
      <c r="N50" s="225">
        <f>ROUND(0.75/0.1+1,0)*2</f>
        <v>18</v>
      </c>
      <c r="O50" s="445"/>
      <c r="P50" s="445"/>
      <c r="Q50" s="445"/>
      <c r="R50" s="445"/>
      <c r="S50" s="608">
        <f>2*(0.23+0.425)-4*0.025</f>
        <v>1.21</v>
      </c>
      <c r="T50" s="445">
        <f t="shared" ref="T50:T57" si="7">S50*N50</f>
        <v>21.78</v>
      </c>
      <c r="U50" s="445"/>
      <c r="V50" s="445">
        <f t="shared" ref="V50:V57" si="8">T50</f>
        <v>21.78</v>
      </c>
      <c r="W50" s="445"/>
      <c r="X50" s="445"/>
    </row>
    <row r="51" spans="1:24">
      <c r="A51" s="225"/>
      <c r="B51" s="445"/>
      <c r="C51" s="445"/>
      <c r="D51" s="445"/>
      <c r="E51" s="445"/>
      <c r="F51" s="445"/>
      <c r="G51" s="445"/>
      <c r="H51" s="445"/>
      <c r="I51" s="445"/>
      <c r="J51" s="445"/>
      <c r="K51" s="445"/>
      <c r="L51" s="657" t="s">
        <v>1491</v>
      </c>
      <c r="M51" s="225" t="s">
        <v>1428</v>
      </c>
      <c r="N51" s="225">
        <f>ROUND(0.75/0.1+1,0)*2</f>
        <v>18</v>
      </c>
      <c r="O51" s="445"/>
      <c r="P51" s="445"/>
      <c r="Q51" s="445"/>
      <c r="R51" s="445"/>
      <c r="S51" s="608">
        <f>2*(0.23+0.425)-4*0.025</f>
        <v>1.21</v>
      </c>
      <c r="T51" s="445">
        <f t="shared" si="7"/>
        <v>21.78</v>
      </c>
      <c r="U51" s="445"/>
      <c r="V51" s="445">
        <f t="shared" si="8"/>
        <v>21.78</v>
      </c>
      <c r="W51" s="445"/>
      <c r="X51" s="445"/>
    </row>
    <row r="52" spans="1:24">
      <c r="A52" s="225"/>
      <c r="B52" s="445"/>
      <c r="C52" s="445"/>
      <c r="D52" s="445"/>
      <c r="E52" s="445"/>
      <c r="F52" s="445"/>
      <c r="G52" s="445"/>
      <c r="H52" s="445"/>
      <c r="I52" s="445"/>
      <c r="J52" s="445"/>
      <c r="K52" s="445"/>
      <c r="L52" s="657" t="s">
        <v>1491</v>
      </c>
      <c r="M52" s="225" t="s">
        <v>1428</v>
      </c>
      <c r="N52" s="225">
        <f>ROUND(0.75/0.1+1,0)*2</f>
        <v>18</v>
      </c>
      <c r="O52" s="445"/>
      <c r="P52" s="445"/>
      <c r="Q52" s="445"/>
      <c r="R52" s="445"/>
      <c r="S52" s="608">
        <f>2*(0.23+0.425)-4*0.025</f>
        <v>1.21</v>
      </c>
      <c r="T52" s="445">
        <f t="shared" si="7"/>
        <v>21.78</v>
      </c>
      <c r="U52" s="445"/>
      <c r="V52" s="445">
        <f t="shared" si="8"/>
        <v>21.78</v>
      </c>
      <c r="W52" s="445"/>
      <c r="X52" s="445"/>
    </row>
    <row r="53" spans="1:24">
      <c r="A53" s="225"/>
      <c r="B53" s="445"/>
      <c r="C53" s="445"/>
      <c r="D53" s="445"/>
      <c r="E53" s="445"/>
      <c r="F53" s="445"/>
      <c r="G53" s="445"/>
      <c r="H53" s="445"/>
      <c r="I53" s="445"/>
      <c r="J53" s="445"/>
      <c r="K53" s="445"/>
      <c r="L53" s="657" t="s">
        <v>1491</v>
      </c>
      <c r="M53" s="225" t="s">
        <v>1428</v>
      </c>
      <c r="N53" s="225">
        <f>ROUND(0.9/0.1+1,0)*2</f>
        <v>20</v>
      </c>
      <c r="O53" s="445"/>
      <c r="P53" s="445"/>
      <c r="Q53" s="445"/>
      <c r="R53" s="445"/>
      <c r="S53" s="608">
        <f>2*(0.23+0.425)-4*0.025</f>
        <v>1.21</v>
      </c>
      <c r="T53" s="445">
        <f t="shared" si="7"/>
        <v>24.2</v>
      </c>
      <c r="U53" s="445"/>
      <c r="V53" s="445">
        <f t="shared" si="8"/>
        <v>24.2</v>
      </c>
      <c r="W53" s="445"/>
      <c r="X53" s="445"/>
    </row>
    <row r="54" spans="1:24">
      <c r="A54" s="225"/>
      <c r="B54" s="445"/>
      <c r="C54" s="445"/>
      <c r="D54" s="445"/>
      <c r="E54" s="445"/>
      <c r="F54" s="445"/>
      <c r="G54" s="445"/>
      <c r="H54" s="445"/>
      <c r="I54" s="445"/>
      <c r="J54" s="445"/>
      <c r="K54" s="445"/>
      <c r="L54" s="657" t="s">
        <v>1492</v>
      </c>
      <c r="M54" s="225" t="s">
        <v>1428</v>
      </c>
      <c r="N54" s="225">
        <f>ROUND((D48-0.23-2*0.75)/0.14+1,0)</f>
        <v>10</v>
      </c>
      <c r="O54" s="445"/>
      <c r="P54" s="445"/>
      <c r="Q54" s="445"/>
      <c r="R54" s="445"/>
      <c r="S54" s="608">
        <f>2*(0.23+0.425)-4*0.025</f>
        <v>1.21</v>
      </c>
      <c r="T54" s="445">
        <f t="shared" si="7"/>
        <v>12.1</v>
      </c>
      <c r="U54" s="445"/>
      <c r="V54" s="445">
        <f t="shared" si="8"/>
        <v>12.1</v>
      </c>
      <c r="W54" s="445"/>
      <c r="X54" s="445"/>
    </row>
    <row r="55" spans="1:24">
      <c r="A55" s="225"/>
      <c r="B55" s="445"/>
      <c r="C55" s="445"/>
      <c r="D55" s="445"/>
      <c r="E55" s="445"/>
      <c r="F55" s="445"/>
      <c r="G55" s="445"/>
      <c r="H55" s="445"/>
      <c r="I55" s="445"/>
      <c r="J55" s="445"/>
      <c r="K55" s="445"/>
      <c r="L55" s="657" t="s">
        <v>1492</v>
      </c>
      <c r="M55" s="225" t="s">
        <v>1428</v>
      </c>
      <c r="N55" s="225">
        <f>ROUND((E48-0.23-2*0.75)/0.14+1,0)</f>
        <v>9</v>
      </c>
      <c r="O55" s="445"/>
      <c r="P55" s="445"/>
      <c r="Q55" s="445"/>
      <c r="R55" s="445"/>
      <c r="S55" s="608">
        <f>2*(0.23+0.505)-4*0.025</f>
        <v>1.3699999999999999</v>
      </c>
      <c r="T55" s="445">
        <f t="shared" si="7"/>
        <v>12.329999999999998</v>
      </c>
      <c r="U55" s="445"/>
      <c r="V55" s="445">
        <f t="shared" si="8"/>
        <v>12.329999999999998</v>
      </c>
      <c r="W55" s="445"/>
      <c r="X55" s="445"/>
    </row>
    <row r="56" spans="1:24">
      <c r="A56" s="225"/>
      <c r="B56" s="445"/>
      <c r="C56" s="445"/>
      <c r="D56" s="445"/>
      <c r="E56" s="445"/>
      <c r="F56" s="445"/>
      <c r="G56" s="445"/>
      <c r="H56" s="445"/>
      <c r="I56" s="445"/>
      <c r="J56" s="445"/>
      <c r="K56" s="445"/>
      <c r="L56" s="657" t="s">
        <v>1492</v>
      </c>
      <c r="M56" s="225" t="s">
        <v>1428</v>
      </c>
      <c r="N56" s="225">
        <f>ROUND((F48-0.23-2*0.75)/0.14+1,0)</f>
        <v>10</v>
      </c>
      <c r="O56" s="445"/>
      <c r="P56" s="445"/>
      <c r="Q56" s="445"/>
      <c r="R56" s="445"/>
      <c r="S56" s="608">
        <f>2*(0.23+0.505)-4*0.025</f>
        <v>1.3699999999999999</v>
      </c>
      <c r="T56" s="445">
        <f t="shared" si="7"/>
        <v>13.7</v>
      </c>
      <c r="U56" s="445"/>
      <c r="V56" s="445">
        <f t="shared" si="8"/>
        <v>13.7</v>
      </c>
      <c r="W56" s="445"/>
      <c r="X56" s="445"/>
    </row>
    <row r="57" spans="1:24">
      <c r="A57" s="225"/>
      <c r="B57" s="445"/>
      <c r="C57" s="445"/>
      <c r="D57" s="445"/>
      <c r="E57" s="445"/>
      <c r="F57" s="445"/>
      <c r="G57" s="445"/>
      <c r="H57" s="445"/>
      <c r="I57" s="445"/>
      <c r="J57" s="445"/>
      <c r="K57" s="445"/>
      <c r="L57" s="657" t="s">
        <v>1492</v>
      </c>
      <c r="M57" s="225" t="s">
        <v>1428</v>
      </c>
      <c r="N57" s="225">
        <f>ROUND((G48-0.23-2*0.9)/0.14+1,0)</f>
        <v>11</v>
      </c>
      <c r="O57" s="445"/>
      <c r="P57" s="445"/>
      <c r="Q57" s="445"/>
      <c r="R57" s="445"/>
      <c r="S57" s="608">
        <f>2*(0.23+0.505)-4*0.025</f>
        <v>1.3699999999999999</v>
      </c>
      <c r="T57" s="445">
        <f t="shared" si="7"/>
        <v>15.069999999999999</v>
      </c>
      <c r="U57" s="445"/>
      <c r="V57" s="445">
        <f t="shared" si="8"/>
        <v>15.069999999999999</v>
      </c>
      <c r="W57" s="445"/>
      <c r="X57" s="445"/>
    </row>
    <row r="58" spans="1:24">
      <c r="A58" s="225">
        <v>10</v>
      </c>
      <c r="B58" s="445" t="s">
        <v>1501</v>
      </c>
      <c r="C58" s="608"/>
      <c r="D58" s="608">
        <v>2.95</v>
      </c>
      <c r="E58" s="445">
        <v>2.82</v>
      </c>
      <c r="F58" s="445">
        <v>3.01</v>
      </c>
      <c r="G58" s="658">
        <v>3.4649999999999999</v>
      </c>
      <c r="H58" s="658">
        <f>D58+E58+F58+G58+0.23</f>
        <v>12.475</v>
      </c>
      <c r="I58" s="445">
        <v>0.23</v>
      </c>
      <c r="J58" s="445">
        <v>0.42499999999999999</v>
      </c>
      <c r="K58" s="445">
        <f>ROUND(J58*I58*H58,2)</f>
        <v>1.22</v>
      </c>
      <c r="L58" s="445" t="s">
        <v>1489</v>
      </c>
      <c r="M58" s="225" t="s">
        <v>1427</v>
      </c>
      <c r="N58" s="225">
        <v>3</v>
      </c>
      <c r="O58" s="658">
        <f>H58</f>
        <v>12.475</v>
      </c>
      <c r="P58" s="445">
        <f>0.23-2*0.025</f>
        <v>0.18</v>
      </c>
      <c r="Q58" s="445">
        <f>ROUND(2/3*J58,2)</f>
        <v>0.28000000000000003</v>
      </c>
      <c r="R58" s="445">
        <f>ROUND(2/3*J58,2)</f>
        <v>0.28000000000000003</v>
      </c>
      <c r="S58" s="658">
        <f>SUM(O58:R58)</f>
        <v>13.214999999999998</v>
      </c>
      <c r="T58" s="445">
        <f>S58*N58</f>
        <v>39.644999999999996</v>
      </c>
      <c r="U58" s="445">
        <f>T58</f>
        <v>39.644999999999996</v>
      </c>
      <c r="V58" s="445"/>
      <c r="W58" s="445"/>
      <c r="X58" s="445"/>
    </row>
    <row r="59" spans="1:24">
      <c r="A59" s="225"/>
      <c r="B59" s="445"/>
      <c r="C59" s="608"/>
      <c r="D59" s="608"/>
      <c r="E59" s="445"/>
      <c r="F59" s="445"/>
      <c r="G59" s="658"/>
      <c r="H59" s="445"/>
      <c r="I59" s="445"/>
      <c r="J59" s="445"/>
      <c r="K59" s="445"/>
      <c r="L59" s="445" t="s">
        <v>1490</v>
      </c>
      <c r="M59" s="225" t="s">
        <v>1427</v>
      </c>
      <c r="N59" s="225">
        <v>3</v>
      </c>
      <c r="O59" s="658">
        <f>D58+E58+F58+G58+0.23</f>
        <v>12.475</v>
      </c>
      <c r="P59" s="445">
        <f>0.23-2*0.025</f>
        <v>0.18</v>
      </c>
      <c r="Q59" s="445">
        <f>ROUND(2/3*J58,2)</f>
        <v>0.28000000000000003</v>
      </c>
      <c r="R59" s="445">
        <f>ROUND(2/3*J58,2)</f>
        <v>0.28000000000000003</v>
      </c>
      <c r="S59" s="608">
        <f>SUM(O59:R59)</f>
        <v>13.214999999999998</v>
      </c>
      <c r="T59" s="445">
        <f>S59*N59</f>
        <v>39.644999999999996</v>
      </c>
      <c r="U59" s="445">
        <f>T59</f>
        <v>39.644999999999996</v>
      </c>
      <c r="V59" s="445"/>
      <c r="W59" s="445"/>
      <c r="X59" s="445"/>
    </row>
    <row r="60" spans="1:24">
      <c r="A60" s="225"/>
      <c r="B60" s="445"/>
      <c r="C60" s="445"/>
      <c r="D60" s="445"/>
      <c r="E60" s="445"/>
      <c r="F60" s="445"/>
      <c r="G60" s="445"/>
      <c r="H60" s="445"/>
      <c r="I60" s="445"/>
      <c r="J60" s="445"/>
      <c r="K60" s="445"/>
      <c r="L60" s="657" t="s">
        <v>1491</v>
      </c>
      <c r="M60" s="225" t="s">
        <v>1428</v>
      </c>
      <c r="N60" s="225">
        <f>ROUND(0.75/0.1+1,0)*2</f>
        <v>18</v>
      </c>
      <c r="O60" s="445"/>
      <c r="P60" s="445"/>
      <c r="Q60" s="445"/>
      <c r="R60" s="445"/>
      <c r="S60" s="608">
        <f>2*(0.23+0.425)-4*0.025</f>
        <v>1.21</v>
      </c>
      <c r="T60" s="445">
        <f t="shared" ref="T60:T67" si="9">S60*N60</f>
        <v>21.78</v>
      </c>
      <c r="U60" s="445"/>
      <c r="V60" s="445">
        <f t="shared" ref="V60:V67" si="10">T60</f>
        <v>21.78</v>
      </c>
      <c r="W60" s="445"/>
      <c r="X60" s="445"/>
    </row>
    <row r="61" spans="1:24">
      <c r="A61" s="225"/>
      <c r="B61" s="445"/>
      <c r="C61" s="445"/>
      <c r="D61" s="445"/>
      <c r="E61" s="445"/>
      <c r="F61" s="445"/>
      <c r="G61" s="445"/>
      <c r="H61" s="445"/>
      <c r="I61" s="445"/>
      <c r="J61" s="445"/>
      <c r="K61" s="445"/>
      <c r="L61" s="657" t="s">
        <v>1491</v>
      </c>
      <c r="M61" s="225" t="s">
        <v>1428</v>
      </c>
      <c r="N61" s="225">
        <f>ROUND(0.75/0.1+1,0)*2</f>
        <v>18</v>
      </c>
      <c r="O61" s="445"/>
      <c r="P61" s="445"/>
      <c r="Q61" s="445"/>
      <c r="R61" s="445"/>
      <c r="S61" s="608">
        <f>2*(0.23+0.425)-4*0.025</f>
        <v>1.21</v>
      </c>
      <c r="T61" s="445">
        <f t="shared" si="9"/>
        <v>21.78</v>
      </c>
      <c r="U61" s="445"/>
      <c r="V61" s="445">
        <f t="shared" si="10"/>
        <v>21.78</v>
      </c>
      <c r="W61" s="445"/>
      <c r="X61" s="445"/>
    </row>
    <row r="62" spans="1:24">
      <c r="A62" s="225"/>
      <c r="B62" s="445"/>
      <c r="C62" s="445"/>
      <c r="D62" s="445"/>
      <c r="E62" s="445"/>
      <c r="F62" s="445"/>
      <c r="G62" s="445"/>
      <c r="H62" s="445"/>
      <c r="I62" s="445"/>
      <c r="J62" s="445"/>
      <c r="K62" s="445"/>
      <c r="L62" s="657" t="s">
        <v>1491</v>
      </c>
      <c r="M62" s="225" t="s">
        <v>1428</v>
      </c>
      <c r="N62" s="225">
        <f>ROUND(0.75/0.1+1,0)*2</f>
        <v>18</v>
      </c>
      <c r="O62" s="445"/>
      <c r="P62" s="445"/>
      <c r="Q62" s="445"/>
      <c r="R62" s="445"/>
      <c r="S62" s="608">
        <f>2*(0.23+0.425)-4*0.025</f>
        <v>1.21</v>
      </c>
      <c r="T62" s="445">
        <f t="shared" si="9"/>
        <v>21.78</v>
      </c>
      <c r="U62" s="445"/>
      <c r="V62" s="445">
        <f t="shared" si="10"/>
        <v>21.78</v>
      </c>
      <c r="W62" s="445"/>
      <c r="X62" s="445"/>
    </row>
    <row r="63" spans="1:24">
      <c r="A63" s="225"/>
      <c r="B63" s="445"/>
      <c r="C63" s="445"/>
      <c r="D63" s="445"/>
      <c r="E63" s="445"/>
      <c r="F63" s="445"/>
      <c r="G63" s="445"/>
      <c r="H63" s="445"/>
      <c r="I63" s="445"/>
      <c r="J63" s="445"/>
      <c r="K63" s="445"/>
      <c r="L63" s="657" t="s">
        <v>1491</v>
      </c>
      <c r="M63" s="225" t="s">
        <v>1428</v>
      </c>
      <c r="N63" s="225">
        <f>ROUND(0.9/0.1+1,0)*2</f>
        <v>20</v>
      </c>
      <c r="O63" s="445"/>
      <c r="P63" s="445"/>
      <c r="Q63" s="445"/>
      <c r="R63" s="445"/>
      <c r="S63" s="608">
        <f>2*(0.23+0.425)-4*0.025</f>
        <v>1.21</v>
      </c>
      <c r="T63" s="445">
        <f t="shared" si="9"/>
        <v>24.2</v>
      </c>
      <c r="U63" s="445"/>
      <c r="V63" s="445">
        <f t="shared" si="10"/>
        <v>24.2</v>
      </c>
      <c r="W63" s="445"/>
      <c r="X63" s="445"/>
    </row>
    <row r="64" spans="1:24">
      <c r="A64" s="225"/>
      <c r="B64" s="445"/>
      <c r="C64" s="445"/>
      <c r="D64" s="445"/>
      <c r="E64" s="445"/>
      <c r="F64" s="445"/>
      <c r="G64" s="445"/>
      <c r="H64" s="445"/>
      <c r="I64" s="445"/>
      <c r="J64" s="445"/>
      <c r="K64" s="445"/>
      <c r="L64" s="657" t="s">
        <v>1492</v>
      </c>
      <c r="M64" s="225" t="s">
        <v>1428</v>
      </c>
      <c r="N64" s="225">
        <f>ROUND((D58-0.23-2*0.75)/0.13+1,0)</f>
        <v>10</v>
      </c>
      <c r="O64" s="445"/>
      <c r="P64" s="445"/>
      <c r="Q64" s="445"/>
      <c r="R64" s="445"/>
      <c r="S64" s="608">
        <f>2*(0.23+0.425)-4*0.025</f>
        <v>1.21</v>
      </c>
      <c r="T64" s="445">
        <f t="shared" si="9"/>
        <v>12.1</v>
      </c>
      <c r="U64" s="445"/>
      <c r="V64" s="445">
        <f t="shared" si="10"/>
        <v>12.1</v>
      </c>
      <c r="W64" s="445"/>
      <c r="X64" s="445"/>
    </row>
    <row r="65" spans="1:24">
      <c r="A65" s="225"/>
      <c r="B65" s="445"/>
      <c r="C65" s="445"/>
      <c r="D65" s="445"/>
      <c r="E65" s="445"/>
      <c r="F65" s="445"/>
      <c r="G65" s="445"/>
      <c r="H65" s="445"/>
      <c r="I65" s="445"/>
      <c r="J65" s="445"/>
      <c r="K65" s="445"/>
      <c r="L65" s="657" t="s">
        <v>1492</v>
      </c>
      <c r="M65" s="225" t="s">
        <v>1428</v>
      </c>
      <c r="N65" s="225">
        <f>ROUND((E58-0.23-2*0.75)/0.14+1,0)</f>
        <v>9</v>
      </c>
      <c r="O65" s="445"/>
      <c r="P65" s="445"/>
      <c r="Q65" s="445"/>
      <c r="R65" s="445"/>
      <c r="S65" s="608">
        <f>2*(0.23+0.505)-4*0.025</f>
        <v>1.3699999999999999</v>
      </c>
      <c r="T65" s="445">
        <f t="shared" si="9"/>
        <v>12.329999999999998</v>
      </c>
      <c r="U65" s="445"/>
      <c r="V65" s="445">
        <f t="shared" si="10"/>
        <v>12.329999999999998</v>
      </c>
      <c r="W65" s="445"/>
      <c r="X65" s="445"/>
    </row>
    <row r="66" spans="1:24">
      <c r="A66" s="225"/>
      <c r="B66" s="445"/>
      <c r="C66" s="445"/>
      <c r="D66" s="445"/>
      <c r="E66" s="445"/>
      <c r="F66" s="445"/>
      <c r="G66" s="445"/>
      <c r="H66" s="445"/>
      <c r="I66" s="445"/>
      <c r="J66" s="445"/>
      <c r="K66" s="445"/>
      <c r="L66" s="657" t="s">
        <v>1492</v>
      </c>
      <c r="M66" s="225" t="s">
        <v>1428</v>
      </c>
      <c r="N66" s="225">
        <f>ROUND((F58-0.23-2*0.75)/0.14+1,0)</f>
        <v>10</v>
      </c>
      <c r="O66" s="445"/>
      <c r="P66" s="445"/>
      <c r="Q66" s="445"/>
      <c r="R66" s="445"/>
      <c r="S66" s="608">
        <f>2*(0.23+0.505)-4*0.025</f>
        <v>1.3699999999999999</v>
      </c>
      <c r="T66" s="445">
        <f t="shared" si="9"/>
        <v>13.7</v>
      </c>
      <c r="U66" s="445"/>
      <c r="V66" s="445">
        <f t="shared" si="10"/>
        <v>13.7</v>
      </c>
      <c r="W66" s="445"/>
      <c r="X66" s="445"/>
    </row>
    <row r="67" spans="1:24">
      <c r="A67" s="225"/>
      <c r="B67" s="445"/>
      <c r="C67" s="445"/>
      <c r="D67" s="445"/>
      <c r="E67" s="445"/>
      <c r="F67" s="445"/>
      <c r="G67" s="445"/>
      <c r="H67" s="445"/>
      <c r="I67" s="445"/>
      <c r="J67" s="445"/>
      <c r="K67" s="445"/>
      <c r="L67" s="657" t="s">
        <v>1492</v>
      </c>
      <c r="M67" s="225" t="s">
        <v>1428</v>
      </c>
      <c r="N67" s="225">
        <f>ROUND((G58-0.23-2*0.9)/0.14+1,0)</f>
        <v>11</v>
      </c>
      <c r="O67" s="445"/>
      <c r="P67" s="445"/>
      <c r="Q67" s="445"/>
      <c r="R67" s="445"/>
      <c r="S67" s="608">
        <f>2*(0.23+0.505)-4*0.025</f>
        <v>1.3699999999999999</v>
      </c>
      <c r="T67" s="445">
        <f t="shared" si="9"/>
        <v>15.069999999999999</v>
      </c>
      <c r="U67" s="445"/>
      <c r="V67" s="445">
        <f t="shared" si="10"/>
        <v>15.069999999999999</v>
      </c>
      <c r="W67" s="445"/>
      <c r="X67" s="445"/>
    </row>
    <row r="68" spans="1:24">
      <c r="A68" s="225">
        <v>10</v>
      </c>
      <c r="B68" s="445" t="s">
        <v>1502</v>
      </c>
      <c r="C68" s="608"/>
      <c r="D68" s="608">
        <v>2.95</v>
      </c>
      <c r="E68" s="445">
        <v>2.82</v>
      </c>
      <c r="F68" s="445">
        <v>3.01</v>
      </c>
      <c r="G68" s="658">
        <v>3.4649999999999999</v>
      </c>
      <c r="H68" s="658">
        <f>D68+E68+F68+G68+0.23</f>
        <v>12.475</v>
      </c>
      <c r="I68" s="445">
        <v>0.23</v>
      </c>
      <c r="J68" s="445">
        <v>0.42499999999999999</v>
      </c>
      <c r="K68" s="445">
        <f>ROUND(J68*I68*H68,2)</f>
        <v>1.22</v>
      </c>
      <c r="L68" s="445" t="s">
        <v>1489</v>
      </c>
      <c r="M68" s="225" t="s">
        <v>1427</v>
      </c>
      <c r="N68" s="225">
        <v>3</v>
      </c>
      <c r="O68" s="658">
        <f>H68</f>
        <v>12.475</v>
      </c>
      <c r="P68" s="445">
        <f>0.23-2*0.025</f>
        <v>0.18</v>
      </c>
      <c r="Q68" s="445">
        <f>ROUND(2/3*J68,2)</f>
        <v>0.28000000000000003</v>
      </c>
      <c r="R68" s="445">
        <f>ROUND(2/3*J68,2)</f>
        <v>0.28000000000000003</v>
      </c>
      <c r="S68" s="658">
        <f>SUM(O68:R68)</f>
        <v>13.214999999999998</v>
      </c>
      <c r="T68" s="445">
        <f>S68*N68</f>
        <v>39.644999999999996</v>
      </c>
      <c r="U68" s="445">
        <f>T68</f>
        <v>39.644999999999996</v>
      </c>
      <c r="V68" s="445"/>
      <c r="W68" s="445"/>
      <c r="X68" s="445"/>
    </row>
    <row r="69" spans="1:24">
      <c r="A69" s="225"/>
      <c r="B69" s="445"/>
      <c r="C69" s="608"/>
      <c r="D69" s="608"/>
      <c r="E69" s="445"/>
      <c r="F69" s="445"/>
      <c r="G69" s="658"/>
      <c r="H69" s="445"/>
      <c r="I69" s="445"/>
      <c r="J69" s="445"/>
      <c r="K69" s="445"/>
      <c r="L69" s="445" t="s">
        <v>1490</v>
      </c>
      <c r="M69" s="225" t="s">
        <v>1427</v>
      </c>
      <c r="N69" s="225">
        <v>3</v>
      </c>
      <c r="O69" s="658">
        <f>D68+E68+F68+G68+0.23</f>
        <v>12.475</v>
      </c>
      <c r="P69" s="445">
        <f>0.23-2*0.025</f>
        <v>0.18</v>
      </c>
      <c r="Q69" s="445">
        <f>ROUND(2/3*J68,2)</f>
        <v>0.28000000000000003</v>
      </c>
      <c r="R69" s="445">
        <f>ROUND(2/3*J68,2)</f>
        <v>0.28000000000000003</v>
      </c>
      <c r="S69" s="608">
        <f>SUM(O69:R69)</f>
        <v>13.214999999999998</v>
      </c>
      <c r="T69" s="445">
        <f>S69*N69</f>
        <v>39.644999999999996</v>
      </c>
      <c r="U69" s="445">
        <f>T69</f>
        <v>39.644999999999996</v>
      </c>
      <c r="V69" s="445"/>
      <c r="W69" s="445"/>
      <c r="X69" s="445"/>
    </row>
    <row r="70" spans="1:24">
      <c r="A70" s="225"/>
      <c r="B70" s="445"/>
      <c r="C70" s="445"/>
      <c r="D70" s="445"/>
      <c r="E70" s="445"/>
      <c r="F70" s="445"/>
      <c r="G70" s="445"/>
      <c r="H70" s="445"/>
      <c r="I70" s="445"/>
      <c r="J70" s="445"/>
      <c r="K70" s="445"/>
      <c r="L70" s="657" t="s">
        <v>1491</v>
      </c>
      <c r="M70" s="225" t="s">
        <v>1428</v>
      </c>
      <c r="N70" s="225">
        <f>ROUND(0.75/0.1+1,0)*2</f>
        <v>18</v>
      </c>
      <c r="O70" s="445"/>
      <c r="P70" s="445"/>
      <c r="Q70" s="445"/>
      <c r="R70" s="445"/>
      <c r="S70" s="608">
        <f>2*(0.23+0.425)-4*0.025</f>
        <v>1.21</v>
      </c>
      <c r="T70" s="445">
        <f t="shared" ref="T70:T77" si="11">S70*N70</f>
        <v>21.78</v>
      </c>
      <c r="U70" s="445"/>
      <c r="V70" s="445">
        <f t="shared" ref="V70:V77" si="12">T70</f>
        <v>21.78</v>
      </c>
      <c r="W70" s="445"/>
      <c r="X70" s="445"/>
    </row>
    <row r="71" spans="1:24">
      <c r="A71" s="225"/>
      <c r="B71" s="445"/>
      <c r="C71" s="445"/>
      <c r="D71" s="445"/>
      <c r="E71" s="445"/>
      <c r="F71" s="445"/>
      <c r="G71" s="445"/>
      <c r="H71" s="445"/>
      <c r="I71" s="445"/>
      <c r="J71" s="445"/>
      <c r="K71" s="445"/>
      <c r="L71" s="657" t="s">
        <v>1491</v>
      </c>
      <c r="M71" s="225" t="s">
        <v>1428</v>
      </c>
      <c r="N71" s="225">
        <f>ROUND(0.75/0.1+1,0)*2</f>
        <v>18</v>
      </c>
      <c r="O71" s="445"/>
      <c r="P71" s="445"/>
      <c r="Q71" s="445"/>
      <c r="R71" s="445"/>
      <c r="S71" s="608">
        <f>2*(0.23+0.425)-4*0.025</f>
        <v>1.21</v>
      </c>
      <c r="T71" s="445">
        <f t="shared" si="11"/>
        <v>21.78</v>
      </c>
      <c r="U71" s="445"/>
      <c r="V71" s="445">
        <f t="shared" si="12"/>
        <v>21.78</v>
      </c>
      <c r="W71" s="445"/>
      <c r="X71" s="445"/>
    </row>
    <row r="72" spans="1:24">
      <c r="A72" s="225"/>
      <c r="B72" s="445"/>
      <c r="C72" s="445"/>
      <c r="D72" s="445"/>
      <c r="E72" s="445"/>
      <c r="F72" s="445"/>
      <c r="G72" s="445"/>
      <c r="H72" s="445"/>
      <c r="I72" s="445"/>
      <c r="J72" s="445"/>
      <c r="K72" s="445"/>
      <c r="L72" s="657" t="s">
        <v>1491</v>
      </c>
      <c r="M72" s="225" t="s">
        <v>1428</v>
      </c>
      <c r="N72" s="225">
        <f>ROUND(0.75/0.1+1,0)*2</f>
        <v>18</v>
      </c>
      <c r="O72" s="445"/>
      <c r="P72" s="445"/>
      <c r="Q72" s="445"/>
      <c r="R72" s="445"/>
      <c r="S72" s="608">
        <f>2*(0.23+0.425)-4*0.025</f>
        <v>1.21</v>
      </c>
      <c r="T72" s="445">
        <f t="shared" si="11"/>
        <v>21.78</v>
      </c>
      <c r="U72" s="445"/>
      <c r="V72" s="445">
        <f t="shared" si="12"/>
        <v>21.78</v>
      </c>
      <c r="W72" s="445"/>
      <c r="X72" s="445"/>
    </row>
    <row r="73" spans="1:24">
      <c r="A73" s="225"/>
      <c r="B73" s="445"/>
      <c r="C73" s="445"/>
      <c r="D73" s="445"/>
      <c r="E73" s="445"/>
      <c r="F73" s="445"/>
      <c r="G73" s="445"/>
      <c r="H73" s="445"/>
      <c r="I73" s="445"/>
      <c r="J73" s="445"/>
      <c r="K73" s="445"/>
      <c r="L73" s="657" t="s">
        <v>1491</v>
      </c>
      <c r="M73" s="225" t="s">
        <v>1428</v>
      </c>
      <c r="N73" s="225">
        <f>ROUND(0.9/0.1+1,0)*2</f>
        <v>20</v>
      </c>
      <c r="O73" s="445"/>
      <c r="P73" s="445"/>
      <c r="Q73" s="445"/>
      <c r="R73" s="445"/>
      <c r="S73" s="608">
        <f>2*(0.23+0.425)-4*0.025</f>
        <v>1.21</v>
      </c>
      <c r="T73" s="445">
        <f t="shared" si="11"/>
        <v>24.2</v>
      </c>
      <c r="U73" s="445"/>
      <c r="V73" s="445">
        <f t="shared" si="12"/>
        <v>24.2</v>
      </c>
      <c r="W73" s="445"/>
      <c r="X73" s="445"/>
    </row>
    <row r="74" spans="1:24">
      <c r="A74" s="225"/>
      <c r="B74" s="445"/>
      <c r="C74" s="445"/>
      <c r="D74" s="445"/>
      <c r="E74" s="445"/>
      <c r="F74" s="445"/>
      <c r="G74" s="445"/>
      <c r="H74" s="445"/>
      <c r="I74" s="445"/>
      <c r="J74" s="445"/>
      <c r="K74" s="445"/>
      <c r="L74" s="657" t="s">
        <v>1492</v>
      </c>
      <c r="M74" s="225" t="s">
        <v>1428</v>
      </c>
      <c r="N74" s="225">
        <f>ROUND((D68-0.23-2*0.75)/0.14+1,0)</f>
        <v>10</v>
      </c>
      <c r="O74" s="445"/>
      <c r="P74" s="445"/>
      <c r="Q74" s="445"/>
      <c r="R74" s="445"/>
      <c r="S74" s="608">
        <f>2*(0.23+0.425)-4*0.025</f>
        <v>1.21</v>
      </c>
      <c r="T74" s="445">
        <f t="shared" si="11"/>
        <v>12.1</v>
      </c>
      <c r="U74" s="445"/>
      <c r="V74" s="445">
        <f t="shared" si="12"/>
        <v>12.1</v>
      </c>
      <c r="W74" s="445"/>
      <c r="X74" s="445"/>
    </row>
    <row r="75" spans="1:24">
      <c r="A75" s="225"/>
      <c r="B75" s="445"/>
      <c r="C75" s="445"/>
      <c r="D75" s="445"/>
      <c r="E75" s="445"/>
      <c r="F75" s="445"/>
      <c r="G75" s="445"/>
      <c r="H75" s="445"/>
      <c r="I75" s="445"/>
      <c r="J75" s="445"/>
      <c r="K75" s="445"/>
      <c r="L75" s="657" t="s">
        <v>1492</v>
      </c>
      <c r="M75" s="225" t="s">
        <v>1428</v>
      </c>
      <c r="N75" s="225">
        <f>ROUND((E68-0.23-2*0.75)/0.14+1,0)</f>
        <v>9</v>
      </c>
      <c r="O75" s="445"/>
      <c r="P75" s="445"/>
      <c r="Q75" s="445"/>
      <c r="R75" s="445"/>
      <c r="S75" s="608">
        <f>2*(0.23+0.505)-4*0.025</f>
        <v>1.3699999999999999</v>
      </c>
      <c r="T75" s="445">
        <f t="shared" si="11"/>
        <v>12.329999999999998</v>
      </c>
      <c r="U75" s="445"/>
      <c r="V75" s="445">
        <f t="shared" si="12"/>
        <v>12.329999999999998</v>
      </c>
      <c r="W75" s="445"/>
      <c r="X75" s="445"/>
    </row>
    <row r="76" spans="1:24">
      <c r="A76" s="225"/>
      <c r="B76" s="445"/>
      <c r="C76" s="445"/>
      <c r="D76" s="445"/>
      <c r="E76" s="445"/>
      <c r="F76" s="445"/>
      <c r="G76" s="445"/>
      <c r="H76" s="445"/>
      <c r="I76" s="445"/>
      <c r="J76" s="445"/>
      <c r="K76" s="445"/>
      <c r="L76" s="657" t="s">
        <v>1492</v>
      </c>
      <c r="M76" s="225" t="s">
        <v>1428</v>
      </c>
      <c r="N76" s="225">
        <f>ROUND((F68-0.23-2*0.75)/0.14+1,0)</f>
        <v>10</v>
      </c>
      <c r="O76" s="445"/>
      <c r="P76" s="445"/>
      <c r="Q76" s="445"/>
      <c r="R76" s="445"/>
      <c r="S76" s="608">
        <f>2*(0.23+0.505)-4*0.025</f>
        <v>1.3699999999999999</v>
      </c>
      <c r="T76" s="445">
        <f t="shared" si="11"/>
        <v>13.7</v>
      </c>
      <c r="U76" s="445"/>
      <c r="V76" s="445">
        <f t="shared" si="12"/>
        <v>13.7</v>
      </c>
      <c r="W76" s="445"/>
      <c r="X76" s="445"/>
    </row>
    <row r="77" spans="1:24">
      <c r="A77" s="225"/>
      <c r="B77" s="445"/>
      <c r="C77" s="445"/>
      <c r="D77" s="445"/>
      <c r="E77" s="445"/>
      <c r="F77" s="445"/>
      <c r="G77" s="445"/>
      <c r="H77" s="445"/>
      <c r="I77" s="445"/>
      <c r="J77" s="445"/>
      <c r="K77" s="445"/>
      <c r="L77" s="657" t="s">
        <v>1492</v>
      </c>
      <c r="M77" s="225" t="s">
        <v>1428</v>
      </c>
      <c r="N77" s="225">
        <f>ROUND((G68-0.23-2*0.9)/0.14+1,0)</f>
        <v>11</v>
      </c>
      <c r="O77" s="445"/>
      <c r="P77" s="445"/>
      <c r="Q77" s="445"/>
      <c r="R77" s="445"/>
      <c r="S77" s="608">
        <f>2*(0.23+0.505)-4*0.025</f>
        <v>1.3699999999999999</v>
      </c>
      <c r="T77" s="445">
        <f t="shared" si="11"/>
        <v>15.069999999999999</v>
      </c>
      <c r="U77" s="445"/>
      <c r="V77" s="445">
        <f t="shared" si="12"/>
        <v>15.069999999999999</v>
      </c>
      <c r="W77" s="445"/>
      <c r="X77" s="445"/>
    </row>
    <row r="78" spans="1:24">
      <c r="A78" s="225"/>
      <c r="B78" s="445"/>
      <c r="C78" s="445"/>
      <c r="D78" s="445"/>
      <c r="E78" s="445"/>
      <c r="F78" s="445"/>
      <c r="G78" s="445"/>
      <c r="H78" s="445"/>
      <c r="I78" s="445"/>
      <c r="J78" s="445"/>
      <c r="K78" s="445"/>
      <c r="L78" s="445"/>
      <c r="M78" s="225"/>
      <c r="N78" s="225"/>
      <c r="O78" s="445"/>
      <c r="P78" s="445"/>
      <c r="Q78" s="445"/>
      <c r="R78" s="445"/>
      <c r="S78" s="445"/>
      <c r="T78" s="445" t="s">
        <v>136</v>
      </c>
      <c r="U78" s="445">
        <f>SUM(U3:U77)</f>
        <v>325.28099999999995</v>
      </c>
      <c r="V78" s="445">
        <f>SUM(V3:V77)</f>
        <v>961.46000000000026</v>
      </c>
      <c r="W78" s="445">
        <f>SUM(W3:W77)</f>
        <v>132.27999999999997</v>
      </c>
      <c r="X78" s="445">
        <f>SUM(X3:X77)</f>
        <v>54.719999999999992</v>
      </c>
    </row>
  </sheetData>
  <pageMargins left="0.7" right="0.7" top="0.75" bottom="0.75" header="0.3" footer="0.3"/>
  <pageSetup orientation="portrait" verticalDpi="0" r:id="rId1"/>
</worksheet>
</file>

<file path=xl/worksheets/sheet30.xml><?xml version="1.0" encoding="utf-8"?>
<worksheet xmlns="http://schemas.openxmlformats.org/spreadsheetml/2006/main" xmlns:r="http://schemas.openxmlformats.org/officeDocument/2006/relationships">
  <dimension ref="A1:X57"/>
  <sheetViews>
    <sheetView workbookViewId="0">
      <selection activeCell="G35" sqref="G31:L37"/>
    </sheetView>
  </sheetViews>
  <sheetFormatPr defaultRowHeight="12.75"/>
  <cols>
    <col min="2" max="2" width="2.7109375" customWidth="1"/>
    <col min="3" max="3" width="4.140625" customWidth="1"/>
    <col min="4" max="4" width="18.42578125" customWidth="1"/>
    <col min="5" max="5" width="7" customWidth="1"/>
    <col min="6" max="6" width="2.7109375" customWidth="1"/>
    <col min="7" max="7" width="4.140625" customWidth="1"/>
    <col min="8" max="8" width="9.85546875" customWidth="1"/>
    <col min="9" max="9" width="4.140625" customWidth="1"/>
    <col min="10" max="10" width="2.7109375" customWidth="1"/>
    <col min="11" max="11" width="6.5703125" customWidth="1"/>
    <col min="12" max="12" width="17.42578125" customWidth="1"/>
    <col min="13" max="13" width="3.85546875" customWidth="1"/>
    <col min="14" max="14" width="2.7109375" customWidth="1"/>
    <col min="15" max="15" width="4.85546875" customWidth="1"/>
    <col min="17" max="17" width="10" customWidth="1"/>
    <col min="18" max="18" width="5.140625" customWidth="1"/>
    <col min="19" max="19" width="7.5703125" customWidth="1"/>
    <col min="20" max="20" width="8.5703125" bestFit="1" customWidth="1"/>
    <col min="21" max="21" width="9.7109375" customWidth="1"/>
    <col min="22" max="22" width="4.42578125" customWidth="1"/>
  </cols>
  <sheetData>
    <row r="1" spans="1:24" ht="21">
      <c r="Q1" s="1454" t="s">
        <v>1474</v>
      </c>
      <c r="R1" s="1454"/>
      <c r="S1" s="1454"/>
      <c r="T1" s="1454"/>
      <c r="U1" s="1454"/>
      <c r="V1" s="1454"/>
      <c r="W1" s="1454"/>
      <c r="X1" s="1454"/>
    </row>
    <row r="2" spans="1:24">
      <c r="C2" s="543">
        <f>ROUND(C4/0.175,0)+1</f>
        <v>3</v>
      </c>
      <c r="D2" s="543">
        <f>ROUND(D4/0.175,0)+1</f>
        <v>13</v>
      </c>
      <c r="E2" s="543">
        <f>ROUND(E4/0.175,0)+1</f>
        <v>5</v>
      </c>
      <c r="G2" s="543">
        <f>ROUND(G4/0.175,0)+1</f>
        <v>8</v>
      </c>
      <c r="H2" s="1366">
        <f>ROUND(H4/0.175,0)+1</f>
        <v>19</v>
      </c>
      <c r="I2" s="1366"/>
      <c r="J2" s="1366"/>
      <c r="K2" s="1366"/>
      <c r="L2" s="1366"/>
      <c r="M2" s="543">
        <f>ROUND(M4/0.175,0)+1</f>
        <v>5</v>
      </c>
      <c r="Q2" s="1366" t="s">
        <v>1475</v>
      </c>
      <c r="R2" s="1366"/>
      <c r="S2" s="1366"/>
      <c r="T2" s="543"/>
      <c r="U2" s="543"/>
      <c r="V2" s="1366" t="s">
        <v>1476</v>
      </c>
      <c r="W2" s="1366"/>
      <c r="X2" s="1366"/>
    </row>
    <row r="3" spans="1:24">
      <c r="C3" s="1455">
        <v>3.39</v>
      </c>
      <c r="D3" s="1455"/>
      <c r="E3" s="1455"/>
      <c r="G3" s="1366">
        <v>4.99</v>
      </c>
      <c r="H3" s="1366"/>
      <c r="I3" s="1366"/>
      <c r="J3" s="1366"/>
      <c r="K3" s="1366"/>
      <c r="L3" s="1366"/>
      <c r="M3" s="1366"/>
      <c r="Q3" s="543"/>
      <c r="R3" s="543"/>
      <c r="S3" s="543"/>
      <c r="T3" s="543"/>
      <c r="U3" s="543"/>
      <c r="V3" s="543"/>
      <c r="W3" s="543"/>
      <c r="X3" s="543"/>
    </row>
    <row r="4" spans="1:24">
      <c r="B4">
        <v>0.23</v>
      </c>
      <c r="C4" s="616">
        <v>0.39</v>
      </c>
      <c r="D4" s="605">
        <v>2.04</v>
      </c>
      <c r="E4" s="617">
        <v>0.73</v>
      </c>
      <c r="F4" s="618">
        <v>0.23</v>
      </c>
      <c r="G4" s="619">
        <v>1.19</v>
      </c>
      <c r="H4" s="1463">
        <v>3.13</v>
      </c>
      <c r="I4" s="1463"/>
      <c r="J4" s="1463"/>
      <c r="K4" s="1463"/>
      <c r="L4" s="1463"/>
      <c r="M4" s="620">
        <v>0.67</v>
      </c>
      <c r="N4" s="618">
        <v>0.23</v>
      </c>
      <c r="O4" t="s">
        <v>1425</v>
      </c>
      <c r="S4" t="s">
        <v>1477</v>
      </c>
    </row>
    <row r="5" spans="1:24">
      <c r="A5">
        <v>0.23</v>
      </c>
      <c r="B5" s="621"/>
      <c r="C5" s="622"/>
      <c r="D5" s="622"/>
      <c r="E5" s="622"/>
      <c r="F5" s="623"/>
      <c r="G5" s="623"/>
      <c r="H5" s="623"/>
      <c r="I5" s="623"/>
      <c r="J5" s="623"/>
      <c r="K5" s="623"/>
      <c r="L5" s="623"/>
      <c r="M5" s="623"/>
      <c r="N5" s="624"/>
      <c r="R5" t="s">
        <v>1425</v>
      </c>
      <c r="S5" t="s">
        <v>1428</v>
      </c>
      <c r="V5" t="s">
        <v>1425</v>
      </c>
      <c r="W5" s="339" t="s">
        <v>1428</v>
      </c>
    </row>
    <row r="6" spans="1:24">
      <c r="A6">
        <v>0.4</v>
      </c>
      <c r="B6" s="625"/>
      <c r="C6" s="621"/>
      <c r="E6" s="624"/>
      <c r="G6" s="621"/>
      <c r="H6" s="623"/>
      <c r="I6" s="623"/>
      <c r="J6" s="623"/>
      <c r="K6" s="623"/>
      <c r="L6" s="623"/>
      <c r="M6" s="624"/>
      <c r="N6" s="626"/>
      <c r="O6" s="568">
        <f>ROUND(A6/0.175,0)+1</f>
        <v>3</v>
      </c>
      <c r="P6" s="1456">
        <v>3.4649999999999999</v>
      </c>
      <c r="Q6" s="4" t="s">
        <v>1478</v>
      </c>
      <c r="R6" s="627">
        <f>C2</f>
        <v>3</v>
      </c>
      <c r="S6" s="628">
        <f>P6+P18+P30+P40+0.23</f>
        <v>12.475000000000001</v>
      </c>
      <c r="T6" s="628">
        <f>S6*R6</f>
        <v>37.425000000000004</v>
      </c>
      <c r="U6" s="4" t="s">
        <v>1478</v>
      </c>
      <c r="V6" s="4">
        <f>O6</f>
        <v>3</v>
      </c>
      <c r="W6" s="567">
        <f>C3+G3+0.23+0.23</f>
        <v>8.8400000000000016</v>
      </c>
      <c r="X6" s="628">
        <f t="shared" ref="X6:X41" si="0">W6*V6</f>
        <v>26.520000000000003</v>
      </c>
    </row>
    <row r="7" spans="1:24" ht="15">
      <c r="A7" s="1457">
        <v>2.085</v>
      </c>
      <c r="B7" s="625"/>
      <c r="C7" s="625"/>
      <c r="D7" s="1458"/>
      <c r="E7" s="626"/>
      <c r="G7" s="625"/>
      <c r="H7" s="1458"/>
      <c r="I7" s="1458"/>
      <c r="J7" s="1458"/>
      <c r="K7" s="1458"/>
      <c r="L7" s="1458"/>
      <c r="M7" s="626"/>
      <c r="N7" s="626"/>
      <c r="O7" s="1456">
        <f>ROUND(A7/0.175,0)+1</f>
        <v>13</v>
      </c>
      <c r="P7" s="1456"/>
      <c r="Q7" s="4" t="s">
        <v>1461</v>
      </c>
      <c r="R7" s="629">
        <v>7</v>
      </c>
      <c r="S7" s="627">
        <f>S6+4*2*0.075</f>
        <v>13.075000000000001</v>
      </c>
      <c r="T7" s="628">
        <f>S7*R7</f>
        <v>91.525000000000006</v>
      </c>
      <c r="U7" s="4" t="s">
        <v>1461</v>
      </c>
      <c r="V7" s="630">
        <f>7</f>
        <v>7</v>
      </c>
      <c r="W7">
        <f>W6+4*0.075</f>
        <v>9.1400000000000023</v>
      </c>
      <c r="X7" s="628">
        <f t="shared" si="0"/>
        <v>63.980000000000018</v>
      </c>
    </row>
    <row r="8" spans="1:24" ht="15">
      <c r="A8" s="1457"/>
      <c r="B8" s="625"/>
      <c r="C8" s="625"/>
      <c r="D8" s="1458"/>
      <c r="E8" s="626"/>
      <c r="G8" s="604"/>
      <c r="H8" s="1458"/>
      <c r="I8" s="1458"/>
      <c r="J8" s="1458"/>
      <c r="K8" s="1458"/>
      <c r="L8" s="1458"/>
      <c r="M8" s="626"/>
      <c r="N8" s="626"/>
      <c r="O8" s="1456"/>
      <c r="P8" s="1456"/>
      <c r="Q8" s="4" t="s">
        <v>1478</v>
      </c>
      <c r="R8" s="629">
        <f>D2-R7</f>
        <v>6</v>
      </c>
      <c r="S8" s="628">
        <f>S6</f>
        <v>12.475000000000001</v>
      </c>
      <c r="T8" s="628">
        <f>S8*R8</f>
        <v>74.850000000000009</v>
      </c>
      <c r="U8" s="4" t="s">
        <v>1478</v>
      </c>
      <c r="V8" s="630">
        <v>6</v>
      </c>
      <c r="W8">
        <f>W6</f>
        <v>8.8400000000000016</v>
      </c>
      <c r="X8" s="628">
        <f t="shared" si="0"/>
        <v>53.040000000000006</v>
      </c>
    </row>
    <row r="9" spans="1:24">
      <c r="A9" s="1457"/>
      <c r="B9" s="625"/>
      <c r="C9" s="625"/>
      <c r="D9" s="1458"/>
      <c r="E9" s="626"/>
      <c r="G9" s="625"/>
      <c r="H9" s="1458"/>
      <c r="I9" s="1458"/>
      <c r="J9" s="1458"/>
      <c r="K9" s="1458"/>
      <c r="L9" s="1458"/>
      <c r="M9" s="626"/>
      <c r="N9" s="626"/>
      <c r="O9" s="1456"/>
      <c r="P9" s="1456"/>
      <c r="Q9" s="4" t="s">
        <v>1478</v>
      </c>
      <c r="R9" s="627">
        <f>E2</f>
        <v>5</v>
      </c>
      <c r="S9" s="628">
        <f>S6</f>
        <v>12.475000000000001</v>
      </c>
      <c r="T9" s="628">
        <f>S9*R9</f>
        <v>62.375000000000007</v>
      </c>
      <c r="U9" s="4" t="s">
        <v>1478</v>
      </c>
      <c r="V9" s="4">
        <f>O16</f>
        <v>5</v>
      </c>
      <c r="W9" s="4">
        <f>W6</f>
        <v>8.8400000000000016</v>
      </c>
      <c r="X9" s="628">
        <f t="shared" si="0"/>
        <v>44.20000000000001</v>
      </c>
    </row>
    <row r="10" spans="1:24">
      <c r="A10" s="1457"/>
      <c r="B10" s="625"/>
      <c r="C10" s="625"/>
      <c r="D10" s="1458"/>
      <c r="E10" s="626"/>
      <c r="G10" s="625"/>
      <c r="H10" s="1458"/>
      <c r="I10" s="1458"/>
      <c r="J10" s="1458"/>
      <c r="K10" s="1458"/>
      <c r="L10" s="1458"/>
      <c r="M10" s="626"/>
      <c r="N10" s="626"/>
      <c r="O10" s="1456"/>
      <c r="P10" s="1456"/>
      <c r="Q10" s="4" t="s">
        <v>1478</v>
      </c>
      <c r="R10" s="627">
        <f>G2</f>
        <v>8</v>
      </c>
      <c r="S10" s="628">
        <f>S9</f>
        <v>12.475000000000001</v>
      </c>
      <c r="T10" s="628">
        <f>S10*R10</f>
        <v>99.800000000000011</v>
      </c>
      <c r="U10" s="4" t="s">
        <v>1478</v>
      </c>
      <c r="V10" s="4">
        <f>O18</f>
        <v>3</v>
      </c>
      <c r="W10" s="567">
        <f>W9</f>
        <v>8.8400000000000016</v>
      </c>
      <c r="X10" s="628">
        <f t="shared" si="0"/>
        <v>26.520000000000003</v>
      </c>
    </row>
    <row r="11" spans="1:24" ht="15">
      <c r="A11" s="1457"/>
      <c r="B11" s="625"/>
      <c r="C11" s="625"/>
      <c r="D11" s="1458"/>
      <c r="E11" s="626"/>
      <c r="G11" s="625"/>
      <c r="H11" s="1458"/>
      <c r="I11" s="1458"/>
      <c r="J11" s="1458"/>
      <c r="K11" s="1458"/>
      <c r="L11" s="1458"/>
      <c r="M11" s="626"/>
      <c r="N11" s="626"/>
      <c r="O11" s="1456"/>
      <c r="P11" s="1456"/>
      <c r="Q11" s="4" t="s">
        <v>1461</v>
      </c>
      <c r="R11" s="631">
        <v>10</v>
      </c>
      <c r="S11" s="627">
        <f>S10+4*2*0.075</f>
        <v>13.075000000000001</v>
      </c>
      <c r="T11" s="628">
        <f t="shared" ref="T11:T27" si="1">S11*R11</f>
        <v>130.75</v>
      </c>
      <c r="U11" s="4" t="s">
        <v>1461</v>
      </c>
      <c r="V11" s="630">
        <v>5</v>
      </c>
      <c r="W11">
        <f>W10+4*0.075</f>
        <v>9.1400000000000023</v>
      </c>
      <c r="X11" s="628">
        <f t="shared" si="0"/>
        <v>45.70000000000001</v>
      </c>
    </row>
    <row r="12" spans="1:24" ht="15">
      <c r="A12" s="1457"/>
      <c r="B12" s="625"/>
      <c r="C12" s="625"/>
      <c r="D12" s="1458"/>
      <c r="E12" s="626"/>
      <c r="G12" s="625"/>
      <c r="H12" s="1458"/>
      <c r="I12" s="1458"/>
      <c r="J12" s="1458"/>
      <c r="K12" s="1458"/>
      <c r="L12" s="1458"/>
      <c r="M12" s="626"/>
      <c r="N12" s="626"/>
      <c r="O12" s="1456"/>
      <c r="P12" s="1456"/>
      <c r="Q12" s="4" t="s">
        <v>1478</v>
      </c>
      <c r="R12" s="631">
        <f>H2-R11</f>
        <v>9</v>
      </c>
      <c r="S12" s="628">
        <f>S10</f>
        <v>12.475000000000001</v>
      </c>
      <c r="T12" s="628">
        <f t="shared" si="1"/>
        <v>112.27500000000001</v>
      </c>
      <c r="U12" s="4" t="s">
        <v>1478</v>
      </c>
      <c r="V12" s="630">
        <v>5</v>
      </c>
      <c r="W12">
        <f>W10</f>
        <v>8.8400000000000016</v>
      </c>
      <c r="X12" s="628">
        <f t="shared" si="0"/>
        <v>44.20000000000001</v>
      </c>
    </row>
    <row r="13" spans="1:24" ht="15">
      <c r="A13" s="1457"/>
      <c r="B13" s="625"/>
      <c r="C13" s="625"/>
      <c r="D13" s="1458"/>
      <c r="E13" s="626"/>
      <c r="G13" s="625"/>
      <c r="H13" s="1458"/>
      <c r="I13" s="1458"/>
      <c r="J13" s="1458"/>
      <c r="K13" s="1458"/>
      <c r="L13" s="1458"/>
      <c r="M13" s="626"/>
      <c r="N13" s="626"/>
      <c r="O13" s="1456"/>
      <c r="P13" s="1456"/>
      <c r="Q13" s="4" t="s">
        <v>1478</v>
      </c>
      <c r="R13" s="627">
        <f>M2</f>
        <v>5</v>
      </c>
      <c r="S13" s="628">
        <f>S10</f>
        <v>12.475000000000001</v>
      </c>
      <c r="T13" s="628">
        <f t="shared" si="1"/>
        <v>62.375000000000007</v>
      </c>
      <c r="U13" s="4" t="s">
        <v>1478</v>
      </c>
      <c r="V13" s="632">
        <v>5</v>
      </c>
      <c r="W13">
        <f>W12</f>
        <v>8.8400000000000016</v>
      </c>
      <c r="X13" s="628">
        <f t="shared" si="0"/>
        <v>44.20000000000001</v>
      </c>
    </row>
    <row r="14" spans="1:24" ht="15">
      <c r="A14" s="1457"/>
      <c r="B14" s="625"/>
      <c r="C14" s="625"/>
      <c r="D14" s="1458"/>
      <c r="E14" s="626"/>
      <c r="G14" s="625"/>
      <c r="H14" s="1458"/>
      <c r="I14" s="1458"/>
      <c r="J14" s="1458"/>
      <c r="K14" s="1458"/>
      <c r="L14" s="1458"/>
      <c r="M14" s="626"/>
      <c r="N14" s="626"/>
      <c r="O14" s="1456"/>
      <c r="P14" s="1456"/>
      <c r="Q14" s="633" t="s">
        <v>1463</v>
      </c>
      <c r="R14" s="627">
        <f>O6</f>
        <v>3</v>
      </c>
      <c r="S14" s="628">
        <f>S6</f>
        <v>12.475000000000001</v>
      </c>
      <c r="T14" s="628">
        <f t="shared" si="1"/>
        <v>37.425000000000004</v>
      </c>
      <c r="U14" s="4" t="s">
        <v>1478</v>
      </c>
      <c r="V14" s="634">
        <v>4</v>
      </c>
      <c r="W14" s="4">
        <f>W12</f>
        <v>8.8400000000000016</v>
      </c>
      <c r="X14" s="628">
        <f t="shared" si="0"/>
        <v>35.360000000000007</v>
      </c>
    </row>
    <row r="15" spans="1:24" ht="15">
      <c r="A15" s="1457"/>
      <c r="B15" s="625"/>
      <c r="C15" s="625"/>
      <c r="D15" s="1458"/>
      <c r="E15" s="626"/>
      <c r="G15" s="625"/>
      <c r="H15" s="1458"/>
      <c r="I15" s="1458"/>
      <c r="J15" s="1458"/>
      <c r="K15" s="1458"/>
      <c r="L15" s="1458"/>
      <c r="M15" s="626"/>
      <c r="N15" s="626"/>
      <c r="O15" s="1456"/>
      <c r="P15" s="1456"/>
      <c r="Q15" s="633" t="s">
        <v>1479</v>
      </c>
      <c r="R15" s="627">
        <v>5</v>
      </c>
      <c r="S15" s="628">
        <f>S14</f>
        <v>12.475000000000001</v>
      </c>
      <c r="T15" s="628">
        <f t="shared" si="1"/>
        <v>62.375000000000007</v>
      </c>
      <c r="U15" s="4" t="s">
        <v>1461</v>
      </c>
      <c r="V15" s="630">
        <v>5</v>
      </c>
      <c r="W15">
        <f>W14+4*0.075</f>
        <v>9.1400000000000023</v>
      </c>
      <c r="X15" s="628">
        <f t="shared" si="0"/>
        <v>45.70000000000001</v>
      </c>
    </row>
    <row r="16" spans="1:24" ht="15">
      <c r="A16" s="635">
        <v>0.75</v>
      </c>
      <c r="B16" s="625"/>
      <c r="C16" s="636"/>
      <c r="D16" s="637"/>
      <c r="E16" s="638"/>
      <c r="G16" s="636"/>
      <c r="H16" s="637"/>
      <c r="I16" s="637"/>
      <c r="J16" s="639"/>
      <c r="K16" s="637"/>
      <c r="L16" s="637"/>
      <c r="M16" s="638"/>
      <c r="N16" s="626"/>
      <c r="O16" s="640">
        <f>ROUND(A16/0.175,0)+1</f>
        <v>5</v>
      </c>
      <c r="P16" s="1456"/>
      <c r="Q16" s="633" t="s">
        <v>1479</v>
      </c>
      <c r="R16" s="627">
        <f>G2</f>
        <v>8</v>
      </c>
      <c r="S16" s="628">
        <f>S10</f>
        <v>12.475000000000001</v>
      </c>
      <c r="T16" s="628">
        <f t="shared" si="1"/>
        <v>99.800000000000011</v>
      </c>
      <c r="U16" s="4" t="s">
        <v>1478</v>
      </c>
      <c r="V16" s="641">
        <v>4</v>
      </c>
      <c r="W16" s="4">
        <f>W14</f>
        <v>8.8400000000000016</v>
      </c>
      <c r="X16" s="628">
        <f t="shared" si="0"/>
        <v>35.360000000000007</v>
      </c>
    </row>
    <row r="17" spans="1:24" ht="15">
      <c r="A17">
        <v>0.23</v>
      </c>
      <c r="B17" s="625"/>
      <c r="H17" s="639"/>
      <c r="I17" s="639"/>
      <c r="J17" s="623"/>
      <c r="N17" s="626"/>
      <c r="Q17" s="633" t="s">
        <v>1463</v>
      </c>
      <c r="R17" s="627">
        <f>M2</f>
        <v>5</v>
      </c>
      <c r="S17" s="628">
        <f>S16</f>
        <v>12.475000000000001</v>
      </c>
      <c r="T17" s="628">
        <f t="shared" si="1"/>
        <v>62.375000000000007</v>
      </c>
      <c r="U17" s="4" t="s">
        <v>1478</v>
      </c>
      <c r="V17" s="634">
        <v>4</v>
      </c>
      <c r="W17" s="4">
        <f>W16</f>
        <v>8.8400000000000016</v>
      </c>
      <c r="X17" s="628">
        <f t="shared" si="0"/>
        <v>35.360000000000007</v>
      </c>
    </row>
    <row r="18" spans="1:24" ht="22.5">
      <c r="A18" s="4">
        <v>0.64</v>
      </c>
      <c r="B18" s="625"/>
      <c r="C18" s="621"/>
      <c r="D18" s="623"/>
      <c r="E18" s="624"/>
      <c r="G18" s="621"/>
      <c r="H18" s="623"/>
      <c r="I18" s="623"/>
      <c r="J18" s="622"/>
      <c r="K18" s="623"/>
      <c r="L18" s="623"/>
      <c r="M18" s="624"/>
      <c r="N18" s="626"/>
      <c r="O18" s="642">
        <f>C2</f>
        <v>3</v>
      </c>
      <c r="P18" s="1456">
        <v>3.01</v>
      </c>
      <c r="Q18" s="643" t="s">
        <v>1466</v>
      </c>
      <c r="R18" s="4">
        <f>R8</f>
        <v>6</v>
      </c>
      <c r="S18" s="4">
        <f>0.23+ROUND(P6*0.3,2)</f>
        <v>1.27</v>
      </c>
      <c r="T18" s="628">
        <f t="shared" si="1"/>
        <v>7.62</v>
      </c>
      <c r="U18" s="4" t="s">
        <v>1478</v>
      </c>
      <c r="V18" s="634">
        <v>5</v>
      </c>
      <c r="W18" s="4">
        <f>W17</f>
        <v>8.8400000000000016</v>
      </c>
      <c r="X18" s="628">
        <f t="shared" si="0"/>
        <v>44.20000000000001</v>
      </c>
    </row>
    <row r="19" spans="1:24" ht="22.5">
      <c r="A19" s="1457">
        <v>1.5</v>
      </c>
      <c r="B19" s="625"/>
      <c r="C19" s="625"/>
      <c r="D19" s="1458"/>
      <c r="E19" s="626"/>
      <c r="G19" s="625"/>
      <c r="H19" s="1458" t="s">
        <v>154</v>
      </c>
      <c r="I19" s="1458"/>
      <c r="J19" s="1458"/>
      <c r="K19" s="1458"/>
      <c r="L19" s="1458"/>
      <c r="M19" s="626"/>
      <c r="N19" s="626"/>
      <c r="O19" s="1459">
        <f>ROUND(A19/0.175,0)+1</f>
        <v>10</v>
      </c>
      <c r="P19" s="1456"/>
      <c r="Q19" s="643" t="s">
        <v>1466</v>
      </c>
      <c r="R19" s="4">
        <f>R12</f>
        <v>9</v>
      </c>
      <c r="S19" s="4">
        <f>S18</f>
        <v>1.27</v>
      </c>
      <c r="T19" s="628">
        <f t="shared" si="1"/>
        <v>11.43</v>
      </c>
      <c r="U19" s="4" t="s">
        <v>1461</v>
      </c>
      <c r="V19" s="4">
        <v>5</v>
      </c>
      <c r="W19" s="567">
        <f>W15</f>
        <v>9.1400000000000023</v>
      </c>
      <c r="X19" s="628">
        <f t="shared" si="0"/>
        <v>45.70000000000001</v>
      </c>
    </row>
    <row r="20" spans="1:24" ht="22.5">
      <c r="A20" s="1457"/>
      <c r="B20" s="625"/>
      <c r="C20" s="625"/>
      <c r="D20" s="1458"/>
      <c r="E20" s="626"/>
      <c r="G20" s="625"/>
      <c r="H20" s="1458"/>
      <c r="I20" s="1458"/>
      <c r="J20" s="1458"/>
      <c r="K20" s="1458"/>
      <c r="L20" s="1458"/>
      <c r="M20" s="626"/>
      <c r="N20" s="626"/>
      <c r="O20" s="1459"/>
      <c r="P20" s="1456"/>
      <c r="Q20" s="643" t="s">
        <v>1465</v>
      </c>
      <c r="R20" s="4">
        <v>6</v>
      </c>
      <c r="S20" s="4">
        <f>+ROUND(P6*0.3,2)+0.23+ROUND(P18*0.3,2)</f>
        <v>2.17</v>
      </c>
      <c r="T20" s="628">
        <f t="shared" si="1"/>
        <v>13.02</v>
      </c>
      <c r="U20" s="4" t="s">
        <v>1478</v>
      </c>
      <c r="V20">
        <v>4</v>
      </c>
      <c r="W20">
        <f>W18</f>
        <v>8.8400000000000016</v>
      </c>
      <c r="X20" s="628">
        <f t="shared" si="0"/>
        <v>35.360000000000007</v>
      </c>
    </row>
    <row r="21" spans="1:24" ht="22.5">
      <c r="A21" s="1457"/>
      <c r="B21" s="625"/>
      <c r="C21" s="625"/>
      <c r="D21" s="1458"/>
      <c r="E21" s="626"/>
      <c r="G21" s="625"/>
      <c r="H21" s="1458"/>
      <c r="I21" s="1458"/>
      <c r="J21" s="1458"/>
      <c r="K21" s="1458"/>
      <c r="L21" s="1458"/>
      <c r="M21" s="626"/>
      <c r="N21" s="626"/>
      <c r="O21" s="1459"/>
      <c r="P21" s="1456"/>
      <c r="Q21" s="643" t="s">
        <v>1465</v>
      </c>
      <c r="R21" s="4">
        <v>9</v>
      </c>
      <c r="S21" s="4">
        <f>+ROUND(P6*0.3,2)+0.23+ROUND(P18*0.3,2)</f>
        <v>2.17</v>
      </c>
      <c r="T21" s="628">
        <f t="shared" si="1"/>
        <v>19.53</v>
      </c>
      <c r="U21" s="4" t="s">
        <v>1478</v>
      </c>
      <c r="V21">
        <v>5</v>
      </c>
      <c r="W21">
        <f>W20</f>
        <v>8.8400000000000016</v>
      </c>
      <c r="X21" s="628">
        <f t="shared" si="0"/>
        <v>44.20000000000001</v>
      </c>
    </row>
    <row r="22" spans="1:24" ht="22.5">
      <c r="A22" s="1457"/>
      <c r="B22" s="625"/>
      <c r="C22" s="625"/>
      <c r="D22" s="1458"/>
      <c r="E22" s="626"/>
      <c r="G22" s="625"/>
      <c r="H22" s="1458"/>
      <c r="I22" s="1458"/>
      <c r="J22" s="1458"/>
      <c r="K22" s="1458"/>
      <c r="L22" s="1458"/>
      <c r="M22" s="626"/>
      <c r="N22" s="626"/>
      <c r="O22" s="1459"/>
      <c r="P22" s="1456"/>
      <c r="Q22" s="643" t="s">
        <v>1465</v>
      </c>
      <c r="R22" s="4">
        <v>6</v>
      </c>
      <c r="S22" s="4">
        <f>ROUND(P18*0.3,2)+0.23+ROUND(P30*0.3,2)</f>
        <v>1.98</v>
      </c>
      <c r="T22" s="628">
        <f t="shared" si="1"/>
        <v>11.879999999999999</v>
      </c>
      <c r="U22" s="633" t="s">
        <v>1463</v>
      </c>
      <c r="V22">
        <v>3</v>
      </c>
      <c r="W22">
        <f>W21</f>
        <v>8.8400000000000016</v>
      </c>
      <c r="X22" s="628">
        <f t="shared" si="0"/>
        <v>26.520000000000003</v>
      </c>
    </row>
    <row r="23" spans="1:24" ht="22.5">
      <c r="A23" s="1457"/>
      <c r="B23" s="625"/>
      <c r="C23" s="625"/>
      <c r="D23" s="1458"/>
      <c r="E23" s="626"/>
      <c r="G23" s="625"/>
      <c r="H23" s="1458"/>
      <c r="I23" s="1458"/>
      <c r="J23" s="1458"/>
      <c r="K23" s="1458"/>
      <c r="L23" s="1458"/>
      <c r="M23" s="626"/>
      <c r="N23" s="626"/>
      <c r="O23" s="1459"/>
      <c r="P23" s="1456"/>
      <c r="Q23" s="643" t="s">
        <v>1465</v>
      </c>
      <c r="R23" s="4">
        <v>9</v>
      </c>
      <c r="S23" s="4">
        <f>S22</f>
        <v>1.98</v>
      </c>
      <c r="T23" s="628">
        <f t="shared" si="1"/>
        <v>17.82</v>
      </c>
      <c r="U23" s="633" t="s">
        <v>1479</v>
      </c>
      <c r="V23" s="627">
        <f>E2</f>
        <v>5</v>
      </c>
      <c r="W23" s="644">
        <f>W22</f>
        <v>8.8400000000000016</v>
      </c>
      <c r="X23" s="628">
        <f t="shared" si="0"/>
        <v>44.20000000000001</v>
      </c>
    </row>
    <row r="24" spans="1:24" ht="22.5">
      <c r="A24" s="1457"/>
      <c r="B24" s="625"/>
      <c r="C24" s="625"/>
      <c r="D24" s="1458"/>
      <c r="E24" s="626"/>
      <c r="G24" s="625"/>
      <c r="H24" s="1458"/>
      <c r="I24" s="1458"/>
      <c r="J24" s="1458"/>
      <c r="K24" s="1458"/>
      <c r="L24" s="1458"/>
      <c r="M24" s="626"/>
      <c r="N24" s="626"/>
      <c r="O24" s="1459"/>
      <c r="P24" s="1456"/>
      <c r="Q24" s="643" t="s">
        <v>1465</v>
      </c>
      <c r="R24" s="4">
        <v>6</v>
      </c>
      <c r="S24" s="4">
        <f>ROUND(P30*0.3,2)+0.23+ROUND(P40*0.3,2)</f>
        <v>1.9700000000000002</v>
      </c>
      <c r="T24" s="628">
        <f t="shared" si="1"/>
        <v>11.82</v>
      </c>
      <c r="U24" s="633" t="s">
        <v>1479</v>
      </c>
      <c r="V24" s="627">
        <v>3</v>
      </c>
      <c r="W24" s="644">
        <f>W23</f>
        <v>8.8400000000000016</v>
      </c>
      <c r="X24" s="628">
        <f t="shared" si="0"/>
        <v>26.520000000000003</v>
      </c>
    </row>
    <row r="25" spans="1:24" ht="22.5">
      <c r="A25" s="1457"/>
      <c r="B25" s="625"/>
      <c r="C25" s="625"/>
      <c r="D25" s="1458"/>
      <c r="E25" s="626"/>
      <c r="G25" s="625"/>
      <c r="H25" s="1458"/>
      <c r="I25" s="1458"/>
      <c r="J25" s="1458"/>
      <c r="K25" s="1458"/>
      <c r="L25" s="1458"/>
      <c r="M25" s="626"/>
      <c r="N25" s="626"/>
      <c r="O25" s="1459"/>
      <c r="P25" s="1456"/>
      <c r="Q25" s="643" t="s">
        <v>1465</v>
      </c>
      <c r="R25" s="4">
        <v>9</v>
      </c>
      <c r="S25" s="4">
        <f>ROUND(P30*0.3,2)+0.23+ROUND(P40*0.3,2)</f>
        <v>1.9700000000000002</v>
      </c>
      <c r="T25" s="628">
        <f t="shared" si="1"/>
        <v>17.73</v>
      </c>
      <c r="U25" s="633" t="s">
        <v>1479</v>
      </c>
      <c r="V25" s="627">
        <v>5</v>
      </c>
      <c r="W25" s="644">
        <f>W24</f>
        <v>8.8400000000000016</v>
      </c>
      <c r="X25" s="628">
        <f t="shared" si="0"/>
        <v>44.20000000000001</v>
      </c>
    </row>
    <row r="26" spans="1:24" ht="22.5">
      <c r="A26" s="1457"/>
      <c r="B26" s="625"/>
      <c r="C26" s="625"/>
      <c r="D26" s="1458"/>
      <c r="E26" s="626"/>
      <c r="G26" s="625"/>
      <c r="H26" s="1458"/>
      <c r="I26" s="1458"/>
      <c r="J26" s="1458"/>
      <c r="K26" s="1458"/>
      <c r="L26" s="1458"/>
      <c r="M26" s="626"/>
      <c r="N26" s="626"/>
      <c r="O26" s="1459"/>
      <c r="P26" s="1456"/>
      <c r="Q26" s="643" t="s">
        <v>1466</v>
      </c>
      <c r="R26" s="641">
        <v>6</v>
      </c>
      <c r="S26" s="4">
        <f>ROUND(P40*0.3,2)+0.23</f>
        <v>1.1200000000000001</v>
      </c>
      <c r="T26" s="628">
        <f t="shared" si="1"/>
        <v>6.7200000000000006</v>
      </c>
      <c r="U26" s="633" t="s">
        <v>1479</v>
      </c>
      <c r="V26" s="627">
        <v>4</v>
      </c>
      <c r="W26" s="644">
        <f>W23</f>
        <v>8.8400000000000016</v>
      </c>
      <c r="X26" s="628">
        <f t="shared" si="0"/>
        <v>35.360000000000007</v>
      </c>
    </row>
    <row r="27" spans="1:24" ht="22.5">
      <c r="A27" s="1457"/>
      <c r="B27" s="625"/>
      <c r="C27" s="625"/>
      <c r="D27" s="1458"/>
      <c r="E27" s="626"/>
      <c r="F27" s="639"/>
      <c r="G27" s="625"/>
      <c r="H27" s="1458"/>
      <c r="I27" s="1458"/>
      <c r="J27" s="1458"/>
      <c r="K27" s="1458"/>
      <c r="L27" s="1458"/>
      <c r="M27" s="626"/>
      <c r="N27" s="626"/>
      <c r="O27" s="1459"/>
      <c r="P27" s="1456"/>
      <c r="Q27" s="643" t="s">
        <v>1466</v>
      </c>
      <c r="R27" s="641">
        <v>9</v>
      </c>
      <c r="S27" s="4">
        <f>ROUND(P40*0.3,2)+0.23</f>
        <v>1.1200000000000001</v>
      </c>
      <c r="T27" s="628">
        <f t="shared" si="1"/>
        <v>10.080000000000002</v>
      </c>
      <c r="U27" s="633" t="s">
        <v>1479</v>
      </c>
      <c r="V27" s="627">
        <v>4</v>
      </c>
      <c r="W27" s="644">
        <f>W26</f>
        <v>8.8400000000000016</v>
      </c>
      <c r="X27" s="628">
        <f t="shared" si="0"/>
        <v>35.360000000000007</v>
      </c>
    </row>
    <row r="28" spans="1:24" ht="15">
      <c r="A28" s="4">
        <v>0.64</v>
      </c>
      <c r="B28" s="625"/>
      <c r="C28" s="636"/>
      <c r="D28" s="622"/>
      <c r="E28" s="638"/>
      <c r="G28" s="636"/>
      <c r="H28" s="637"/>
      <c r="I28" s="637"/>
      <c r="J28" s="622"/>
      <c r="K28" s="637"/>
      <c r="L28" s="637"/>
      <c r="M28" s="638"/>
      <c r="N28" s="626"/>
      <c r="O28" s="640">
        <f>ROUND(A28/0.175,0)+1</f>
        <v>5</v>
      </c>
      <c r="P28" s="1456"/>
      <c r="U28" s="633" t="s">
        <v>1479</v>
      </c>
      <c r="V28" s="627">
        <v>5</v>
      </c>
      <c r="W28" s="644">
        <f>W25</f>
        <v>8.8400000000000016</v>
      </c>
      <c r="X28" s="628">
        <f t="shared" si="0"/>
        <v>44.20000000000001</v>
      </c>
    </row>
    <row r="29" spans="1:24">
      <c r="A29" s="4">
        <v>0.23</v>
      </c>
      <c r="B29" s="625"/>
      <c r="C29" s="639"/>
      <c r="D29" s="639"/>
      <c r="E29" s="639"/>
      <c r="G29" s="639"/>
      <c r="H29" s="639"/>
      <c r="I29" s="639"/>
      <c r="J29" s="622"/>
      <c r="K29" s="639"/>
      <c r="L29" s="639"/>
      <c r="M29" s="639"/>
      <c r="N29" s="626"/>
      <c r="U29" s="633" t="s">
        <v>1463</v>
      </c>
      <c r="V29">
        <v>5</v>
      </c>
      <c r="W29">
        <f>W28</f>
        <v>8.8400000000000016</v>
      </c>
      <c r="X29" s="628">
        <f t="shared" si="0"/>
        <v>44.20000000000001</v>
      </c>
    </row>
    <row r="30" spans="1:24" ht="22.5">
      <c r="A30" s="4">
        <v>0.59</v>
      </c>
      <c r="B30" s="625"/>
      <c r="C30" s="621"/>
      <c r="D30" s="623"/>
      <c r="E30" s="624"/>
      <c r="G30" s="621"/>
      <c r="H30" s="623"/>
      <c r="I30" s="623"/>
      <c r="J30" s="622"/>
      <c r="K30" s="623"/>
      <c r="L30" s="623"/>
      <c r="M30" s="624"/>
      <c r="N30" s="626"/>
      <c r="O30" s="640">
        <f>ROUND(A30/0.175,0)+1</f>
        <v>4</v>
      </c>
      <c r="P30" s="1456">
        <v>2.82</v>
      </c>
      <c r="U30" s="643" t="s">
        <v>1466</v>
      </c>
      <c r="V30" s="627">
        <v>6</v>
      </c>
      <c r="W30">
        <f>ROUND(C3*0.3,2)+0.23</f>
        <v>1.25</v>
      </c>
      <c r="X30" s="628">
        <f t="shared" si="0"/>
        <v>7.5</v>
      </c>
    </row>
    <row r="31" spans="1:24" ht="22.5">
      <c r="A31" s="1457">
        <v>1.41</v>
      </c>
      <c r="B31" s="625"/>
      <c r="C31" s="625"/>
      <c r="D31" s="1458"/>
      <c r="E31" s="626"/>
      <c r="G31" s="625"/>
      <c r="H31" s="1458"/>
      <c r="I31" s="1458"/>
      <c r="J31" s="1458"/>
      <c r="K31" s="1458"/>
      <c r="L31" s="1458"/>
      <c r="M31" s="626"/>
      <c r="N31" s="626"/>
      <c r="O31" s="1459">
        <f>ROUND(A31/0.175,0)+1</f>
        <v>9</v>
      </c>
      <c r="P31" s="1456"/>
      <c r="U31" s="643" t="s">
        <v>1465</v>
      </c>
      <c r="V31" s="627">
        <v>6</v>
      </c>
      <c r="W31">
        <f>ROUND(C3*0.3,2)+0.23+ROUND(5.22*0.3,2)</f>
        <v>2.8200000000000003</v>
      </c>
      <c r="X31" s="628">
        <f t="shared" si="0"/>
        <v>16.920000000000002</v>
      </c>
    </row>
    <row r="32" spans="1:24" ht="22.5">
      <c r="A32" s="1457"/>
      <c r="B32" s="625"/>
      <c r="C32" s="625"/>
      <c r="D32" s="1458"/>
      <c r="E32" s="626"/>
      <c r="G32" s="625"/>
      <c r="H32" s="1458"/>
      <c r="I32" s="1458"/>
      <c r="J32" s="1458"/>
      <c r="K32" s="1458"/>
      <c r="L32" s="1458"/>
      <c r="M32" s="626"/>
      <c r="N32" s="626"/>
      <c r="O32" s="1459"/>
      <c r="P32" s="1456"/>
      <c r="U32" s="643" t="s">
        <v>1466</v>
      </c>
      <c r="V32" s="627">
        <v>6</v>
      </c>
      <c r="W32" s="3">
        <f>ROUND(5.22*0.3,2)+0.23</f>
        <v>1.8</v>
      </c>
      <c r="X32" s="628">
        <f t="shared" si="0"/>
        <v>10.8</v>
      </c>
    </row>
    <row r="33" spans="1:24" ht="22.5">
      <c r="A33" s="1457"/>
      <c r="B33" s="625"/>
      <c r="C33" s="625"/>
      <c r="D33" s="1458"/>
      <c r="E33" s="626"/>
      <c r="G33" s="625"/>
      <c r="H33" s="1458"/>
      <c r="I33" s="1458"/>
      <c r="J33" s="1458"/>
      <c r="K33" s="1458"/>
      <c r="L33" s="1458"/>
      <c r="M33" s="626"/>
      <c r="N33" s="626"/>
      <c r="O33" s="1459"/>
      <c r="P33" s="1456"/>
      <c r="Q33" s="643"/>
      <c r="R33" s="4"/>
      <c r="S33" s="4"/>
      <c r="T33" s="628"/>
      <c r="U33" s="643" t="s">
        <v>1466</v>
      </c>
      <c r="V33" s="627">
        <v>5</v>
      </c>
      <c r="W33">
        <f>W30</f>
        <v>1.25</v>
      </c>
      <c r="X33" s="628">
        <f t="shared" si="0"/>
        <v>6.25</v>
      </c>
    </row>
    <row r="34" spans="1:24" ht="22.5">
      <c r="A34" s="1457"/>
      <c r="B34" s="625"/>
      <c r="C34" s="625"/>
      <c r="D34" s="1458"/>
      <c r="E34" s="626"/>
      <c r="G34" s="625"/>
      <c r="H34" s="1458"/>
      <c r="I34" s="1458"/>
      <c r="J34" s="1458"/>
      <c r="K34" s="1458"/>
      <c r="L34" s="1458"/>
      <c r="M34" s="626"/>
      <c r="N34" s="626"/>
      <c r="O34" s="1459"/>
      <c r="P34" s="1456"/>
      <c r="Q34" s="643"/>
      <c r="R34" s="4"/>
      <c r="S34" s="4"/>
      <c r="T34" s="628"/>
      <c r="U34" s="643" t="s">
        <v>1465</v>
      </c>
      <c r="V34" s="627">
        <v>5</v>
      </c>
      <c r="W34">
        <f>W31</f>
        <v>2.8200000000000003</v>
      </c>
      <c r="X34" s="628">
        <f t="shared" si="0"/>
        <v>14.100000000000001</v>
      </c>
    </row>
    <row r="35" spans="1:24" ht="22.5">
      <c r="A35" s="1457"/>
      <c r="B35" s="625"/>
      <c r="C35" s="625"/>
      <c r="D35" s="1458"/>
      <c r="E35" s="626"/>
      <c r="G35" s="625"/>
      <c r="H35" s="1458"/>
      <c r="I35" s="1458"/>
      <c r="J35" s="1458"/>
      <c r="K35" s="1458"/>
      <c r="L35" s="1458"/>
      <c r="M35" s="626"/>
      <c r="N35" s="626"/>
      <c r="O35" s="1459"/>
      <c r="P35" s="1456"/>
      <c r="Q35" s="643"/>
      <c r="R35" s="4"/>
      <c r="S35" s="4"/>
      <c r="T35" s="628"/>
      <c r="U35" s="643" t="s">
        <v>1466</v>
      </c>
      <c r="V35" s="627">
        <v>5</v>
      </c>
      <c r="W35" s="3">
        <f>ROUND(5.22*0.3,2)+0.23</f>
        <v>1.8</v>
      </c>
      <c r="X35" s="628">
        <f t="shared" si="0"/>
        <v>9</v>
      </c>
    </row>
    <row r="36" spans="1:24" ht="22.5">
      <c r="A36" s="1457"/>
      <c r="B36" s="625"/>
      <c r="C36" s="625"/>
      <c r="D36" s="1458"/>
      <c r="E36" s="626"/>
      <c r="G36" s="625"/>
      <c r="H36" s="1458"/>
      <c r="I36" s="1458"/>
      <c r="J36" s="1458"/>
      <c r="K36" s="1458"/>
      <c r="L36" s="1458"/>
      <c r="M36" s="626"/>
      <c r="N36" s="626"/>
      <c r="O36" s="1459"/>
      <c r="P36" s="1456"/>
      <c r="Q36" s="643"/>
      <c r="R36" s="4"/>
      <c r="S36" s="4"/>
      <c r="T36" s="628"/>
      <c r="U36" s="643" t="s">
        <v>1466</v>
      </c>
      <c r="V36" s="627">
        <v>4</v>
      </c>
      <c r="W36">
        <f>W33</f>
        <v>1.25</v>
      </c>
      <c r="X36" s="628">
        <f t="shared" si="0"/>
        <v>5</v>
      </c>
    </row>
    <row r="37" spans="1:24" ht="22.5">
      <c r="A37" s="1457"/>
      <c r="B37" s="625"/>
      <c r="C37" s="625"/>
      <c r="D37" s="1458"/>
      <c r="E37" s="626"/>
      <c r="G37" s="625"/>
      <c r="H37" s="1458"/>
      <c r="I37" s="1458"/>
      <c r="J37" s="1458"/>
      <c r="K37" s="1458"/>
      <c r="L37" s="1458"/>
      <c r="M37" s="626"/>
      <c r="N37" s="626"/>
      <c r="O37" s="1459"/>
      <c r="P37" s="1456"/>
      <c r="R37" s="4"/>
      <c r="U37" s="643" t="s">
        <v>1465</v>
      </c>
      <c r="V37" s="627">
        <v>4</v>
      </c>
      <c r="W37">
        <f>W34</f>
        <v>2.8200000000000003</v>
      </c>
      <c r="X37" s="628">
        <f t="shared" si="0"/>
        <v>11.280000000000001</v>
      </c>
    </row>
    <row r="38" spans="1:24" ht="22.5">
      <c r="A38" s="635">
        <v>0.59</v>
      </c>
      <c r="B38" s="625"/>
      <c r="C38" s="636"/>
      <c r="D38" s="637"/>
      <c r="E38" s="638"/>
      <c r="G38" s="636"/>
      <c r="H38" s="637"/>
      <c r="I38" s="637"/>
      <c r="J38" s="622"/>
      <c r="K38" s="637"/>
      <c r="L38" s="637"/>
      <c r="M38" s="638"/>
      <c r="N38" s="626"/>
      <c r="O38" s="640">
        <f>ROUND(A38/0.175,0)+1</f>
        <v>4</v>
      </c>
      <c r="P38" s="1456"/>
      <c r="U38" s="643" t="s">
        <v>1466</v>
      </c>
      <c r="V38" s="627">
        <v>4</v>
      </c>
      <c r="W38" s="3">
        <f>ROUND(5.22*0.3,2)+0.23</f>
        <v>1.8</v>
      </c>
      <c r="X38" s="628">
        <f t="shared" si="0"/>
        <v>7.2</v>
      </c>
    </row>
    <row r="39" spans="1:24" ht="22.5">
      <c r="A39" s="645">
        <v>0.23</v>
      </c>
      <c r="B39" s="625"/>
      <c r="H39" s="639"/>
      <c r="I39" s="639"/>
      <c r="J39" s="622"/>
      <c r="N39" s="626"/>
      <c r="Q39" s="4"/>
      <c r="R39" s="627"/>
      <c r="S39" s="628"/>
      <c r="T39" s="628"/>
      <c r="U39" s="643" t="s">
        <v>1466</v>
      </c>
      <c r="V39" s="627">
        <v>4</v>
      </c>
      <c r="W39">
        <f>W36</f>
        <v>1.25</v>
      </c>
      <c r="X39" s="628">
        <f t="shared" si="0"/>
        <v>5</v>
      </c>
    </row>
    <row r="40" spans="1:24" ht="22.5">
      <c r="A40" s="4">
        <v>0.62</v>
      </c>
      <c r="B40" s="625"/>
      <c r="C40" s="621"/>
      <c r="D40" s="623"/>
      <c r="E40" s="624"/>
      <c r="G40" s="621"/>
      <c r="H40" s="623"/>
      <c r="I40" s="623"/>
      <c r="J40" s="622"/>
      <c r="K40" s="623"/>
      <c r="L40" s="623"/>
      <c r="M40" s="624"/>
      <c r="N40" s="626"/>
      <c r="O40" s="640">
        <f>ROUND(A40/0.175,0)+1</f>
        <v>5</v>
      </c>
      <c r="P40" s="1456">
        <v>2.95</v>
      </c>
      <c r="Q40" s="643"/>
      <c r="R40" s="627"/>
      <c r="S40" s="628"/>
      <c r="T40" s="628"/>
      <c r="U40" s="643" t="s">
        <v>1465</v>
      </c>
      <c r="V40" s="627">
        <v>4</v>
      </c>
      <c r="W40">
        <f>W37</f>
        <v>2.8200000000000003</v>
      </c>
      <c r="X40" s="628">
        <f t="shared" si="0"/>
        <v>11.280000000000001</v>
      </c>
    </row>
    <row r="41" spans="1:24" ht="22.5">
      <c r="A41" s="1457">
        <v>1.48</v>
      </c>
      <c r="B41" s="625"/>
      <c r="C41" s="646"/>
      <c r="D41" s="1458"/>
      <c r="E41" s="626"/>
      <c r="G41" s="625"/>
      <c r="H41" s="1458"/>
      <c r="I41" s="1458"/>
      <c r="J41" s="1368"/>
      <c r="K41" s="1458"/>
      <c r="L41" s="1458"/>
      <c r="M41" s="626"/>
      <c r="N41" s="626"/>
      <c r="O41" s="1459">
        <f>ROUND(A41/0.175,0)+1</f>
        <v>9</v>
      </c>
      <c r="P41" s="1456"/>
      <c r="Q41" s="643"/>
      <c r="R41" s="627"/>
      <c r="S41" s="628"/>
      <c r="T41" s="628"/>
      <c r="U41" s="643" t="s">
        <v>1466</v>
      </c>
      <c r="V41" s="627">
        <v>4</v>
      </c>
      <c r="W41" s="3">
        <f>ROUND(5.22*0.3,2)+0.23</f>
        <v>1.8</v>
      </c>
      <c r="X41" s="628">
        <f t="shared" si="0"/>
        <v>7.2</v>
      </c>
    </row>
    <row r="42" spans="1:24">
      <c r="A42" s="1457"/>
      <c r="B42" s="625"/>
      <c r="C42" s="646"/>
      <c r="D42" s="1458"/>
      <c r="E42" s="626"/>
      <c r="G42" s="625"/>
      <c r="H42" s="1458"/>
      <c r="I42" s="1458"/>
      <c r="J42" s="1458"/>
      <c r="K42" s="1458"/>
      <c r="L42" s="1458"/>
      <c r="M42" s="626"/>
      <c r="N42" s="626"/>
      <c r="O42" s="1459"/>
      <c r="P42" s="1456"/>
      <c r="Q42" s="4"/>
      <c r="R42" s="627"/>
      <c r="S42" s="628"/>
      <c r="T42" s="628"/>
      <c r="U42" s="643"/>
      <c r="V42" s="4"/>
      <c r="W42" s="4"/>
      <c r="X42" s="628"/>
    </row>
    <row r="43" spans="1:24">
      <c r="A43" s="1457"/>
      <c r="B43" s="625"/>
      <c r="C43" s="646"/>
      <c r="D43" s="1458"/>
      <c r="E43" s="626"/>
      <c r="G43" s="625"/>
      <c r="H43" s="1458"/>
      <c r="I43" s="1458"/>
      <c r="J43" s="1458"/>
      <c r="K43" s="1458"/>
      <c r="L43" s="1458"/>
      <c r="M43" s="626"/>
      <c r="N43" s="626"/>
      <c r="O43" s="1459"/>
      <c r="P43" s="1456"/>
      <c r="Q43" s="633"/>
      <c r="R43" s="627"/>
      <c r="S43" s="644"/>
      <c r="T43" s="628"/>
      <c r="U43" s="643"/>
      <c r="V43" s="4"/>
      <c r="W43" s="4"/>
      <c r="X43" s="628"/>
    </row>
    <row r="44" spans="1:24">
      <c r="A44" s="1457"/>
      <c r="B44" s="625"/>
      <c r="C44" s="646"/>
      <c r="D44" s="1458"/>
      <c r="E44" s="626"/>
      <c r="G44" s="625"/>
      <c r="H44" s="1458"/>
      <c r="I44" s="1458"/>
      <c r="J44" s="1458"/>
      <c r="K44" s="1458"/>
      <c r="L44" s="1458"/>
      <c r="M44" s="626"/>
      <c r="N44" s="626"/>
      <c r="O44" s="1459"/>
      <c r="P44" s="1456"/>
      <c r="Q44" s="633"/>
      <c r="R44" s="627"/>
      <c r="S44" s="644"/>
      <c r="T44" s="628"/>
      <c r="U44" s="643"/>
      <c r="V44" s="627"/>
      <c r="W44" s="4"/>
      <c r="X44" s="628"/>
    </row>
    <row r="45" spans="1:24">
      <c r="A45" s="1457"/>
      <c r="B45" s="625"/>
      <c r="C45" s="646"/>
      <c r="D45" s="1458"/>
      <c r="E45" s="626"/>
      <c r="G45" s="625"/>
      <c r="H45" s="1458"/>
      <c r="I45" s="1458"/>
      <c r="J45" s="1458"/>
      <c r="K45" s="1458"/>
      <c r="L45" s="1458"/>
      <c r="M45" s="626"/>
      <c r="N45" s="626"/>
      <c r="O45" s="1459"/>
      <c r="P45" s="1456"/>
      <c r="U45" s="643"/>
      <c r="V45" s="627"/>
      <c r="W45" s="567"/>
      <c r="X45" s="628"/>
    </row>
    <row r="46" spans="1:24">
      <c r="A46" s="1457"/>
      <c r="B46" s="625"/>
      <c r="C46" s="646"/>
      <c r="D46" s="1458"/>
      <c r="E46" s="626"/>
      <c r="G46" s="625"/>
      <c r="H46" s="1458"/>
      <c r="I46" s="1458"/>
      <c r="J46" s="1458"/>
      <c r="K46" s="1458"/>
      <c r="L46" s="1458"/>
      <c r="M46" s="626"/>
      <c r="N46" s="626"/>
      <c r="O46" s="1459"/>
      <c r="P46" s="1456"/>
      <c r="U46" s="643"/>
      <c r="V46" s="4"/>
      <c r="W46" s="4"/>
      <c r="X46" s="628"/>
    </row>
    <row r="47" spans="1:24">
      <c r="A47" s="1457"/>
      <c r="B47" s="625"/>
      <c r="C47" s="646"/>
      <c r="D47" s="1458"/>
      <c r="E47" s="626"/>
      <c r="G47" s="625"/>
      <c r="H47" s="1458"/>
      <c r="I47" s="1458"/>
      <c r="J47" s="1367"/>
      <c r="K47" s="1458"/>
      <c r="L47" s="1458"/>
      <c r="M47" s="626"/>
      <c r="N47" s="626"/>
      <c r="O47" s="1459"/>
      <c r="P47" s="1456"/>
      <c r="Q47" s="4"/>
      <c r="R47" s="627"/>
      <c r="S47" s="644"/>
      <c r="T47" s="628"/>
      <c r="U47" s="643"/>
      <c r="V47" s="627"/>
      <c r="W47" s="4"/>
      <c r="X47" s="628"/>
    </row>
    <row r="48" spans="1:24" ht="15">
      <c r="A48" s="635">
        <v>0.62</v>
      </c>
      <c r="B48" s="625"/>
      <c r="C48" s="647"/>
      <c r="D48" s="637"/>
      <c r="E48" s="638"/>
      <c r="G48" s="636"/>
      <c r="H48" s="637"/>
      <c r="I48" s="637"/>
      <c r="J48" s="622"/>
      <c r="K48" s="637"/>
      <c r="L48" s="637"/>
      <c r="M48" s="638"/>
      <c r="N48" s="626"/>
      <c r="O48" s="640">
        <f>ROUND(A48/0.175,0)+1</f>
        <v>5</v>
      </c>
      <c r="P48" s="1456"/>
      <c r="R48" s="627"/>
      <c r="S48" s="627"/>
      <c r="T48" s="628"/>
      <c r="U48" s="643"/>
      <c r="V48" s="627"/>
      <c r="W48" s="567"/>
      <c r="X48" s="628"/>
    </row>
    <row r="49" spans="1:24">
      <c r="A49" s="645">
        <v>0.23</v>
      </c>
      <c r="B49" s="636"/>
      <c r="C49" s="637"/>
      <c r="D49" s="637"/>
      <c r="E49" s="637"/>
      <c r="F49" s="637"/>
      <c r="G49" s="637"/>
      <c r="H49" s="637"/>
      <c r="I49" s="637"/>
      <c r="J49" s="622"/>
      <c r="K49" s="637"/>
      <c r="L49" s="637"/>
      <c r="M49" s="637"/>
      <c r="N49" s="638"/>
      <c r="R49" s="627"/>
      <c r="S49" s="644"/>
      <c r="T49" s="628"/>
      <c r="U49" s="643"/>
      <c r="V49" s="4"/>
      <c r="W49" s="4"/>
      <c r="X49" s="628"/>
    </row>
    <row r="51" spans="1:24">
      <c r="C51" s="648">
        <v>0.39</v>
      </c>
      <c r="D51" s="603">
        <v>2.04</v>
      </c>
      <c r="E51" s="649">
        <v>0.73</v>
      </c>
      <c r="F51" s="618">
        <v>0.23</v>
      </c>
      <c r="G51" s="619">
        <v>1.19</v>
      </c>
      <c r="H51" s="1464">
        <v>3.13</v>
      </c>
      <c r="I51" s="1464"/>
      <c r="J51" s="1464"/>
      <c r="K51" s="1464"/>
      <c r="L51" s="1464"/>
      <c r="M51" s="650">
        <v>0.67</v>
      </c>
      <c r="N51" s="618">
        <v>0.23</v>
      </c>
      <c r="Q51" s="4"/>
      <c r="R51" s="627"/>
      <c r="S51" s="644"/>
      <c r="T51" s="628"/>
      <c r="U51" s="4"/>
      <c r="W51" s="3"/>
      <c r="X51" s="628"/>
    </row>
    <row r="52" spans="1:24">
      <c r="C52" s="1455">
        <v>3.39</v>
      </c>
      <c r="D52" s="1455"/>
      <c r="E52" s="1455"/>
      <c r="G52" s="1455">
        <v>4.99</v>
      </c>
      <c r="H52" s="1455"/>
      <c r="I52" s="1455"/>
      <c r="J52" s="1455"/>
      <c r="K52" s="1455"/>
      <c r="L52" s="1455"/>
      <c r="M52" s="1455"/>
      <c r="R52" s="627"/>
      <c r="S52" s="627"/>
      <c r="T52" s="628"/>
      <c r="U52" s="4"/>
      <c r="X52" s="628"/>
    </row>
    <row r="53" spans="1:24">
      <c r="C53" s="543">
        <f>ROUND(C51/0.175,0)+1</f>
        <v>3</v>
      </c>
      <c r="D53" s="543">
        <f>ROUND(D51/0.175,0)+1</f>
        <v>13</v>
      </c>
      <c r="E53" s="543">
        <f>ROUND(E51/0.175,0)+1</f>
        <v>5</v>
      </c>
      <c r="G53" s="543">
        <f>ROUND(G51/0.175,0)+1</f>
        <v>8</v>
      </c>
      <c r="H53" s="1366">
        <f>ROUND(H51/0.175,0)+1</f>
        <v>19</v>
      </c>
      <c r="I53" s="1366"/>
      <c r="J53" s="1366"/>
      <c r="K53" s="1366"/>
      <c r="L53" s="1366"/>
      <c r="M53" s="543">
        <f>ROUND(M51/0.175,0)+1</f>
        <v>5</v>
      </c>
      <c r="O53" t="s">
        <v>1425</v>
      </c>
      <c r="R53" s="627"/>
      <c r="S53" s="644"/>
      <c r="T53" s="628">
        <f>SUM(T6:T52)</f>
        <v>1060.9999999999998</v>
      </c>
      <c r="X53" s="628">
        <f>SUM(X6:X52)</f>
        <v>1081.6900000000003</v>
      </c>
    </row>
    <row r="54" spans="1:24">
      <c r="Q54" s="4"/>
      <c r="R54" s="627"/>
      <c r="S54" s="644"/>
      <c r="T54" s="628"/>
    </row>
    <row r="55" spans="1:24">
      <c r="Q55" s="633"/>
      <c r="R55" s="627"/>
      <c r="S55" s="644"/>
      <c r="T55" s="628"/>
    </row>
    <row r="56" spans="1:24">
      <c r="Q56" s="633"/>
      <c r="R56" s="627"/>
      <c r="S56" s="644"/>
      <c r="T56" s="628"/>
    </row>
    <row r="57" spans="1:24">
      <c r="T57" s="651"/>
      <c r="X57" s="651"/>
    </row>
  </sheetData>
  <mergeCells count="31">
    <mergeCell ref="C52:E52"/>
    <mergeCell ref="G52:M52"/>
    <mergeCell ref="H53:L53"/>
    <mergeCell ref="P40:P48"/>
    <mergeCell ref="A41:A47"/>
    <mergeCell ref="D41:D47"/>
    <mergeCell ref="H41:L47"/>
    <mergeCell ref="O41:O47"/>
    <mergeCell ref="H51:L51"/>
    <mergeCell ref="P30:P38"/>
    <mergeCell ref="A31:A37"/>
    <mergeCell ref="D31:D37"/>
    <mergeCell ref="H31:L37"/>
    <mergeCell ref="O31:O37"/>
    <mergeCell ref="P18:P28"/>
    <mergeCell ref="A19:A27"/>
    <mergeCell ref="D19:D27"/>
    <mergeCell ref="H19:L27"/>
    <mergeCell ref="O19:O27"/>
    <mergeCell ref="H4:L4"/>
    <mergeCell ref="P6:P16"/>
    <mergeCell ref="A7:A15"/>
    <mergeCell ref="D7:D15"/>
    <mergeCell ref="H7:L15"/>
    <mergeCell ref="O7:O15"/>
    <mergeCell ref="Q1:X1"/>
    <mergeCell ref="H2:L2"/>
    <mergeCell ref="Q2:S2"/>
    <mergeCell ref="V2:X2"/>
    <mergeCell ref="C3:E3"/>
    <mergeCell ref="G3:M3"/>
  </mergeCells>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dimension ref="A2:T66"/>
  <sheetViews>
    <sheetView topLeftCell="A37" workbookViewId="0">
      <selection activeCell="G35" sqref="G35:I35"/>
    </sheetView>
  </sheetViews>
  <sheetFormatPr defaultRowHeight="12.75"/>
  <cols>
    <col min="2" max="2" width="13" customWidth="1"/>
    <col min="3" max="3" width="3.42578125" customWidth="1"/>
    <col min="4" max="4" width="2.7109375" customWidth="1"/>
    <col min="9" max="9" width="2.7109375" customWidth="1"/>
    <col min="10" max="10" width="3.42578125" customWidth="1"/>
    <col min="11" max="11" width="17.42578125" customWidth="1"/>
    <col min="12" max="12" width="7.5703125" customWidth="1"/>
    <col min="13" max="13" width="5.5703125" customWidth="1"/>
    <col min="14" max="14" width="5.85546875" customWidth="1"/>
    <col min="15" max="15" width="6" customWidth="1"/>
    <col min="16" max="16" width="6.28515625" customWidth="1"/>
    <col min="17" max="17" width="7.85546875" customWidth="1"/>
    <col min="18" max="18" width="6.7109375" customWidth="1"/>
    <col min="19" max="19" width="7.7109375" customWidth="1"/>
    <col min="20" max="20" width="5.7109375" customWidth="1"/>
  </cols>
  <sheetData>
    <row r="2" spans="3:17">
      <c r="C2" s="1465">
        <f>D3+2*0.3</f>
        <v>5.63</v>
      </c>
      <c r="D2" s="1455"/>
      <c r="E2" s="1455"/>
      <c r="F2" s="1455"/>
      <c r="G2" s="1455"/>
      <c r="H2" s="1455"/>
      <c r="I2" s="1455"/>
      <c r="J2" s="1466"/>
    </row>
    <row r="3" spans="3:17">
      <c r="D3" s="1465">
        <v>5.03</v>
      </c>
      <c r="E3" s="1455"/>
      <c r="F3" s="1455"/>
      <c r="G3" s="1455"/>
      <c r="H3" s="1455"/>
      <c r="I3" s="1466"/>
    </row>
    <row r="4" spans="3:17">
      <c r="C4">
        <v>0.3</v>
      </c>
      <c r="D4" s="603">
        <v>0.23</v>
      </c>
      <c r="E4" s="543">
        <f>ROUND(4.8*0.15-0.115,2)</f>
        <v>0.61</v>
      </c>
      <c r="F4" s="1455">
        <f>4.8-0.23-E4-H4</f>
        <v>3.3499999999999996</v>
      </c>
      <c r="G4" s="1455"/>
      <c r="H4" s="603">
        <f>E4</f>
        <v>0.61</v>
      </c>
      <c r="I4" s="603">
        <v>0.23</v>
      </c>
      <c r="J4">
        <v>0.3</v>
      </c>
    </row>
    <row r="5" spans="3:17">
      <c r="C5" s="1467" t="s">
        <v>1421</v>
      </c>
      <c r="D5" s="1468"/>
      <c r="E5" s="1468"/>
      <c r="F5" s="1468"/>
      <c r="G5" s="1468"/>
      <c r="H5" s="1468"/>
      <c r="I5" s="1468"/>
      <c r="J5" s="1469"/>
      <c r="M5" s="1470">
        <f>L6+2*0.3</f>
        <v>7.1599999999999993</v>
      </c>
    </row>
    <row r="6" spans="3:17">
      <c r="C6" s="1472"/>
      <c r="D6" s="1473"/>
      <c r="E6" s="1474"/>
      <c r="F6" s="1474"/>
      <c r="G6" s="1474"/>
      <c r="H6" s="1474"/>
      <c r="I6" s="1475"/>
      <c r="J6" s="1476"/>
      <c r="K6" s="543">
        <v>0.23</v>
      </c>
      <c r="L6" s="1477">
        <v>6.56</v>
      </c>
      <c r="M6" s="1471"/>
    </row>
    <row r="7" spans="3:17">
      <c r="C7" s="1472"/>
      <c r="D7" s="1465"/>
      <c r="E7" s="1473"/>
      <c r="F7" s="1474"/>
      <c r="G7" s="1474"/>
      <c r="H7" s="1475"/>
      <c r="I7" s="1466"/>
      <c r="J7" s="1476"/>
      <c r="K7" s="543">
        <f>ROUND(3.165*0.15-0.115,2)</f>
        <v>0.36</v>
      </c>
      <c r="L7" s="1478"/>
      <c r="M7" s="1471"/>
    </row>
    <row r="8" spans="3:17">
      <c r="C8" s="1472"/>
      <c r="D8" s="1465"/>
      <c r="E8" s="1460"/>
      <c r="F8" s="1458"/>
      <c r="G8" s="1458"/>
      <c r="H8" s="1460"/>
      <c r="I8" s="1466"/>
      <c r="J8" s="1476"/>
      <c r="K8" s="1471">
        <f>3.165-0.23-K7-K11</f>
        <v>1.895</v>
      </c>
      <c r="L8" s="1478"/>
      <c r="M8" s="1471"/>
    </row>
    <row r="9" spans="3:17">
      <c r="C9" s="1472"/>
      <c r="D9" s="1465"/>
      <c r="E9" s="1460"/>
      <c r="F9" s="1458"/>
      <c r="G9" s="1458"/>
      <c r="H9" s="1460"/>
      <c r="I9" s="1466"/>
      <c r="J9" s="1476"/>
      <c r="K9" s="1471"/>
      <c r="L9" s="1478"/>
      <c r="M9" s="1471"/>
      <c r="Q9" s="3"/>
    </row>
    <row r="10" spans="3:17">
      <c r="C10" s="1472"/>
      <c r="D10" s="1465"/>
      <c r="E10" s="1460"/>
      <c r="F10" s="1458"/>
      <c r="G10" s="1458"/>
      <c r="H10" s="1460"/>
      <c r="I10" s="1466"/>
      <c r="J10" s="1476"/>
      <c r="K10" s="1471"/>
      <c r="L10" s="1478"/>
      <c r="M10" s="1471"/>
    </row>
    <row r="11" spans="3:17">
      <c r="C11" s="1472"/>
      <c r="D11" s="1465"/>
      <c r="E11" s="1480"/>
      <c r="F11" s="1481"/>
      <c r="G11" s="1481"/>
      <c r="H11" s="1482"/>
      <c r="I11" s="1466"/>
      <c r="J11" s="1476"/>
      <c r="K11" s="543">
        <f>ROUND(3.165*0.25-0.115,2)</f>
        <v>0.68</v>
      </c>
      <c r="L11" s="1478"/>
      <c r="M11" s="1471"/>
    </row>
    <row r="12" spans="3:17">
      <c r="C12" s="1472"/>
      <c r="D12" s="1465"/>
      <c r="E12" s="1481"/>
      <c r="F12" s="1481"/>
      <c r="G12" s="1481"/>
      <c r="H12" s="1481"/>
      <c r="I12" s="1466"/>
      <c r="J12" s="1476"/>
      <c r="K12" s="543">
        <v>0.23</v>
      </c>
      <c r="L12" s="1478"/>
      <c r="M12" s="1471"/>
    </row>
    <row r="13" spans="3:17">
      <c r="C13" s="1472"/>
      <c r="D13" s="1465"/>
      <c r="E13" s="1473"/>
      <c r="F13" s="1474"/>
      <c r="G13" s="1474"/>
      <c r="H13" s="1475"/>
      <c r="I13" s="1466"/>
      <c r="J13" s="1476"/>
      <c r="K13" s="543">
        <f>K11</f>
        <v>0.68</v>
      </c>
      <c r="L13" s="1478"/>
      <c r="M13" s="1471"/>
    </row>
    <row r="14" spans="3:17">
      <c r="C14" s="1472"/>
      <c r="D14" s="1465"/>
      <c r="E14" s="1460"/>
      <c r="F14" s="1473"/>
      <c r="G14" s="1475"/>
      <c r="H14" s="1460"/>
      <c r="I14" s="1466"/>
      <c r="J14" s="1476"/>
      <c r="K14" s="1471">
        <f>K8</f>
        <v>1.895</v>
      </c>
      <c r="L14" s="1478"/>
      <c r="M14" s="1471"/>
    </row>
    <row r="15" spans="3:17">
      <c r="C15" s="1472"/>
      <c r="D15" s="1465"/>
      <c r="E15" s="1460"/>
      <c r="F15" s="1465"/>
      <c r="G15" s="1466"/>
      <c r="H15" s="1460"/>
      <c r="I15" s="1466"/>
      <c r="J15" s="1476"/>
      <c r="K15" s="1471"/>
      <c r="L15" s="1478"/>
      <c r="M15" s="1471"/>
    </row>
    <row r="16" spans="3:17">
      <c r="C16" s="1472"/>
      <c r="D16" s="1465"/>
      <c r="E16" s="1460"/>
      <c r="F16" s="1480"/>
      <c r="G16" s="1482"/>
      <c r="H16" s="1460"/>
      <c r="I16" s="1466"/>
      <c r="J16" s="1476"/>
      <c r="K16" s="1471"/>
      <c r="L16" s="1478"/>
      <c r="M16" s="1471"/>
    </row>
    <row r="17" spans="2:20">
      <c r="C17" s="1472"/>
      <c r="D17" s="1465"/>
      <c r="E17" s="1480"/>
      <c r="F17" s="1481"/>
      <c r="G17" s="1481"/>
      <c r="H17" s="1482"/>
      <c r="I17" s="1466"/>
      <c r="J17" s="1476"/>
      <c r="K17" s="543">
        <f>K7</f>
        <v>0.36</v>
      </c>
      <c r="L17" s="1478"/>
      <c r="M17" s="1471"/>
    </row>
    <row r="18" spans="2:20">
      <c r="C18" s="1472"/>
      <c r="D18" s="1480"/>
      <c r="E18" s="1481"/>
      <c r="F18" s="1481"/>
      <c r="G18" s="1481"/>
      <c r="H18" s="1481"/>
      <c r="I18" s="1482"/>
      <c r="J18" s="1476"/>
      <c r="K18" s="543">
        <v>0.23</v>
      </c>
      <c r="L18" s="1479"/>
      <c r="M18" s="1471"/>
    </row>
    <row r="19" spans="2:20">
      <c r="C19" s="1483"/>
      <c r="D19" s="1484"/>
      <c r="E19" s="1484"/>
      <c r="F19" s="1484"/>
      <c r="G19" s="1484"/>
      <c r="H19" s="1484"/>
      <c r="I19" s="1484"/>
      <c r="J19" s="1485"/>
      <c r="M19" s="1413"/>
    </row>
    <row r="21" spans="2:20">
      <c r="B21" s="445"/>
      <c r="C21" s="445"/>
      <c r="D21" s="445"/>
      <c r="E21" s="445"/>
      <c r="F21" s="445"/>
      <c r="G21" s="445"/>
      <c r="H21" s="445"/>
      <c r="I21" s="445"/>
      <c r="J21" s="445"/>
      <c r="K21" s="445"/>
      <c r="L21" s="445"/>
      <c r="M21" s="445"/>
      <c r="N21" s="1458" t="s">
        <v>1422</v>
      </c>
      <c r="O21" s="1458"/>
      <c r="P21" s="1458"/>
      <c r="Q21" s="1458" t="s">
        <v>1423</v>
      </c>
      <c r="R21" s="1458"/>
      <c r="S21" s="1458"/>
      <c r="T21" s="1458"/>
    </row>
    <row r="22" spans="2:20">
      <c r="B22" s="445" t="s">
        <v>1424</v>
      </c>
      <c r="C22" s="445"/>
      <c r="D22" s="445"/>
      <c r="E22" s="445"/>
      <c r="F22" s="445"/>
      <c r="G22" s="445"/>
      <c r="H22" s="445"/>
      <c r="I22" s="445"/>
      <c r="J22" s="445"/>
      <c r="K22" s="445"/>
      <c r="L22" s="445"/>
      <c r="M22" s="445" t="s">
        <v>1425</v>
      </c>
      <c r="N22" s="445" t="s">
        <v>1426</v>
      </c>
      <c r="O22" s="445" t="s">
        <v>1427</v>
      </c>
      <c r="P22" s="445" t="s">
        <v>1428</v>
      </c>
      <c r="Q22" s="445" t="s">
        <v>1426</v>
      </c>
      <c r="R22" s="445" t="s">
        <v>1427</v>
      </c>
      <c r="S22" s="445" t="s">
        <v>1428</v>
      </c>
      <c r="T22" s="445" t="s">
        <v>1429</v>
      </c>
    </row>
    <row r="23" spans="2:20">
      <c r="B23" s="445"/>
      <c r="C23" s="445"/>
      <c r="D23" s="445"/>
      <c r="E23" s="445"/>
      <c r="F23" s="445"/>
      <c r="G23" s="445"/>
      <c r="H23" s="445"/>
      <c r="I23" s="445"/>
      <c r="J23" s="445"/>
      <c r="K23" s="445"/>
      <c r="L23" s="445"/>
      <c r="M23" s="445"/>
      <c r="N23" s="445"/>
      <c r="O23" s="445"/>
      <c r="P23" s="445"/>
      <c r="Q23" s="445"/>
      <c r="R23" s="445"/>
      <c r="S23" s="606"/>
      <c r="T23" s="445"/>
    </row>
    <row r="24" spans="2:20">
      <c r="B24" s="445" t="s">
        <v>289</v>
      </c>
      <c r="C24" s="445"/>
      <c r="D24" s="445">
        <v>6</v>
      </c>
      <c r="E24" s="445">
        <v>1.5</v>
      </c>
      <c r="F24" s="445">
        <v>1.5</v>
      </c>
      <c r="G24" s="445">
        <v>0.35</v>
      </c>
      <c r="H24" s="445">
        <f>ROUND(D24*E24*F24*G24,2)</f>
        <v>4.7300000000000004</v>
      </c>
      <c r="I24" s="445"/>
      <c r="J24" s="445"/>
      <c r="K24" s="445"/>
      <c r="L24" s="445" t="s">
        <v>1430</v>
      </c>
      <c r="M24" s="445">
        <v>11</v>
      </c>
      <c r="N24" s="445">
        <f>E24+2*0.15-2*0.05</f>
        <v>1.7</v>
      </c>
      <c r="O24" s="445"/>
      <c r="P24" s="445"/>
      <c r="Q24" s="445">
        <f>N24*M24*D24</f>
        <v>112.19999999999999</v>
      </c>
      <c r="R24" s="445"/>
      <c r="S24" s="606"/>
      <c r="T24" s="445"/>
    </row>
    <row r="25" spans="2:20">
      <c r="B25" s="445"/>
      <c r="C25" s="445"/>
      <c r="D25" s="445"/>
      <c r="E25" s="445"/>
      <c r="F25" s="445"/>
      <c r="G25" s="445"/>
      <c r="H25" s="445"/>
      <c r="I25" s="445"/>
      <c r="J25" s="445"/>
      <c r="K25" s="445"/>
      <c r="L25" s="445" t="s">
        <v>1430</v>
      </c>
      <c r="M25" s="445">
        <v>11</v>
      </c>
      <c r="N25" s="445">
        <f>E24+2*0.15-2*0.05</f>
        <v>1.7</v>
      </c>
      <c r="O25" s="445"/>
      <c r="P25" s="445"/>
      <c r="Q25" s="445">
        <f>N25*M25*D24</f>
        <v>112.19999999999999</v>
      </c>
      <c r="R25" s="445"/>
      <c r="S25" s="606"/>
      <c r="T25" s="445"/>
    </row>
    <row r="26" spans="2:20">
      <c r="B26" s="445" t="s">
        <v>292</v>
      </c>
      <c r="C26" s="445"/>
      <c r="D26" s="445">
        <v>6</v>
      </c>
      <c r="E26" s="445">
        <v>0.45</v>
      </c>
      <c r="F26" s="445">
        <v>0.45</v>
      </c>
      <c r="G26" s="445">
        <v>0.45</v>
      </c>
      <c r="H26" s="445">
        <f>ROUND(D26*E26*F26*G26,2)</f>
        <v>0.55000000000000004</v>
      </c>
      <c r="I26" s="445"/>
      <c r="J26" s="445"/>
      <c r="K26" s="445"/>
      <c r="L26" s="445" t="s">
        <v>1431</v>
      </c>
      <c r="M26" s="445">
        <v>4</v>
      </c>
      <c r="N26" s="445"/>
      <c r="O26" s="445">
        <f>0.3+0.35+0.045+0.05+0.035</f>
        <v>0.78</v>
      </c>
      <c r="P26" s="445"/>
      <c r="Q26" s="445"/>
      <c r="R26" s="445">
        <f>O26*M26*D26</f>
        <v>18.72</v>
      </c>
      <c r="S26" s="606"/>
      <c r="T26" s="445"/>
    </row>
    <row r="27" spans="2:20">
      <c r="B27" s="445" t="s">
        <v>1432</v>
      </c>
      <c r="C27" s="445"/>
      <c r="D27" s="445"/>
      <c r="E27" s="445"/>
      <c r="F27" s="445"/>
      <c r="G27" s="445"/>
      <c r="H27" s="445"/>
      <c r="I27" s="445"/>
      <c r="J27" s="445"/>
      <c r="K27" s="445"/>
      <c r="L27" s="445" t="s">
        <v>1433</v>
      </c>
      <c r="M27" s="445">
        <v>5</v>
      </c>
      <c r="N27" s="445"/>
      <c r="O27" s="445">
        <f>'[4]15Kn'!O30</f>
        <v>1.79</v>
      </c>
      <c r="P27" s="445"/>
      <c r="Q27" s="445"/>
      <c r="R27" s="445"/>
      <c r="S27" s="606">
        <f>O27*M27*D26</f>
        <v>53.699999999999996</v>
      </c>
      <c r="T27" s="445"/>
    </row>
    <row r="28" spans="2:20">
      <c r="B28" s="445"/>
      <c r="C28" s="445"/>
      <c r="D28" s="445"/>
      <c r="E28" s="445"/>
      <c r="F28" s="445"/>
      <c r="G28" s="445"/>
      <c r="H28" s="445"/>
      <c r="I28" s="445"/>
      <c r="J28" s="445"/>
      <c r="K28" s="445"/>
      <c r="L28" s="445"/>
      <c r="M28" s="445"/>
      <c r="N28" s="445"/>
      <c r="O28" s="445"/>
      <c r="P28" s="445"/>
      <c r="Q28" s="445"/>
      <c r="R28" s="445"/>
      <c r="S28" s="606"/>
      <c r="T28" s="445"/>
    </row>
    <row r="29" spans="2:20">
      <c r="B29" s="445" t="s">
        <v>296</v>
      </c>
      <c r="C29" s="445"/>
      <c r="D29" s="445">
        <v>6</v>
      </c>
      <c r="E29" s="445">
        <v>0.23</v>
      </c>
      <c r="F29" s="445">
        <v>0.38</v>
      </c>
      <c r="G29" s="445">
        <f>0.55+0.3+0.6+0.05+3.3</f>
        <v>4.8</v>
      </c>
      <c r="H29" s="445">
        <f>ROUND(D29*E29*F29*G29,2)</f>
        <v>2.52</v>
      </c>
      <c r="I29" s="445"/>
      <c r="J29" s="445"/>
      <c r="K29" s="445"/>
      <c r="L29" s="445" t="s">
        <v>1434</v>
      </c>
      <c r="M29" s="445">
        <v>8</v>
      </c>
      <c r="N29" s="445"/>
      <c r="O29" s="445">
        <f>G29+0.45+0.35+0.6-0.05-0.035</f>
        <v>6.1149999999999993</v>
      </c>
      <c r="P29" s="445"/>
      <c r="Q29" s="445"/>
      <c r="R29" s="445">
        <f>O29*M29*D29</f>
        <v>293.52</v>
      </c>
      <c r="S29" s="606"/>
      <c r="T29" s="445"/>
    </row>
    <row r="30" spans="2:20">
      <c r="B30" s="445" t="s">
        <v>1435</v>
      </c>
      <c r="C30" s="445"/>
      <c r="D30" s="445"/>
      <c r="E30" s="445"/>
      <c r="F30" s="445"/>
      <c r="G30" s="445"/>
      <c r="H30" s="445"/>
      <c r="I30" s="445"/>
      <c r="J30" s="445"/>
      <c r="K30" s="445"/>
      <c r="L30" s="445" t="s">
        <v>1436</v>
      </c>
      <c r="M30" s="445">
        <v>34</v>
      </c>
      <c r="N30" s="445">
        <v>1.21</v>
      </c>
      <c r="O30" s="445"/>
      <c r="P30" s="445"/>
      <c r="Q30" s="445">
        <f>N30*M30*D29</f>
        <v>246.84</v>
      </c>
      <c r="R30" s="445"/>
      <c r="S30" s="606"/>
      <c r="T30" s="445"/>
    </row>
    <row r="31" spans="2:20">
      <c r="B31" s="445" t="s">
        <v>1437</v>
      </c>
      <c r="C31" s="445"/>
      <c r="D31" s="445"/>
      <c r="E31" s="445"/>
      <c r="F31" s="445"/>
      <c r="G31" s="445"/>
      <c r="H31" s="445"/>
      <c r="I31" s="445"/>
      <c r="J31" s="445"/>
      <c r="K31" s="445"/>
      <c r="L31" s="445" t="s">
        <v>1436</v>
      </c>
      <c r="M31" s="445">
        <v>34</v>
      </c>
      <c r="N31" s="445">
        <v>1.04</v>
      </c>
      <c r="O31" s="445"/>
      <c r="P31" s="445"/>
      <c r="Q31" s="445">
        <f>N31*M31*D29</f>
        <v>212.16</v>
      </c>
      <c r="R31" s="445"/>
      <c r="S31" s="606"/>
      <c r="T31" s="445"/>
    </row>
    <row r="32" spans="2:20">
      <c r="B32" s="445"/>
      <c r="C32" s="445"/>
      <c r="D32" s="445"/>
      <c r="E32" s="445"/>
      <c r="F32" s="445"/>
      <c r="G32" s="445"/>
      <c r="H32" s="445"/>
      <c r="I32" s="445"/>
      <c r="J32" s="445"/>
      <c r="K32" s="445"/>
      <c r="L32" s="445" t="s">
        <v>1438</v>
      </c>
      <c r="M32" s="445">
        <v>19</v>
      </c>
      <c r="N32" s="445"/>
      <c r="O32" s="445"/>
      <c r="P32" s="445">
        <v>1.21</v>
      </c>
      <c r="Q32" s="445"/>
      <c r="R32" s="445"/>
      <c r="S32" s="606">
        <f>P32*M32*D29</f>
        <v>137.94</v>
      </c>
      <c r="T32" s="445"/>
    </row>
    <row r="33" spans="1:20">
      <c r="B33" s="445"/>
      <c r="C33" s="445"/>
      <c r="D33" s="445"/>
      <c r="E33" s="445"/>
      <c r="F33" s="445"/>
      <c r="G33" s="445"/>
      <c r="H33" s="445"/>
      <c r="I33" s="445"/>
      <c r="J33" s="445"/>
      <c r="K33" s="445"/>
      <c r="L33" s="445" t="s">
        <v>1438</v>
      </c>
      <c r="M33" s="445">
        <v>19</v>
      </c>
      <c r="N33" s="445"/>
      <c r="O33" s="445"/>
      <c r="P33" s="445">
        <v>1.04</v>
      </c>
      <c r="Q33" s="445"/>
      <c r="R33" s="445"/>
      <c r="S33" s="606">
        <f>P33*M33*D29</f>
        <v>118.56</v>
      </c>
      <c r="T33" s="445"/>
    </row>
    <row r="34" spans="1:20">
      <c r="B34" s="445" t="s">
        <v>293</v>
      </c>
      <c r="C34" s="445"/>
      <c r="D34" s="445">
        <v>2</v>
      </c>
      <c r="E34" s="445">
        <f>6.1+0.23*2</f>
        <v>6.56</v>
      </c>
      <c r="F34" s="445">
        <v>0.23</v>
      </c>
      <c r="G34" s="445">
        <v>0.38</v>
      </c>
      <c r="H34" s="445">
        <f>ROUND(D34*E34*F34*G34,2)</f>
        <v>1.1499999999999999</v>
      </c>
      <c r="I34" s="445"/>
      <c r="J34" s="445"/>
      <c r="K34" s="445" t="s">
        <v>1439</v>
      </c>
      <c r="L34" s="445" t="s">
        <v>1440</v>
      </c>
      <c r="M34" s="445">
        <v>6</v>
      </c>
      <c r="N34" s="445"/>
      <c r="O34" s="445">
        <f>6.33+0.1*2-2*0.04-3*0.23</f>
        <v>5.76</v>
      </c>
      <c r="P34" s="445"/>
      <c r="Q34" s="445"/>
      <c r="R34" s="445">
        <f>O34*M34*2</f>
        <v>69.12</v>
      </c>
      <c r="S34" s="606"/>
      <c r="T34" s="445"/>
    </row>
    <row r="35" spans="1:20">
      <c r="B35" s="445"/>
      <c r="C35" s="445"/>
      <c r="D35" s="445"/>
      <c r="E35" s="445"/>
      <c r="F35" s="445"/>
      <c r="G35" s="445"/>
      <c r="H35" s="445"/>
      <c r="I35" s="445"/>
      <c r="J35" s="445"/>
      <c r="K35" s="445" t="s">
        <v>1432</v>
      </c>
      <c r="L35" s="445" t="s">
        <v>1441</v>
      </c>
      <c r="M35" s="445">
        <f>ROUND((6.33-3*0.23)/0.15+1,0)</f>
        <v>39</v>
      </c>
      <c r="N35" s="445"/>
      <c r="O35" s="445"/>
      <c r="P35" s="445">
        <f>2*(0.23+0.38)-4*0.025</f>
        <v>1.1199999999999999</v>
      </c>
      <c r="Q35" s="445"/>
      <c r="R35" s="445"/>
      <c r="S35" s="606">
        <f>P35*M35*D34</f>
        <v>87.359999999999985</v>
      </c>
      <c r="T35" s="445"/>
    </row>
    <row r="36" spans="1:20">
      <c r="B36" s="445"/>
      <c r="C36" s="445"/>
      <c r="D36" s="445"/>
      <c r="E36" s="445"/>
      <c r="F36" s="445"/>
      <c r="G36" s="445"/>
      <c r="H36" s="445"/>
      <c r="I36" s="445"/>
      <c r="J36" s="445"/>
      <c r="K36" s="445" t="s">
        <v>1442</v>
      </c>
      <c r="L36" s="445" t="s">
        <v>1443</v>
      </c>
      <c r="M36" s="607">
        <f>ROUND(0.69/0.1+1,0)*2</f>
        <v>16</v>
      </c>
      <c r="N36" s="445"/>
      <c r="O36" s="445"/>
      <c r="P36" s="608">
        <f>2*(0.23+0.38)-4*0.025</f>
        <v>1.1199999999999999</v>
      </c>
      <c r="Q36" s="445"/>
      <c r="R36" s="445"/>
      <c r="S36" s="606">
        <f>P36*M36*D34</f>
        <v>35.839999999999996</v>
      </c>
      <c r="T36" s="445"/>
    </row>
    <row r="37" spans="1:20">
      <c r="B37" s="445"/>
      <c r="C37" s="445"/>
      <c r="D37" s="445">
        <v>3</v>
      </c>
      <c r="E37" s="445">
        <v>4.57</v>
      </c>
      <c r="F37" s="445">
        <v>0.23</v>
      </c>
      <c r="G37" s="445">
        <v>0.38</v>
      </c>
      <c r="H37" s="445">
        <f>ROUND(D37*E37*F37*G37,2)</f>
        <v>1.2</v>
      </c>
      <c r="I37" s="445"/>
      <c r="J37" s="445"/>
      <c r="K37" s="445" t="s">
        <v>1444</v>
      </c>
      <c r="L37" s="445" t="s">
        <v>1445</v>
      </c>
      <c r="M37" s="445">
        <v>3</v>
      </c>
      <c r="N37" s="445"/>
      <c r="O37" s="445">
        <f>ROUND(4.8-2*0.04+2*0*(0.38/3),2)</f>
        <v>4.72</v>
      </c>
      <c r="P37" s="445"/>
      <c r="Q37" s="445"/>
      <c r="R37" s="445">
        <f>O37*M37*D37</f>
        <v>42.480000000000004</v>
      </c>
      <c r="S37" s="606"/>
      <c r="T37" s="445"/>
    </row>
    <row r="38" spans="1:20">
      <c r="B38" s="445"/>
      <c r="C38" s="445"/>
      <c r="D38" s="445"/>
      <c r="E38" s="445"/>
      <c r="F38" s="445"/>
      <c r="G38" s="445"/>
      <c r="H38" s="445"/>
      <c r="I38" s="445"/>
      <c r="J38" s="445"/>
      <c r="K38" s="445"/>
      <c r="L38" s="445" t="s">
        <v>1446</v>
      </c>
      <c r="M38" s="445">
        <v>2</v>
      </c>
      <c r="N38" s="445"/>
      <c r="O38" s="445">
        <f>ROUND(4.8-2*0.04+2*0*(0.505/3),2)</f>
        <v>4.72</v>
      </c>
      <c r="P38" s="445"/>
      <c r="Q38" s="445"/>
      <c r="R38" s="445"/>
      <c r="T38" s="445">
        <f>O38*M38*D37</f>
        <v>28.32</v>
      </c>
    </row>
    <row r="39" spans="1:20">
      <c r="B39" s="445"/>
      <c r="C39" s="445"/>
      <c r="D39" s="445"/>
      <c r="E39" s="445"/>
      <c r="F39" s="445"/>
      <c r="G39" s="445"/>
      <c r="H39" s="445"/>
      <c r="I39" s="445"/>
      <c r="J39" s="445"/>
      <c r="K39" s="445" t="s">
        <v>1442</v>
      </c>
      <c r="L39" s="445" t="s">
        <v>1443</v>
      </c>
      <c r="M39" s="607">
        <f>ROUND(0.69/0.1+1,0)*2</f>
        <v>16</v>
      </c>
      <c r="N39" s="445"/>
      <c r="O39" s="445"/>
      <c r="P39" s="608">
        <f>2*(0.23+0.38)-4*0.025</f>
        <v>1.1199999999999999</v>
      </c>
      <c r="Q39" s="445"/>
      <c r="R39" s="445"/>
      <c r="S39" s="606">
        <f>P39*M39*D37</f>
        <v>53.759999999999991</v>
      </c>
      <c r="T39" s="445"/>
    </row>
    <row r="40" spans="1:20">
      <c r="B40" s="445"/>
      <c r="C40" s="445"/>
      <c r="D40" s="445"/>
      <c r="E40" s="445"/>
      <c r="F40" s="445"/>
      <c r="G40" s="445"/>
      <c r="H40" s="445"/>
      <c r="I40" s="445"/>
      <c r="J40" s="445"/>
      <c r="K40" s="445" t="s">
        <v>1447</v>
      </c>
      <c r="L40" s="445" t="s">
        <v>1448</v>
      </c>
      <c r="M40" s="607">
        <f>ROUND((4.57+2*0.38-2*0.38-2*0.69)/0.13+1,0)</f>
        <v>26</v>
      </c>
      <c r="N40" s="445"/>
      <c r="O40" s="445"/>
      <c r="P40" s="608">
        <f>2*(0.23+0.38)-4*0.025</f>
        <v>1.1199999999999999</v>
      </c>
      <c r="Q40" s="445"/>
      <c r="R40" s="445"/>
      <c r="S40" s="606">
        <f>P40*M40*D37</f>
        <v>87.359999999999985</v>
      </c>
      <c r="T40" s="445"/>
    </row>
    <row r="41" spans="1:20">
      <c r="B41" s="445" t="s">
        <v>1449</v>
      </c>
      <c r="C41" s="445"/>
      <c r="D41" s="445"/>
      <c r="E41" s="445"/>
      <c r="F41" s="445"/>
      <c r="G41" s="445"/>
      <c r="H41" s="445"/>
      <c r="I41" s="445"/>
      <c r="J41" s="445"/>
      <c r="K41" s="445"/>
      <c r="L41" s="445"/>
      <c r="M41" s="607"/>
      <c r="N41" s="445"/>
      <c r="O41" s="445"/>
      <c r="P41" s="608"/>
      <c r="Q41" s="445"/>
      <c r="R41" s="445"/>
      <c r="S41" s="606"/>
      <c r="T41" s="445"/>
    </row>
    <row r="42" spans="1:20" ht="22.5">
      <c r="A42" s="480"/>
      <c r="B42" s="609" t="s">
        <v>1450</v>
      </c>
      <c r="C42" s="609"/>
      <c r="D42" s="610">
        <v>2</v>
      </c>
      <c r="E42" s="610">
        <f>6.33</f>
        <v>6.33</v>
      </c>
      <c r="F42" s="610">
        <v>0.23</v>
      </c>
      <c r="G42" s="610">
        <v>0.15</v>
      </c>
      <c r="H42" s="610">
        <f>ROUND(D42*E42*F42*G42,2)</f>
        <v>0.44</v>
      </c>
      <c r="I42" s="610"/>
      <c r="J42" s="609"/>
      <c r="K42" s="610" t="s">
        <v>1439</v>
      </c>
      <c r="L42" s="610" t="s">
        <v>1451</v>
      </c>
      <c r="M42" s="610">
        <v>4</v>
      </c>
      <c r="N42" s="610"/>
      <c r="O42" s="610">
        <f>1.5+2*0.13</f>
        <v>1.76</v>
      </c>
      <c r="P42" s="610"/>
      <c r="Q42" s="610"/>
      <c r="R42" s="610">
        <f>O42*M42*2</f>
        <v>14.08</v>
      </c>
      <c r="S42" s="611"/>
      <c r="T42" s="610"/>
    </row>
    <row r="43" spans="1:20">
      <c r="B43" s="445"/>
      <c r="C43" s="445"/>
      <c r="D43" s="445"/>
      <c r="E43" s="445"/>
      <c r="F43" s="445"/>
      <c r="G43" s="445"/>
      <c r="H43" s="445"/>
      <c r="I43" s="445"/>
      <c r="J43" s="445"/>
      <c r="K43" s="445" t="s">
        <v>1432</v>
      </c>
      <c r="L43" s="445" t="s">
        <v>1452</v>
      </c>
      <c r="M43" s="445">
        <f>ROUND(O42/0.15+1,0)</f>
        <v>13</v>
      </c>
      <c r="N43" s="445"/>
      <c r="O43" s="445"/>
      <c r="P43" s="445">
        <f>2*(0.23+0.15)-4*0.025</f>
        <v>0.66</v>
      </c>
      <c r="Q43" s="445"/>
      <c r="R43" s="445"/>
      <c r="S43" s="606">
        <f>P43*M43*2</f>
        <v>17.16</v>
      </c>
      <c r="T43" s="445"/>
    </row>
    <row r="44" spans="1:20" ht="22.5">
      <c r="A44" s="480"/>
      <c r="B44" s="609" t="s">
        <v>1453</v>
      </c>
      <c r="C44" s="609"/>
      <c r="D44" s="610">
        <v>1</v>
      </c>
      <c r="E44" s="610">
        <v>5.03</v>
      </c>
      <c r="F44" s="610">
        <v>0.23</v>
      </c>
      <c r="G44" s="610">
        <v>0.15</v>
      </c>
      <c r="H44" s="610">
        <f>ROUND(D44*E44*F44*G44,2)</f>
        <v>0.17</v>
      </c>
      <c r="I44" s="610"/>
      <c r="J44" s="609"/>
      <c r="K44" s="610" t="s">
        <v>1444</v>
      </c>
      <c r="L44" s="610" t="s">
        <v>1451</v>
      </c>
      <c r="M44" s="610">
        <v>4</v>
      </c>
      <c r="N44" s="610"/>
      <c r="O44" s="610">
        <f>D3-2*0.04</f>
        <v>4.95</v>
      </c>
      <c r="P44" s="610"/>
      <c r="Q44" s="610"/>
      <c r="R44" s="610">
        <f>O44*M44*2</f>
        <v>39.6</v>
      </c>
      <c r="S44" s="611"/>
      <c r="T44" s="610"/>
    </row>
    <row r="45" spans="1:20">
      <c r="B45" s="445"/>
      <c r="C45" s="445"/>
      <c r="D45" s="445"/>
      <c r="E45" s="445"/>
      <c r="F45" s="445"/>
      <c r="G45" s="445"/>
      <c r="H45" s="445"/>
      <c r="I45" s="445"/>
      <c r="J45" s="445"/>
      <c r="K45" s="445"/>
      <c r="L45" s="445" t="s">
        <v>1454</v>
      </c>
      <c r="M45" s="445">
        <f>ROUND((O44-2*0.23)/0.175+1,0)</f>
        <v>27</v>
      </c>
      <c r="N45" s="445"/>
      <c r="O45" s="445"/>
      <c r="P45" s="445">
        <f>2*(0.23+0.15)-4*0.025</f>
        <v>0.66</v>
      </c>
      <c r="Q45" s="445"/>
      <c r="R45" s="445"/>
      <c r="S45" s="606">
        <f>P45*M45*2</f>
        <v>35.64</v>
      </c>
      <c r="T45" s="445"/>
    </row>
    <row r="46" spans="1:20">
      <c r="B46" s="445" t="s">
        <v>1455</v>
      </c>
      <c r="C46" s="445"/>
      <c r="D46" s="445">
        <v>2</v>
      </c>
      <c r="E46" s="445">
        <f>6.1+0.23*2</f>
        <v>6.56</v>
      </c>
      <c r="F46" s="445">
        <v>0.23</v>
      </c>
      <c r="G46" s="445">
        <v>0.42499999999999999</v>
      </c>
      <c r="H46" s="445">
        <f>ROUND(D46*E46*F46*G46,2)</f>
        <v>1.28</v>
      </c>
      <c r="I46" s="445"/>
      <c r="J46" s="445"/>
      <c r="K46" s="445" t="s">
        <v>1439</v>
      </c>
      <c r="L46" s="445" t="s">
        <v>1440</v>
      </c>
      <c r="M46" s="445">
        <v>6</v>
      </c>
      <c r="N46" s="445"/>
      <c r="O46" s="445">
        <f>6.33+0.1*2-2*0.04-3*0.23</f>
        <v>5.76</v>
      </c>
      <c r="P46" s="445"/>
      <c r="Q46" s="445"/>
      <c r="R46" s="445">
        <f>O46*M46*2</f>
        <v>69.12</v>
      </c>
      <c r="S46" s="606"/>
      <c r="T46" s="445"/>
    </row>
    <row r="47" spans="1:20">
      <c r="B47" s="445"/>
      <c r="C47" s="445"/>
      <c r="D47" s="445"/>
      <c r="E47" s="445"/>
      <c r="F47" s="445"/>
      <c r="G47" s="445"/>
      <c r="H47" s="445"/>
      <c r="I47" s="445"/>
      <c r="J47" s="445"/>
      <c r="K47" s="445" t="s">
        <v>1432</v>
      </c>
      <c r="L47" s="445" t="s">
        <v>1441</v>
      </c>
      <c r="M47" s="445">
        <f>ROUND((6.33-3*0.23)/0.15+1,0)</f>
        <v>39</v>
      </c>
      <c r="N47" s="445"/>
      <c r="O47" s="445"/>
      <c r="P47" s="445">
        <f>2*(0.23+0.425)-4*0.025</f>
        <v>1.21</v>
      </c>
      <c r="Q47" s="445"/>
      <c r="R47" s="445"/>
      <c r="S47" s="606">
        <f>P47*M47*D46</f>
        <v>94.38</v>
      </c>
      <c r="T47" s="445"/>
    </row>
    <row r="48" spans="1:20">
      <c r="B48" s="445"/>
      <c r="C48" s="445"/>
      <c r="D48" s="445">
        <v>3</v>
      </c>
      <c r="E48" s="445">
        <v>4.57</v>
      </c>
      <c r="F48" s="445">
        <v>0.23</v>
      </c>
      <c r="G48" s="445">
        <v>0.505</v>
      </c>
      <c r="H48" s="445">
        <f>ROUND(D48*E48*F48*G48,2)</f>
        <v>1.59</v>
      </c>
      <c r="I48" s="445"/>
      <c r="J48" s="445"/>
      <c r="K48" s="445" t="s">
        <v>1444</v>
      </c>
      <c r="L48" s="445" t="s">
        <v>1456</v>
      </c>
      <c r="M48" s="445">
        <v>3</v>
      </c>
      <c r="N48" s="445"/>
      <c r="O48" s="445">
        <f>ROUND(4.8-2*0.04+2*0*(0.505/3),2)</f>
        <v>4.72</v>
      </c>
      <c r="P48" s="445"/>
      <c r="Q48" s="445"/>
      <c r="R48" s="445">
        <f>O48*M48*D48</f>
        <v>42.480000000000004</v>
      </c>
      <c r="S48" s="606"/>
      <c r="T48" s="445"/>
    </row>
    <row r="49" spans="2:20">
      <c r="B49" s="445"/>
      <c r="C49" s="445"/>
      <c r="D49" s="445"/>
      <c r="E49" s="445"/>
      <c r="F49" s="445"/>
      <c r="G49" s="445"/>
      <c r="H49" s="445"/>
      <c r="I49" s="445"/>
      <c r="J49" s="445"/>
      <c r="K49" s="445"/>
      <c r="L49" s="445" t="s">
        <v>1446</v>
      </c>
      <c r="M49" s="445">
        <v>2</v>
      </c>
      <c r="N49" s="445"/>
      <c r="O49" s="445">
        <f>ROUND(4.8-2*0.04+2*0*(0.505/3),2)</f>
        <v>4.72</v>
      </c>
      <c r="P49" s="445"/>
      <c r="Q49" s="445"/>
      <c r="R49" s="445"/>
      <c r="T49" s="445">
        <f>O49*M49*D48</f>
        <v>28.32</v>
      </c>
    </row>
    <row r="50" spans="2:20">
      <c r="B50" s="445"/>
      <c r="C50" s="445"/>
      <c r="D50" s="445"/>
      <c r="E50" s="445"/>
      <c r="F50" s="445"/>
      <c r="G50" s="445"/>
      <c r="H50" s="445"/>
      <c r="I50" s="445"/>
      <c r="J50" s="445"/>
      <c r="K50" s="445"/>
      <c r="L50" s="445" t="s">
        <v>1454</v>
      </c>
      <c r="M50" s="445">
        <f>ROUND((4.8-2*0.35)/0.15+1,0)</f>
        <v>28</v>
      </c>
      <c r="N50" s="445"/>
      <c r="O50" s="445"/>
      <c r="P50" s="445">
        <f>2*(0.23+0.15)-4*0.025</f>
        <v>0.66</v>
      </c>
      <c r="Q50" s="445"/>
      <c r="R50" s="445"/>
      <c r="S50" s="606">
        <f>P50*M50*D48</f>
        <v>55.44</v>
      </c>
      <c r="T50" s="445"/>
    </row>
    <row r="51" spans="2:20">
      <c r="B51" s="445" t="s">
        <v>1457</v>
      </c>
      <c r="C51" s="445"/>
      <c r="D51" s="445"/>
      <c r="E51" s="445"/>
      <c r="F51" s="445"/>
      <c r="G51" s="445"/>
      <c r="H51" s="445"/>
      <c r="I51" s="445"/>
      <c r="J51" s="445"/>
      <c r="K51" s="445"/>
      <c r="L51" s="445"/>
      <c r="M51" s="445"/>
      <c r="N51" s="445"/>
      <c r="O51" s="445"/>
      <c r="P51" s="445"/>
      <c r="Q51" s="445"/>
      <c r="R51" s="445"/>
      <c r="S51" s="445"/>
      <c r="T51" s="445"/>
    </row>
    <row r="52" spans="2:20">
      <c r="B52" s="445" t="s">
        <v>1458</v>
      </c>
      <c r="C52" s="445"/>
      <c r="D52" s="445"/>
      <c r="E52" s="445"/>
      <c r="F52" s="445"/>
      <c r="G52" s="445"/>
      <c r="H52" s="445"/>
      <c r="I52" s="445"/>
      <c r="J52" s="445"/>
      <c r="K52" s="445"/>
      <c r="L52" s="445"/>
      <c r="M52" s="445"/>
      <c r="N52" s="445"/>
      <c r="O52" s="445"/>
      <c r="P52" s="445"/>
      <c r="Q52" s="445"/>
      <c r="R52" s="445"/>
      <c r="S52" s="445"/>
      <c r="T52" s="445"/>
    </row>
    <row r="53" spans="2:20">
      <c r="B53" s="445" t="s">
        <v>1459</v>
      </c>
      <c r="C53" s="445"/>
      <c r="D53" s="445"/>
      <c r="E53" s="445"/>
      <c r="F53" s="445"/>
      <c r="G53" s="445"/>
      <c r="H53" s="445"/>
      <c r="I53" s="445"/>
      <c r="J53" s="445"/>
      <c r="K53" s="445"/>
      <c r="L53" s="612" t="s">
        <v>1460</v>
      </c>
      <c r="M53" s="445">
        <f>ROUND((2*E4/0.175+1),0)+ROUND((2*F4/2/0.175+1),0)</f>
        <v>28</v>
      </c>
      <c r="N53" s="445"/>
      <c r="O53" s="445"/>
      <c r="P53" s="608">
        <f>L6+2*0.3-2*0.025</f>
        <v>7.1099999999999994</v>
      </c>
      <c r="Q53" s="445"/>
      <c r="R53" s="445"/>
      <c r="S53" s="445">
        <f>P53*M53</f>
        <v>199.07999999999998</v>
      </c>
      <c r="T53" s="445"/>
    </row>
    <row r="54" spans="2:20">
      <c r="B54" s="612" t="s">
        <v>1461</v>
      </c>
      <c r="C54" s="612"/>
      <c r="D54" s="445"/>
      <c r="E54" s="445"/>
      <c r="F54" s="445"/>
      <c r="G54" s="445"/>
      <c r="H54" s="445"/>
      <c r="I54" s="445"/>
      <c r="J54" s="612"/>
      <c r="K54" s="445"/>
      <c r="L54" s="612" t="s">
        <v>1462</v>
      </c>
      <c r="M54" s="445">
        <f>ROUND(F4/2/0.175+1,0)</f>
        <v>11</v>
      </c>
      <c r="N54" s="445"/>
      <c r="O54" s="445"/>
      <c r="P54" s="445">
        <f>P53+2*2*0.05</f>
        <v>7.31</v>
      </c>
      <c r="Q54" s="445"/>
      <c r="R54" s="445"/>
      <c r="S54" s="445">
        <f t="shared" ref="S54:S63" si="0">P54*M54</f>
        <v>80.41</v>
      </c>
      <c r="T54" s="445"/>
    </row>
    <row r="55" spans="2:20">
      <c r="B55" s="612" t="s">
        <v>1463</v>
      </c>
      <c r="C55" s="612"/>
      <c r="D55" s="445"/>
      <c r="E55" s="445"/>
      <c r="F55" s="445"/>
      <c r="G55" s="445"/>
      <c r="H55" s="445"/>
      <c r="I55" s="445"/>
      <c r="J55" s="612"/>
      <c r="K55" s="445"/>
      <c r="L55" s="612" t="s">
        <v>1464</v>
      </c>
      <c r="M55" s="445">
        <f>2*ROUND(E4/0.175+1,0)</f>
        <v>8</v>
      </c>
      <c r="N55" s="445"/>
      <c r="O55" s="445"/>
      <c r="P55" s="608">
        <f>P53-1*0.025</f>
        <v>7.0849999999999991</v>
      </c>
      <c r="Q55" s="445"/>
      <c r="R55" s="445"/>
      <c r="S55" s="445">
        <f t="shared" si="0"/>
        <v>56.679999999999993</v>
      </c>
      <c r="T55" s="445"/>
    </row>
    <row r="56" spans="2:20">
      <c r="B56" s="612" t="s">
        <v>1465</v>
      </c>
      <c r="C56" s="612"/>
      <c r="D56" s="445"/>
      <c r="E56" s="445"/>
      <c r="F56" s="445"/>
      <c r="G56" s="445"/>
      <c r="H56" s="445"/>
      <c r="I56" s="445"/>
      <c r="J56" s="612"/>
      <c r="K56" s="445"/>
      <c r="L56" s="612" t="s">
        <v>1462</v>
      </c>
      <c r="M56" s="445">
        <f>M54</f>
        <v>11</v>
      </c>
      <c r="N56" s="445"/>
      <c r="O56" s="445"/>
      <c r="P56" s="445">
        <f>ROUND(3.165*0.3*2+0.23,2)</f>
        <v>2.13</v>
      </c>
      <c r="Q56" s="445"/>
      <c r="R56" s="445"/>
      <c r="S56" s="445">
        <f t="shared" si="0"/>
        <v>23.43</v>
      </c>
      <c r="T56" s="445"/>
    </row>
    <row r="57" spans="2:20">
      <c r="B57" s="612" t="s">
        <v>1466</v>
      </c>
      <c r="C57" s="612"/>
      <c r="D57" s="445"/>
      <c r="E57" s="445"/>
      <c r="F57" s="445"/>
      <c r="G57" s="445"/>
      <c r="H57" s="445"/>
      <c r="I57" s="445"/>
      <c r="J57" s="612"/>
      <c r="K57" s="445"/>
      <c r="L57" s="612" t="s">
        <v>1467</v>
      </c>
      <c r="M57" s="445">
        <f>M56*2</f>
        <v>22</v>
      </c>
      <c r="N57" s="445"/>
      <c r="O57" s="445"/>
      <c r="P57" s="445">
        <f>ROUND(3.165*0.3+0.23,2)-1*0.025</f>
        <v>1.155</v>
      </c>
      <c r="Q57" s="445"/>
      <c r="R57" s="445"/>
      <c r="S57" s="445">
        <f t="shared" si="0"/>
        <v>25.41</v>
      </c>
      <c r="T57" s="445"/>
    </row>
    <row r="58" spans="2:20">
      <c r="B58" s="445" t="s">
        <v>1468</v>
      </c>
      <c r="C58" s="445"/>
      <c r="D58" s="445"/>
      <c r="E58" s="445"/>
      <c r="F58" s="445"/>
      <c r="G58" s="445"/>
      <c r="H58" s="445"/>
      <c r="I58" s="445"/>
      <c r="J58" s="445"/>
      <c r="K58" s="445"/>
      <c r="L58" s="445"/>
      <c r="M58" s="445"/>
      <c r="N58" s="445"/>
      <c r="O58" s="445"/>
      <c r="P58" s="445"/>
      <c r="Q58" s="445"/>
      <c r="R58" s="445"/>
      <c r="S58" s="445"/>
      <c r="T58" s="445"/>
    </row>
    <row r="59" spans="2:20">
      <c r="B59" s="445" t="s">
        <v>1459</v>
      </c>
      <c r="C59" s="445"/>
      <c r="D59" s="445"/>
      <c r="E59" s="445"/>
      <c r="F59" s="445"/>
      <c r="G59" s="445"/>
      <c r="H59" s="445"/>
      <c r="I59" s="445"/>
      <c r="J59" s="445"/>
      <c r="K59" s="445"/>
      <c r="L59" s="612" t="s">
        <v>1469</v>
      </c>
      <c r="M59" s="445">
        <f>ROUND((2*K7/0.175+1)+(2*K8/2/0.175+1)+(2*K11/0.175+1),0)</f>
        <v>26</v>
      </c>
      <c r="N59" s="445"/>
      <c r="O59" s="445"/>
      <c r="P59" s="445">
        <f>D3+2*0.3-2*0.025</f>
        <v>5.58</v>
      </c>
      <c r="Q59" s="445"/>
      <c r="R59" s="445"/>
      <c r="S59" s="445">
        <f t="shared" si="0"/>
        <v>145.08000000000001</v>
      </c>
      <c r="T59" s="445"/>
    </row>
    <row r="60" spans="2:20">
      <c r="B60" s="612" t="s">
        <v>1461</v>
      </c>
      <c r="C60" s="612"/>
      <c r="D60" s="445"/>
      <c r="E60" s="445"/>
      <c r="F60" s="445"/>
      <c r="G60" s="445"/>
      <c r="H60" s="445"/>
      <c r="I60" s="445"/>
      <c r="J60" s="612"/>
      <c r="K60" s="445"/>
      <c r="L60" s="612" t="s">
        <v>1470</v>
      </c>
      <c r="M60" s="445">
        <f>2*ROUND(K8/2/0.175+1,0)</f>
        <v>12</v>
      </c>
      <c r="N60" s="445"/>
      <c r="O60" s="445"/>
      <c r="P60" s="445">
        <f>P59+2*0.05</f>
        <v>5.68</v>
      </c>
      <c r="Q60" s="445"/>
      <c r="R60" s="445"/>
      <c r="S60" s="445">
        <f t="shared" si="0"/>
        <v>68.16</v>
      </c>
      <c r="T60" s="445"/>
    </row>
    <row r="61" spans="2:20">
      <c r="B61" s="612" t="s">
        <v>1463</v>
      </c>
      <c r="C61" s="612"/>
      <c r="D61" s="445"/>
      <c r="E61" s="445"/>
      <c r="F61" s="445"/>
      <c r="G61" s="445"/>
      <c r="H61" s="445"/>
      <c r="I61" s="445"/>
      <c r="J61" s="612"/>
      <c r="K61" s="445"/>
      <c r="L61" s="612" t="s">
        <v>1470</v>
      </c>
      <c r="M61" s="445">
        <f>2*ROUND((K7+2*0.3)/0.175+1,0)</f>
        <v>12</v>
      </c>
      <c r="N61" s="445"/>
      <c r="O61" s="445"/>
      <c r="P61" s="445">
        <f>P59</f>
        <v>5.58</v>
      </c>
      <c r="Q61" s="445"/>
      <c r="R61" s="445"/>
      <c r="S61" s="445">
        <f t="shared" si="0"/>
        <v>66.960000000000008</v>
      </c>
      <c r="T61" s="445"/>
    </row>
    <row r="62" spans="2:20">
      <c r="B62" s="612" t="s">
        <v>1471</v>
      </c>
      <c r="C62" s="612"/>
      <c r="D62" s="445"/>
      <c r="E62" s="445"/>
      <c r="F62" s="445"/>
      <c r="G62" s="445"/>
      <c r="H62" s="445"/>
      <c r="I62" s="445"/>
      <c r="J62" s="612"/>
      <c r="K62" s="445"/>
      <c r="L62" s="612" t="s">
        <v>1472</v>
      </c>
      <c r="M62" s="445">
        <f>2*ROUND(K11/0.175+1,0)</f>
        <v>10</v>
      </c>
      <c r="N62" s="445"/>
      <c r="O62" s="445"/>
      <c r="P62" s="445">
        <f>P61</f>
        <v>5.58</v>
      </c>
      <c r="Q62" s="445"/>
      <c r="R62" s="445"/>
      <c r="S62" s="445">
        <f t="shared" si="0"/>
        <v>55.8</v>
      </c>
      <c r="T62" s="445"/>
    </row>
    <row r="63" spans="2:20">
      <c r="B63" s="612" t="s">
        <v>1466</v>
      </c>
      <c r="C63" s="612"/>
      <c r="D63" s="445"/>
      <c r="E63" s="445"/>
      <c r="F63" s="445"/>
      <c r="G63" s="445"/>
      <c r="H63" s="445"/>
      <c r="I63" s="445"/>
      <c r="J63" s="612"/>
      <c r="K63" s="445"/>
      <c r="L63" s="612" t="s">
        <v>1470</v>
      </c>
      <c r="M63" s="445">
        <f>M60</f>
        <v>12</v>
      </c>
      <c r="N63" s="445"/>
      <c r="O63" s="445"/>
      <c r="P63" s="608">
        <f>(D3-0.23)*0.3+0.3+0.23-1*0.025</f>
        <v>1.9450000000000001</v>
      </c>
      <c r="Q63" s="445"/>
      <c r="R63" s="445"/>
      <c r="S63" s="445">
        <f t="shared" si="0"/>
        <v>23.34</v>
      </c>
      <c r="T63" s="445"/>
    </row>
    <row r="64" spans="2:20">
      <c r="B64" s="445"/>
      <c r="C64" s="445"/>
      <c r="D64" s="445"/>
      <c r="E64" s="445"/>
      <c r="F64" s="445"/>
      <c r="G64" s="445"/>
      <c r="H64" s="445"/>
      <c r="I64" s="445"/>
      <c r="J64" s="445"/>
      <c r="K64" s="445"/>
      <c r="L64" s="445"/>
      <c r="M64" s="445"/>
      <c r="N64" s="445">
        <f>SUM(N24:N50)</f>
        <v>5.6499999999999995</v>
      </c>
      <c r="O64" s="445">
        <f>SUM(O24:O50)</f>
        <v>45.794999999999995</v>
      </c>
      <c r="P64" s="445"/>
      <c r="Q64" s="445">
        <f>SUM(Q24:Q63)</f>
        <v>683.4</v>
      </c>
      <c r="R64" s="445">
        <f>SUM(R24:R63)</f>
        <v>589.12000000000012</v>
      </c>
      <c r="S64" s="445">
        <f>SUM(S24:S63)</f>
        <v>1521.49</v>
      </c>
      <c r="T64" s="445">
        <f>SUM(T24:T63)</f>
        <v>56.64</v>
      </c>
    </row>
    <row r="65" spans="16:20">
      <c r="P65" s="613" t="s">
        <v>1473</v>
      </c>
      <c r="Q65" s="614">
        <v>0.62</v>
      </c>
      <c r="R65" s="614">
        <v>0.89</v>
      </c>
      <c r="S65" s="615">
        <v>0.39500000000000002</v>
      </c>
      <c r="T65" s="614">
        <v>1.58</v>
      </c>
    </row>
    <row r="66" spans="16:20">
      <c r="Q66" s="569">
        <f>Q64*Q65</f>
        <v>423.70799999999997</v>
      </c>
      <c r="R66" s="569">
        <f>R64*R65</f>
        <v>524.31680000000006</v>
      </c>
      <c r="S66" s="569">
        <f>S64*S65</f>
        <v>600.98855000000003</v>
      </c>
      <c r="T66" s="569">
        <f>T64*T65</f>
        <v>89.491200000000006</v>
      </c>
    </row>
  </sheetData>
  <mergeCells count="28">
    <mergeCell ref="Q21:T21"/>
    <mergeCell ref="F14:G16"/>
    <mergeCell ref="H14:H16"/>
    <mergeCell ref="K14:K16"/>
    <mergeCell ref="E17:H17"/>
    <mergeCell ref="D18:I18"/>
    <mergeCell ref="C19:J19"/>
    <mergeCell ref="E11:H11"/>
    <mergeCell ref="E12:H12"/>
    <mergeCell ref="E13:H13"/>
    <mergeCell ref="E14:E16"/>
    <mergeCell ref="N21:P21"/>
    <mergeCell ref="C2:J2"/>
    <mergeCell ref="D3:I3"/>
    <mergeCell ref="F4:G4"/>
    <mergeCell ref="C5:J5"/>
    <mergeCell ref="M5:M19"/>
    <mergeCell ref="C6:C18"/>
    <mergeCell ref="D6:I6"/>
    <mergeCell ref="J6:J18"/>
    <mergeCell ref="L6:L18"/>
    <mergeCell ref="D7:D17"/>
    <mergeCell ref="E7:H7"/>
    <mergeCell ref="I7:I17"/>
    <mergeCell ref="E8:E10"/>
    <mergeCell ref="F8:G10"/>
    <mergeCell ref="H8:H10"/>
    <mergeCell ref="K8:K10"/>
  </mergeCells>
  <pageMargins left="0.7" right="0.7" top="0.75" bottom="0.75" header="0.3" footer="0.3"/>
  <pageSetup orientation="portrait" verticalDpi="0" r:id="rId1"/>
</worksheet>
</file>

<file path=xl/worksheets/sheet32.xml><?xml version="1.0" encoding="utf-8"?>
<worksheet xmlns="http://schemas.openxmlformats.org/spreadsheetml/2006/main" xmlns:r="http://schemas.openxmlformats.org/officeDocument/2006/relationships">
  <dimension ref="A2:W63"/>
  <sheetViews>
    <sheetView topLeftCell="M22" workbookViewId="0">
      <selection activeCell="G35" sqref="G35:I41"/>
    </sheetView>
  </sheetViews>
  <sheetFormatPr defaultRowHeight="12.75"/>
  <cols>
    <col min="2" max="2" width="2.7109375" customWidth="1"/>
    <col min="3" max="3" width="4.140625" customWidth="1"/>
    <col min="4" max="4" width="18.42578125" customWidth="1"/>
    <col min="5" max="5" width="7" customWidth="1"/>
    <col min="6" max="6" width="2.7109375" customWidth="1"/>
    <col min="7" max="7" width="4.140625" customWidth="1"/>
    <col min="8" max="8" width="9.85546875" customWidth="1"/>
    <col min="9" max="9" width="4.140625" customWidth="1"/>
    <col min="10" max="10" width="2.7109375" customWidth="1"/>
    <col min="11" max="11" width="6.5703125" customWidth="1"/>
    <col min="12" max="12" width="17.42578125" customWidth="1"/>
    <col min="13" max="13" width="3.85546875" customWidth="1"/>
    <col min="14" max="14" width="2.7109375" customWidth="1"/>
    <col min="15" max="15" width="4.85546875" customWidth="1"/>
  </cols>
  <sheetData>
    <row r="2" spans="1:23" ht="21">
      <c r="B2" s="1451">
        <v>8.84</v>
      </c>
      <c r="C2" s="1452"/>
      <c r="D2" s="1452"/>
      <c r="E2" s="1452"/>
      <c r="F2" s="1452"/>
      <c r="G2" s="1452"/>
      <c r="H2" s="1452"/>
      <c r="I2" s="1452"/>
      <c r="J2" s="1452"/>
      <c r="K2" s="1452"/>
      <c r="L2" s="1452"/>
      <c r="M2" s="1452"/>
      <c r="N2" s="1453"/>
      <c r="O2" s="625"/>
    </row>
    <row r="3" spans="1:23">
      <c r="C3" s="543">
        <f>ROUND(C8/0.175,0)+1</f>
        <v>3</v>
      </c>
      <c r="D3" s="543">
        <f>ROUND(D8/0.175,0)+1</f>
        <v>13</v>
      </c>
      <c r="E3" s="543">
        <f>ROUND(E8/0.175,0)+1</f>
        <v>5</v>
      </c>
      <c r="G3" s="543">
        <f>ROUND(G8/0.175,0)+1</f>
        <v>3</v>
      </c>
      <c r="H3" s="543">
        <f>ROUND(H8/0.175,0)+1</f>
        <v>7</v>
      </c>
      <c r="I3" s="543">
        <f>ROUND(I8/0.175,0)+1</f>
        <v>3</v>
      </c>
      <c r="J3" s="543"/>
      <c r="K3" s="543">
        <f>ROUND(K8/0.175,0)+1</f>
        <v>5</v>
      </c>
      <c r="L3" s="543">
        <f>ROUND(L8/0.175,0)+1</f>
        <v>12</v>
      </c>
      <c r="M3" s="543">
        <f>ROUND(M8/0.175,0)+1</f>
        <v>3</v>
      </c>
    </row>
    <row r="4" spans="1:23">
      <c r="B4" s="621"/>
      <c r="C4" s="694"/>
      <c r="D4" s="694"/>
      <c r="E4" s="694"/>
      <c r="F4" s="623"/>
      <c r="G4" s="694"/>
      <c r="H4" s="694"/>
      <c r="I4" s="694"/>
      <c r="J4" s="695"/>
      <c r="K4" s="543"/>
      <c r="L4" s="543"/>
      <c r="M4" s="543"/>
      <c r="P4" s="1456">
        <v>1.35</v>
      </c>
      <c r="S4">
        <f>4.5*0.3048</f>
        <v>1.3716000000000002</v>
      </c>
    </row>
    <row r="5" spans="1:23">
      <c r="B5" s="625"/>
      <c r="C5" s="543"/>
      <c r="D5" s="543"/>
      <c r="E5" s="543"/>
      <c r="G5" s="543"/>
      <c r="H5" s="543"/>
      <c r="I5" s="543"/>
      <c r="J5" s="693"/>
      <c r="K5" s="543"/>
      <c r="L5" s="543"/>
      <c r="M5" s="543"/>
      <c r="P5" s="1456"/>
      <c r="S5">
        <f>S4-0.115</f>
        <v>1.2566000000000002</v>
      </c>
      <c r="U5">
        <f>3.3-0.425</f>
        <v>2.875</v>
      </c>
    </row>
    <row r="6" spans="1:23">
      <c r="B6" s="625"/>
      <c r="C6" s="543"/>
      <c r="D6" s="543"/>
      <c r="E6" s="543"/>
      <c r="G6" s="543"/>
      <c r="H6" s="543"/>
      <c r="I6" s="543"/>
      <c r="J6" s="693"/>
      <c r="K6" s="543"/>
      <c r="L6" s="543"/>
      <c r="M6" s="543"/>
      <c r="P6" s="1456"/>
    </row>
    <row r="7" spans="1:23">
      <c r="B7" s="625"/>
      <c r="C7" s="1455">
        <v>3.39</v>
      </c>
      <c r="D7" s="1455"/>
      <c r="E7" s="1455"/>
      <c r="G7" s="1366">
        <v>2.06</v>
      </c>
      <c r="H7" s="1366"/>
      <c r="I7" s="1366"/>
      <c r="J7" s="626"/>
      <c r="K7" s="1366">
        <v>3.16</v>
      </c>
      <c r="L7" s="1366"/>
      <c r="M7" s="1366"/>
      <c r="P7" s="1456"/>
      <c r="S7">
        <v>5.68</v>
      </c>
      <c r="T7">
        <v>1.35</v>
      </c>
      <c r="U7">
        <f>ROUND(S7*T7,2)</f>
        <v>7.67</v>
      </c>
      <c r="V7">
        <v>1010.47</v>
      </c>
      <c r="W7">
        <f>ROUND(U7*V7,0)</f>
        <v>7750</v>
      </c>
    </row>
    <row r="8" spans="1:23">
      <c r="B8" s="636">
        <v>0.23</v>
      </c>
      <c r="C8" s="616">
        <v>0.39</v>
      </c>
      <c r="D8" s="605">
        <v>2.04</v>
      </c>
      <c r="E8" s="617">
        <v>0.73</v>
      </c>
      <c r="F8" s="618">
        <v>0.23</v>
      </c>
      <c r="G8" s="619">
        <v>0.39</v>
      </c>
      <c r="H8" s="543">
        <f>1.83-0.39-0.39</f>
        <v>1.0499999999999998</v>
      </c>
      <c r="I8" s="619">
        <v>0.39</v>
      </c>
      <c r="J8" s="696">
        <v>0.23</v>
      </c>
      <c r="K8">
        <v>0.68</v>
      </c>
      <c r="L8" s="605">
        <v>1.89</v>
      </c>
      <c r="M8" s="660">
        <v>0.36</v>
      </c>
      <c r="N8" s="618">
        <v>0.23</v>
      </c>
      <c r="O8" t="s">
        <v>1425</v>
      </c>
      <c r="P8" s="1456"/>
    </row>
    <row r="9" spans="1:23">
      <c r="A9">
        <v>0.23</v>
      </c>
      <c r="B9" s="621"/>
      <c r="C9" s="622"/>
      <c r="D9" s="622"/>
      <c r="E9" s="622"/>
      <c r="F9" s="623"/>
      <c r="G9" s="623"/>
      <c r="H9" s="623"/>
      <c r="I9" s="623"/>
      <c r="J9" s="623"/>
      <c r="K9" s="623"/>
      <c r="L9" s="623"/>
      <c r="M9" s="623"/>
      <c r="N9" s="624"/>
      <c r="S9">
        <v>1.5</v>
      </c>
      <c r="T9">
        <v>1.35</v>
      </c>
      <c r="U9">
        <f>-ROUND(S9*T9,2)</f>
        <v>-2.0299999999999998</v>
      </c>
    </row>
    <row r="10" spans="1:23">
      <c r="A10">
        <v>0.4</v>
      </c>
      <c r="B10" s="625"/>
      <c r="C10" s="621"/>
      <c r="E10" s="624"/>
      <c r="G10" s="621"/>
      <c r="H10" s="623"/>
      <c r="I10" s="624"/>
      <c r="J10" s="639"/>
      <c r="K10" s="621"/>
      <c r="L10" s="623"/>
      <c r="M10" s="624"/>
      <c r="N10" s="626"/>
      <c r="O10" s="568">
        <f>ROUND(A10/0.175,0)+1</f>
        <v>3</v>
      </c>
      <c r="P10" s="1456">
        <v>3.4649999999999999</v>
      </c>
      <c r="S10">
        <f>5.69-2.29</f>
        <v>3.4000000000000004</v>
      </c>
      <c r="T10">
        <v>1.05</v>
      </c>
      <c r="U10">
        <f>ROUND(S10*T10,2)</f>
        <v>3.57</v>
      </c>
    </row>
    <row r="11" spans="1:23">
      <c r="A11" s="1457">
        <v>2.085</v>
      </c>
      <c r="B11" s="625"/>
      <c r="C11" s="625"/>
      <c r="D11" s="1458"/>
      <c r="E11" s="626"/>
      <c r="G11" s="625"/>
      <c r="H11" s="1458"/>
      <c r="I11" s="626"/>
      <c r="J11" s="639"/>
      <c r="K11" s="661"/>
      <c r="L11" s="1458"/>
      <c r="M11" s="626"/>
      <c r="N11" s="626"/>
      <c r="O11" s="1456">
        <f>ROUND(A11/0.175,0)+1</f>
        <v>13</v>
      </c>
      <c r="P11" s="1456"/>
      <c r="S11">
        <v>1.25</v>
      </c>
      <c r="T11">
        <v>3.1749999999999998</v>
      </c>
      <c r="U11">
        <f>ROUND(S11*T11,2)</f>
        <v>3.97</v>
      </c>
    </row>
    <row r="12" spans="1:23">
      <c r="A12" s="1457"/>
      <c r="B12" s="625"/>
      <c r="C12" s="625"/>
      <c r="D12" s="1458"/>
      <c r="E12" s="626"/>
      <c r="G12" s="625"/>
      <c r="H12" s="1458"/>
      <c r="I12" s="626"/>
      <c r="J12" s="639"/>
      <c r="K12" s="661"/>
      <c r="L12" s="1458"/>
      <c r="M12" s="626"/>
      <c r="N12" s="626"/>
      <c r="O12" s="1456"/>
      <c r="P12" s="1456"/>
      <c r="S12">
        <v>2.29</v>
      </c>
      <c r="T12">
        <v>3.1749999999999998</v>
      </c>
      <c r="U12">
        <f>ROUND(S12*T12,2)</f>
        <v>7.27</v>
      </c>
    </row>
    <row r="13" spans="1:23">
      <c r="A13" s="1457"/>
      <c r="B13" s="625"/>
      <c r="C13" s="625"/>
      <c r="D13" s="1458"/>
      <c r="E13" s="626"/>
      <c r="G13" s="625"/>
      <c r="H13" s="1458"/>
      <c r="I13" s="626"/>
      <c r="J13" s="639"/>
      <c r="K13" s="661"/>
      <c r="L13" s="1458"/>
      <c r="M13" s="626"/>
      <c r="N13" s="626"/>
      <c r="O13" s="1456"/>
      <c r="P13" s="1456"/>
      <c r="S13">
        <v>1.25</v>
      </c>
      <c r="T13">
        <v>1.05</v>
      </c>
      <c r="U13">
        <f>ROUND(S13*T13,2)</f>
        <v>1.31</v>
      </c>
    </row>
    <row r="14" spans="1:23">
      <c r="A14" s="1457"/>
      <c r="B14" s="625"/>
      <c r="C14" s="625"/>
      <c r="D14" s="1458"/>
      <c r="E14" s="626"/>
      <c r="G14" s="625"/>
      <c r="H14" s="1458"/>
      <c r="I14" s="626"/>
      <c r="J14" s="639"/>
      <c r="K14" s="661"/>
      <c r="L14" s="1458"/>
      <c r="M14" s="626"/>
      <c r="N14" s="626"/>
      <c r="O14" s="1456"/>
      <c r="P14" s="1456"/>
      <c r="S14">
        <v>1.5</v>
      </c>
      <c r="T14">
        <v>1.35</v>
      </c>
      <c r="U14">
        <f>-ROUND(S14*T14,2)</f>
        <v>-2.0299999999999998</v>
      </c>
    </row>
    <row r="15" spans="1:23">
      <c r="A15" s="1457"/>
      <c r="B15" s="625"/>
      <c r="C15" s="625"/>
      <c r="D15" s="1458"/>
      <c r="E15" s="626"/>
      <c r="G15" s="625"/>
      <c r="H15" s="1458"/>
      <c r="I15" s="626"/>
      <c r="J15" s="639"/>
      <c r="K15" s="661"/>
      <c r="L15" s="1458"/>
      <c r="M15" s="626"/>
      <c r="N15" s="626"/>
      <c r="O15" s="1456"/>
      <c r="P15" s="1456"/>
      <c r="U15">
        <f>SUM(U10:U14)</f>
        <v>14.089999999999998</v>
      </c>
      <c r="V15">
        <v>6703.63</v>
      </c>
      <c r="W15">
        <f>ROUND(U15*V15/10,0)</f>
        <v>9445</v>
      </c>
    </row>
    <row r="16" spans="1:23">
      <c r="A16" s="1457"/>
      <c r="B16" s="625"/>
      <c r="C16" s="625"/>
      <c r="D16" s="1458"/>
      <c r="E16" s="626"/>
      <c r="G16" s="625"/>
      <c r="H16" s="1458"/>
      <c r="I16" s="626"/>
      <c r="J16" s="639"/>
      <c r="K16" s="661"/>
      <c r="L16" s="1458"/>
      <c r="M16" s="626"/>
      <c r="N16" s="626"/>
      <c r="O16" s="1456"/>
      <c r="P16" s="1456"/>
      <c r="S16">
        <v>3.2749999999999999</v>
      </c>
      <c r="T16">
        <v>1.25</v>
      </c>
      <c r="U16">
        <f>ROUND(S16*T16,2)</f>
        <v>4.09</v>
      </c>
      <c r="V16">
        <v>670.03</v>
      </c>
      <c r="W16">
        <f>ROUND(U16*V16,0)</f>
        <v>2740</v>
      </c>
    </row>
    <row r="17" spans="1:23">
      <c r="A17" s="1457"/>
      <c r="B17" s="625"/>
      <c r="C17" s="625"/>
      <c r="D17" s="1458"/>
      <c r="E17" s="626"/>
      <c r="G17" s="625"/>
      <c r="H17" s="1458"/>
      <c r="I17" s="626"/>
      <c r="J17" s="639"/>
      <c r="K17" s="661"/>
      <c r="L17" s="1458"/>
      <c r="M17" s="626"/>
      <c r="N17" s="626"/>
      <c r="O17" s="1456"/>
      <c r="P17" s="1456"/>
    </row>
    <row r="18" spans="1:23">
      <c r="A18" s="1457"/>
      <c r="B18" s="625"/>
      <c r="C18" s="625"/>
      <c r="D18" s="1458"/>
      <c r="E18" s="626"/>
      <c r="G18" s="625"/>
      <c r="H18" s="1458"/>
      <c r="I18" s="626"/>
      <c r="J18" s="639"/>
      <c r="K18" s="661"/>
      <c r="L18" s="1458"/>
      <c r="M18" s="626"/>
      <c r="N18" s="626"/>
      <c r="O18" s="1456"/>
      <c r="P18" s="1456"/>
      <c r="S18">
        <v>2.1749999999999998</v>
      </c>
      <c r="T18">
        <v>1.25</v>
      </c>
      <c r="U18">
        <f>ROUND(S18*T18,2)</f>
        <v>2.72</v>
      </c>
      <c r="V18">
        <v>972.89</v>
      </c>
      <c r="W18">
        <f>ROUND(U18*V18,0)</f>
        <v>2646</v>
      </c>
    </row>
    <row r="19" spans="1:23">
      <c r="A19" s="1457"/>
      <c r="B19" s="625"/>
      <c r="C19" s="625"/>
      <c r="D19" s="1458"/>
      <c r="E19" s="626"/>
      <c r="G19" s="625"/>
      <c r="H19" s="1458"/>
      <c r="I19" s="626"/>
      <c r="J19" s="639"/>
      <c r="K19" s="661"/>
      <c r="L19" s="1458"/>
      <c r="M19" s="626"/>
      <c r="N19" s="626"/>
      <c r="O19" s="1456"/>
      <c r="P19" s="1456"/>
      <c r="R19">
        <v>1.8</v>
      </c>
      <c r="S19">
        <v>1.25</v>
      </c>
      <c r="T19">
        <v>0.15</v>
      </c>
      <c r="U19">
        <f>ROUND(S19*T19,2)</f>
        <v>0.19</v>
      </c>
      <c r="V19">
        <v>978.34</v>
      </c>
      <c r="W19">
        <f>ROUND(U19*V19,0)</f>
        <v>186</v>
      </c>
    </row>
    <row r="20" spans="1:23" ht="15">
      <c r="A20" s="635">
        <v>0.75</v>
      </c>
      <c r="B20" s="625"/>
      <c r="C20" s="636"/>
      <c r="D20" s="637"/>
      <c r="E20" s="638"/>
      <c r="G20" s="636"/>
      <c r="H20" s="637"/>
      <c r="I20" s="638"/>
      <c r="J20" s="639"/>
      <c r="K20" s="636"/>
      <c r="L20" s="637"/>
      <c r="M20" s="638"/>
      <c r="N20" s="626"/>
      <c r="O20" s="692">
        <f>ROUND(A20/0.175,0)+1</f>
        <v>5</v>
      </c>
      <c r="P20" s="1456"/>
      <c r="R20">
        <v>1.8</v>
      </c>
      <c r="S20">
        <v>0.23</v>
      </c>
      <c r="T20">
        <v>2.875</v>
      </c>
      <c r="U20">
        <f>ROUND(R19*S20*T20,2)</f>
        <v>1.19</v>
      </c>
    </row>
    <row r="21" spans="1:23">
      <c r="A21">
        <v>0.23</v>
      </c>
      <c r="B21" s="625"/>
      <c r="H21" s="639"/>
      <c r="I21" s="639"/>
      <c r="J21" s="639"/>
      <c r="N21" s="626"/>
      <c r="R21">
        <v>1.5</v>
      </c>
      <c r="S21">
        <v>0.23</v>
      </c>
      <c r="T21">
        <v>1.35</v>
      </c>
      <c r="U21">
        <f>-ROUND(R21*S21*T21,2)</f>
        <v>-0.47</v>
      </c>
    </row>
    <row r="22" spans="1:23" ht="15">
      <c r="A22" s="4">
        <v>0.64</v>
      </c>
      <c r="B22" s="625"/>
      <c r="C22" s="621"/>
      <c r="D22" s="623"/>
      <c r="E22" s="624"/>
      <c r="G22" s="621"/>
      <c r="H22" s="623"/>
      <c r="I22" s="624"/>
      <c r="J22" s="639"/>
      <c r="K22" s="621"/>
      <c r="L22" s="623"/>
      <c r="M22" s="624"/>
      <c r="N22" s="626"/>
      <c r="O22" s="642">
        <f>C3</f>
        <v>3</v>
      </c>
      <c r="P22" s="1456">
        <v>3.01</v>
      </c>
      <c r="R22">
        <v>1.5</v>
      </c>
      <c r="S22">
        <v>0.23</v>
      </c>
      <c r="T22">
        <v>1.35</v>
      </c>
      <c r="U22">
        <f>ROUND(R21*S22*T22,2)</f>
        <v>0.47</v>
      </c>
    </row>
    <row r="23" spans="1:23">
      <c r="A23" s="1457">
        <v>1.5</v>
      </c>
      <c r="B23" s="625"/>
      <c r="C23" s="625"/>
      <c r="D23" s="1458"/>
      <c r="E23" s="626"/>
      <c r="G23" s="625"/>
      <c r="H23" s="1458"/>
      <c r="I23" s="626"/>
      <c r="J23" s="639"/>
      <c r="K23" s="661" t="s">
        <v>154</v>
      </c>
      <c r="L23" s="1458"/>
      <c r="M23" s="626"/>
      <c r="N23" s="626"/>
      <c r="O23" s="1459">
        <f>ROUND(A23/0.175,0)+1</f>
        <v>10</v>
      </c>
      <c r="P23" s="1456"/>
      <c r="U23">
        <f>SUM(U20:U22)</f>
        <v>1.19</v>
      </c>
      <c r="V23">
        <v>5319.62</v>
      </c>
      <c r="W23">
        <f>ROUND(U23*V23,0)</f>
        <v>6330</v>
      </c>
    </row>
    <row r="24" spans="1:23">
      <c r="A24" s="1457"/>
      <c r="B24" s="625"/>
      <c r="C24" s="625"/>
      <c r="D24" s="1458"/>
      <c r="E24" s="626"/>
      <c r="G24" s="625"/>
      <c r="H24" s="1458"/>
      <c r="I24" s="626"/>
      <c r="J24" s="639"/>
      <c r="K24" s="661"/>
      <c r="L24" s="1458"/>
      <c r="M24" s="626"/>
      <c r="N24" s="626"/>
      <c r="O24" s="1459"/>
      <c r="P24" s="1456"/>
      <c r="S24">
        <v>3.54</v>
      </c>
      <c r="T24">
        <v>3.1749999999999998</v>
      </c>
      <c r="U24">
        <f t="shared" ref="U24:U29" si="0">ROUND(S24*T24,2)</f>
        <v>11.24</v>
      </c>
    </row>
    <row r="25" spans="1:23">
      <c r="A25" s="1457"/>
      <c r="B25" s="625"/>
      <c r="C25" s="625"/>
      <c r="D25" s="1458"/>
      <c r="E25" s="626"/>
      <c r="G25" s="625"/>
      <c r="H25" s="1458"/>
      <c r="I25" s="626"/>
      <c r="J25" s="639"/>
      <c r="K25" s="661"/>
      <c r="L25" s="1458"/>
      <c r="M25" s="626"/>
      <c r="N25" s="626"/>
      <c r="O25" s="1459"/>
      <c r="P25" s="1456"/>
      <c r="S25">
        <v>1.5</v>
      </c>
      <c r="T25">
        <v>1.35</v>
      </c>
      <c r="U25">
        <f>-ROUND(S25*T25,2)</f>
        <v>-2.0299999999999998</v>
      </c>
    </row>
    <row r="26" spans="1:23">
      <c r="A26" s="1457"/>
      <c r="B26" s="625"/>
      <c r="C26" s="625"/>
      <c r="D26" s="1458"/>
      <c r="E26" s="626"/>
      <c r="G26" s="625"/>
      <c r="H26" s="1458"/>
      <c r="I26" s="626"/>
      <c r="J26" s="639"/>
      <c r="K26" s="661"/>
      <c r="L26" s="1458"/>
      <c r="M26" s="626"/>
      <c r="N26" s="626"/>
      <c r="O26" s="1459"/>
      <c r="P26" s="1456"/>
      <c r="U26">
        <f>SUM(U24:U25)</f>
        <v>9.2100000000000009</v>
      </c>
      <c r="V26">
        <v>235.67</v>
      </c>
      <c r="W26">
        <f>ROUND(U26*V26,0)</f>
        <v>2171</v>
      </c>
    </row>
    <row r="27" spans="1:23">
      <c r="A27" s="1457"/>
      <c r="B27" s="625"/>
      <c r="C27" s="625"/>
      <c r="D27" s="1458"/>
      <c r="E27" s="626"/>
      <c r="G27" s="625"/>
      <c r="H27" s="1458"/>
      <c r="I27" s="626"/>
      <c r="J27" s="639"/>
      <c r="K27" s="661"/>
      <c r="L27" s="1458"/>
      <c r="M27" s="626"/>
      <c r="N27" s="626"/>
      <c r="O27" s="1459"/>
      <c r="P27" s="1456"/>
      <c r="S27">
        <v>3.54</v>
      </c>
      <c r="T27">
        <v>3.3</v>
      </c>
      <c r="U27">
        <f t="shared" si="0"/>
        <v>11.68</v>
      </c>
      <c r="V27">
        <v>247.1</v>
      </c>
      <c r="W27">
        <f>ROUND(U27*V27,0)</f>
        <v>2886</v>
      </c>
    </row>
    <row r="28" spans="1:23">
      <c r="A28" s="1457"/>
      <c r="B28" s="625"/>
      <c r="C28" s="625"/>
      <c r="D28" s="1458"/>
      <c r="E28" s="626"/>
      <c r="G28" s="625"/>
      <c r="H28" s="1458"/>
      <c r="I28" s="626"/>
      <c r="J28" s="639"/>
      <c r="K28" s="661"/>
      <c r="L28" s="1458"/>
      <c r="M28" s="626"/>
      <c r="N28" s="626"/>
      <c r="O28" s="1459"/>
      <c r="P28" s="1456"/>
    </row>
    <row r="29" spans="1:23">
      <c r="A29" s="1457"/>
      <c r="B29" s="625"/>
      <c r="C29" s="625"/>
      <c r="D29" s="1458"/>
      <c r="E29" s="626"/>
      <c r="G29" s="625"/>
      <c r="H29" s="1458"/>
      <c r="I29" s="626"/>
      <c r="J29" s="639"/>
      <c r="K29" s="661"/>
      <c r="L29" s="1458"/>
      <c r="M29" s="626"/>
      <c r="N29" s="626"/>
      <c r="O29" s="1459"/>
      <c r="P29" s="1456"/>
      <c r="S29">
        <v>4.6500000000000004</v>
      </c>
      <c r="T29">
        <v>1.1499999999999999</v>
      </c>
      <c r="U29">
        <f t="shared" si="0"/>
        <v>5.35</v>
      </c>
      <c r="V29">
        <v>476.79</v>
      </c>
      <c r="W29">
        <f>ROUND(U29*V29,0)</f>
        <v>2551</v>
      </c>
    </row>
    <row r="30" spans="1:23">
      <c r="A30" s="1457"/>
      <c r="B30" s="625"/>
      <c r="C30" s="625"/>
      <c r="D30" s="1458"/>
      <c r="E30" s="626"/>
      <c r="G30" s="625"/>
      <c r="H30" s="1458"/>
      <c r="I30" s="626"/>
      <c r="J30" s="639"/>
      <c r="K30" s="661"/>
      <c r="L30" s="1458"/>
      <c r="M30" s="626"/>
      <c r="N30" s="626"/>
      <c r="O30" s="1459"/>
      <c r="P30" s="1456"/>
      <c r="U30">
        <f>U26</f>
        <v>9.2100000000000009</v>
      </c>
      <c r="V30">
        <v>140.28</v>
      </c>
      <c r="W30">
        <f>ROUND(U30*V30,0)</f>
        <v>1292</v>
      </c>
    </row>
    <row r="31" spans="1:23">
      <c r="A31" s="1457"/>
      <c r="B31" s="625"/>
      <c r="C31" s="625"/>
      <c r="D31" s="1458"/>
      <c r="E31" s="626"/>
      <c r="F31" s="639"/>
      <c r="G31" s="625"/>
      <c r="H31" s="1458"/>
      <c r="I31" s="626"/>
      <c r="J31" s="639"/>
      <c r="K31" s="661"/>
      <c r="L31" s="1458"/>
      <c r="M31" s="626"/>
      <c r="N31" s="626"/>
      <c r="O31" s="1459"/>
      <c r="P31" s="1456"/>
      <c r="U31">
        <f>U27</f>
        <v>11.68</v>
      </c>
      <c r="V31">
        <v>180.24</v>
      </c>
      <c r="W31">
        <f>ROUND(U31*V31,0)</f>
        <v>2105</v>
      </c>
    </row>
    <row r="32" spans="1:23" ht="15">
      <c r="A32" s="4">
        <v>0.64</v>
      </c>
      <c r="B32" s="625"/>
      <c r="C32" s="636"/>
      <c r="D32" s="622"/>
      <c r="E32" s="638"/>
      <c r="G32" s="636"/>
      <c r="H32" s="637"/>
      <c r="I32" s="638"/>
      <c r="J32" s="639"/>
      <c r="K32" s="636"/>
      <c r="L32" s="622"/>
      <c r="M32" s="638"/>
      <c r="N32" s="626"/>
      <c r="O32" s="692">
        <f>ROUND(A32/0.175,0)+1</f>
        <v>5</v>
      </c>
      <c r="P32" s="1456"/>
      <c r="S32">
        <v>1.5</v>
      </c>
      <c r="T32">
        <v>1.35</v>
      </c>
      <c r="U32">
        <f>-ROUND(S32*T32,2)</f>
        <v>-2.0299999999999998</v>
      </c>
      <c r="V32">
        <v>7288</v>
      </c>
      <c r="W32">
        <f>ROUND(U32*V32,0)</f>
        <v>-14795</v>
      </c>
    </row>
    <row r="33" spans="1:23">
      <c r="A33" s="4">
        <v>0.23</v>
      </c>
      <c r="B33" s="625"/>
      <c r="C33" s="639"/>
      <c r="D33" s="639"/>
      <c r="E33" s="639"/>
      <c r="G33" s="639"/>
      <c r="H33" s="639"/>
      <c r="I33" s="639"/>
      <c r="J33" s="639"/>
      <c r="K33" s="639"/>
      <c r="L33" s="639"/>
      <c r="M33" s="639"/>
      <c r="N33" s="626"/>
      <c r="S33">
        <v>5.68</v>
      </c>
      <c r="T33">
        <v>1.35</v>
      </c>
      <c r="U33">
        <f>ROUND(S33*T33,2)</f>
        <v>7.67</v>
      </c>
      <c r="V33">
        <v>254.87</v>
      </c>
      <c r="W33">
        <f>ROUND(U33*V33,0)</f>
        <v>1955</v>
      </c>
    </row>
    <row r="34" spans="1:23" ht="15">
      <c r="A34" s="4">
        <v>0.59</v>
      </c>
      <c r="B34" s="625"/>
      <c r="C34" s="621"/>
      <c r="D34" s="623"/>
      <c r="E34" s="624"/>
      <c r="G34" s="621"/>
      <c r="H34" s="623"/>
      <c r="I34" s="624"/>
      <c r="J34" s="639"/>
      <c r="K34" s="621"/>
      <c r="L34" s="623"/>
      <c r="M34" s="624"/>
      <c r="N34" s="626"/>
      <c r="O34" s="692">
        <f>ROUND(A34/0.175,0)+1</f>
        <v>4</v>
      </c>
      <c r="P34" s="1456">
        <v>2.82</v>
      </c>
      <c r="Q34">
        <v>2</v>
      </c>
      <c r="R34">
        <v>1.37</v>
      </c>
      <c r="S34">
        <v>0.23</v>
      </c>
      <c r="T34">
        <v>0.3</v>
      </c>
      <c r="U34">
        <f>ROUND(Q34*R34*S34*T34,2)</f>
        <v>0.19</v>
      </c>
    </row>
    <row r="35" spans="1:23">
      <c r="A35" s="1457">
        <v>1.41</v>
      </c>
      <c r="B35" s="625"/>
      <c r="C35" s="625"/>
      <c r="D35" s="1458"/>
      <c r="E35" s="626"/>
      <c r="G35" s="625"/>
      <c r="H35" s="1458"/>
      <c r="I35" s="626"/>
      <c r="J35" s="639"/>
      <c r="K35" s="661"/>
      <c r="L35" s="1458"/>
      <c r="M35" s="626"/>
      <c r="N35" s="626"/>
      <c r="O35" s="1459">
        <f>ROUND(A35/0.175,0)+1</f>
        <v>9</v>
      </c>
      <c r="P35" s="1456"/>
      <c r="R35">
        <v>1.8</v>
      </c>
      <c r="S35">
        <v>0.23</v>
      </c>
      <c r="T35">
        <v>0.3</v>
      </c>
      <c r="U35">
        <f>ROUND(R35*S35*T35,2)</f>
        <v>0.12</v>
      </c>
    </row>
    <row r="36" spans="1:23">
      <c r="A36" s="1457"/>
      <c r="B36" s="625"/>
      <c r="C36" s="625"/>
      <c r="D36" s="1458"/>
      <c r="E36" s="626"/>
      <c r="G36" s="625"/>
      <c r="H36" s="1458"/>
      <c r="I36" s="626"/>
      <c r="J36" s="639"/>
      <c r="K36" s="661"/>
      <c r="L36" s="1458"/>
      <c r="M36" s="626"/>
      <c r="N36" s="626"/>
      <c r="O36" s="1459"/>
      <c r="P36" s="1456"/>
      <c r="U36">
        <f>SUM(U34:U35)</f>
        <v>0.31</v>
      </c>
      <c r="V36">
        <v>8463.77</v>
      </c>
      <c r="W36">
        <f>ROUND(U36*V36,0)</f>
        <v>2624</v>
      </c>
    </row>
    <row r="37" spans="1:23">
      <c r="A37" s="1457"/>
      <c r="B37" s="625"/>
      <c r="C37" s="625"/>
      <c r="D37" s="1458"/>
      <c r="E37" s="626"/>
      <c r="G37" s="625"/>
      <c r="H37" s="1458"/>
      <c r="I37" s="626"/>
      <c r="J37" s="639"/>
      <c r="K37" s="661"/>
      <c r="L37" s="1458"/>
      <c r="M37" s="626"/>
      <c r="N37" s="626"/>
      <c r="O37" s="1459"/>
      <c r="P37" s="1456"/>
      <c r="U37" s="3">
        <f>(0.31+7.67*0.125)*100</f>
        <v>126.875</v>
      </c>
      <c r="V37">
        <v>49105</v>
      </c>
      <c r="W37">
        <f>ROUND(U37*V37/1000,0)</f>
        <v>6230</v>
      </c>
    </row>
    <row r="38" spans="1:23">
      <c r="A38" s="1457"/>
      <c r="B38" s="625"/>
      <c r="C38" s="625"/>
      <c r="D38" s="1458"/>
      <c r="E38" s="626"/>
      <c r="G38" s="625"/>
      <c r="H38" s="1458"/>
      <c r="I38" s="626"/>
      <c r="J38" s="639"/>
      <c r="K38" s="661"/>
      <c r="L38" s="1458"/>
      <c r="M38" s="626"/>
      <c r="N38" s="626"/>
      <c r="O38" s="1459"/>
      <c r="P38" s="1456"/>
      <c r="W38">
        <v>3501</v>
      </c>
    </row>
    <row r="39" spans="1:23">
      <c r="A39" s="1457"/>
      <c r="B39" s="625"/>
      <c r="C39" s="625"/>
      <c r="D39" s="1458"/>
      <c r="E39" s="626"/>
      <c r="G39" s="625"/>
      <c r="H39" s="1458"/>
      <c r="I39" s="626"/>
      <c r="J39" s="639"/>
      <c r="K39" s="661"/>
      <c r="L39" s="1458"/>
      <c r="M39" s="626"/>
      <c r="N39" s="626"/>
      <c r="O39" s="1459"/>
      <c r="P39" s="1456"/>
      <c r="S39">
        <v>0.9</v>
      </c>
      <c r="T39">
        <v>3.1749999999999998</v>
      </c>
      <c r="U39">
        <f>ROUND(S39*T39,2)</f>
        <v>2.86</v>
      </c>
      <c r="V39">
        <v>133.91999999999999</v>
      </c>
      <c r="W39">
        <f>ROUND(U39*V39,0)</f>
        <v>383</v>
      </c>
    </row>
    <row r="40" spans="1:23">
      <c r="A40" s="1457"/>
      <c r="B40" s="625"/>
      <c r="C40" s="625"/>
      <c r="D40" s="1458"/>
      <c r="E40" s="626"/>
      <c r="G40" s="625"/>
      <c r="H40" s="1458"/>
      <c r="I40" s="626"/>
      <c r="J40" s="639"/>
      <c r="K40" s="661"/>
      <c r="L40" s="1458"/>
      <c r="M40" s="626"/>
      <c r="N40" s="626"/>
      <c r="O40" s="1459"/>
      <c r="P40" s="1456"/>
      <c r="W40">
        <f>SUM(W7:W39)</f>
        <v>40000</v>
      </c>
    </row>
    <row r="41" spans="1:23">
      <c r="A41" s="1457"/>
      <c r="B41" s="625"/>
      <c r="C41" s="625"/>
      <c r="D41" s="1458"/>
      <c r="E41" s="626"/>
      <c r="G41" s="625"/>
      <c r="H41" s="1458"/>
      <c r="I41" s="626"/>
      <c r="J41" s="639"/>
      <c r="K41" s="661"/>
      <c r="L41" s="1458"/>
      <c r="M41" s="626"/>
      <c r="N41" s="626"/>
      <c r="O41" s="1459"/>
      <c r="P41" s="1456"/>
    </row>
    <row r="42" spans="1:23" ht="15">
      <c r="A42" s="635">
        <v>0.59</v>
      </c>
      <c r="B42" s="625"/>
      <c r="C42" s="636"/>
      <c r="D42" s="637"/>
      <c r="E42" s="638"/>
      <c r="G42" s="636"/>
      <c r="H42" s="637"/>
      <c r="I42" s="638"/>
      <c r="J42" s="639"/>
      <c r="K42" s="636"/>
      <c r="L42" s="637"/>
      <c r="M42" s="638"/>
      <c r="N42" s="626"/>
      <c r="O42" s="692">
        <f>ROUND(A42/0.175,0)+1</f>
        <v>4</v>
      </c>
      <c r="P42" s="1456"/>
    </row>
    <row r="43" spans="1:23">
      <c r="A43" s="645">
        <v>0.23</v>
      </c>
      <c r="B43" s="625"/>
      <c r="H43" s="639"/>
      <c r="I43" s="639"/>
      <c r="J43" s="639"/>
      <c r="N43" s="626"/>
    </row>
    <row r="44" spans="1:23" ht="15">
      <c r="A44" s="4">
        <v>0.62</v>
      </c>
      <c r="B44" s="625"/>
      <c r="C44" s="621"/>
      <c r="D44" s="623"/>
      <c r="E44" s="624"/>
      <c r="G44" s="621"/>
      <c r="H44" s="623"/>
      <c r="I44" s="624"/>
      <c r="J44" s="639"/>
      <c r="K44" s="621"/>
      <c r="L44" s="623"/>
      <c r="M44" s="624"/>
      <c r="N44" s="626"/>
      <c r="O44" s="692">
        <f>ROUND(A44/0.175,0)+1</f>
        <v>5</v>
      </c>
      <c r="P44" s="1456">
        <v>2.95</v>
      </c>
    </row>
    <row r="45" spans="1:23">
      <c r="A45" s="1457">
        <v>1.48</v>
      </c>
      <c r="B45" s="625"/>
      <c r="C45" s="646"/>
      <c r="D45" s="1458"/>
      <c r="E45" s="626"/>
      <c r="G45" s="625"/>
      <c r="H45" s="1367"/>
      <c r="I45" s="626"/>
      <c r="J45" s="639"/>
      <c r="K45" s="661"/>
      <c r="L45" s="1458"/>
      <c r="M45" s="626"/>
      <c r="N45" s="626"/>
      <c r="O45" s="1459">
        <f>ROUND(A45/0.175,0)+1</f>
        <v>9</v>
      </c>
      <c r="P45" s="1456"/>
    </row>
    <row r="46" spans="1:23">
      <c r="A46" s="1457"/>
      <c r="B46" s="625"/>
      <c r="C46" s="646"/>
      <c r="D46" s="1458"/>
      <c r="E46" s="626"/>
      <c r="G46" s="625"/>
      <c r="H46" s="1460"/>
      <c r="I46" s="626"/>
      <c r="J46" s="639"/>
      <c r="K46" s="661"/>
      <c r="L46" s="1458"/>
      <c r="M46" s="626"/>
      <c r="N46" s="626"/>
      <c r="O46" s="1459"/>
      <c r="P46" s="1456"/>
    </row>
    <row r="47" spans="1:23">
      <c r="A47" s="1457"/>
      <c r="B47" s="625"/>
      <c r="C47" s="646"/>
      <c r="D47" s="1458"/>
      <c r="E47" s="626"/>
      <c r="G47" s="625"/>
      <c r="H47" s="1460"/>
      <c r="I47" s="626"/>
      <c r="J47" s="639"/>
      <c r="K47" s="661"/>
      <c r="L47" s="1458"/>
      <c r="M47" s="626"/>
      <c r="N47" s="626"/>
      <c r="O47" s="1459"/>
      <c r="P47" s="1456"/>
    </row>
    <row r="48" spans="1:23">
      <c r="A48" s="1457"/>
      <c r="B48" s="625"/>
      <c r="C48" s="646"/>
      <c r="D48" s="1458"/>
      <c r="E48" s="626"/>
      <c r="G48" s="625"/>
      <c r="H48" s="1460"/>
      <c r="I48" s="626"/>
      <c r="J48" s="639"/>
      <c r="K48" s="661"/>
      <c r="L48" s="1458"/>
      <c r="M48" s="626"/>
      <c r="N48" s="626"/>
      <c r="O48" s="1459"/>
      <c r="P48" s="1456"/>
    </row>
    <row r="49" spans="1:16">
      <c r="A49" s="1457"/>
      <c r="B49" s="625"/>
      <c r="C49" s="646"/>
      <c r="D49" s="1458"/>
      <c r="E49" s="626"/>
      <c r="G49" s="625"/>
      <c r="H49" s="1460"/>
      <c r="I49" s="626"/>
      <c r="J49" s="639"/>
      <c r="K49" s="661"/>
      <c r="L49" s="1458"/>
      <c r="M49" s="626"/>
      <c r="N49" s="626"/>
      <c r="O49" s="1459"/>
      <c r="P49" s="1456"/>
    </row>
    <row r="50" spans="1:16">
      <c r="A50" s="1457"/>
      <c r="B50" s="625"/>
      <c r="C50" s="646"/>
      <c r="D50" s="1458"/>
      <c r="E50" s="626"/>
      <c r="G50" s="625"/>
      <c r="H50" s="1460"/>
      <c r="I50" s="626"/>
      <c r="J50" s="639"/>
      <c r="K50" s="661"/>
      <c r="L50" s="1458"/>
      <c r="M50" s="626"/>
      <c r="N50" s="626"/>
      <c r="O50" s="1459"/>
      <c r="P50" s="1456"/>
    </row>
    <row r="51" spans="1:16">
      <c r="A51" s="1457"/>
      <c r="B51" s="625"/>
      <c r="C51" s="646"/>
      <c r="D51" s="1458"/>
      <c r="E51" s="626"/>
      <c r="G51" s="625"/>
      <c r="H51" s="1368"/>
      <c r="I51" s="626"/>
      <c r="J51" s="639"/>
      <c r="K51" s="661"/>
      <c r="L51" s="1458"/>
      <c r="M51" s="626"/>
      <c r="N51" s="626"/>
      <c r="O51" s="1459"/>
      <c r="P51" s="1456"/>
    </row>
    <row r="52" spans="1:16" ht="15">
      <c r="A52" s="635">
        <v>0.62</v>
      </c>
      <c r="B52" s="625"/>
      <c r="C52" s="647"/>
      <c r="D52" s="637"/>
      <c r="E52" s="638"/>
      <c r="G52" s="636"/>
      <c r="H52" s="637"/>
      <c r="I52" s="638"/>
      <c r="J52" s="637"/>
      <c r="K52" s="636"/>
      <c r="L52" s="637"/>
      <c r="M52" s="638"/>
      <c r="N52" s="626"/>
      <c r="O52" s="692">
        <f>ROUND(A52/0.175,0)+1</f>
        <v>5</v>
      </c>
      <c r="P52" s="1456"/>
    </row>
    <row r="53" spans="1:16">
      <c r="A53" s="645">
        <v>0.23</v>
      </c>
      <c r="B53" s="636"/>
      <c r="C53" s="637"/>
      <c r="D53" s="637"/>
      <c r="E53" s="637"/>
      <c r="F53" s="639"/>
      <c r="G53" s="639"/>
      <c r="H53" s="639"/>
      <c r="I53" s="639"/>
      <c r="J53" s="639"/>
      <c r="K53" s="637"/>
      <c r="L53" s="637"/>
      <c r="M53" s="637"/>
      <c r="N53" s="626"/>
    </row>
    <row r="54" spans="1:16">
      <c r="E54">
        <v>0.375</v>
      </c>
      <c r="F54" s="666"/>
      <c r="G54" s="621"/>
      <c r="H54" s="623"/>
      <c r="I54" s="624"/>
      <c r="J54" s="639"/>
      <c r="K54" s="621"/>
      <c r="M54" s="624"/>
      <c r="N54" s="626"/>
      <c r="O54" s="568">
        <f>ROUND(E54/0.175,0)+1</f>
        <v>3</v>
      </c>
      <c r="P54" s="1456">
        <v>1.5</v>
      </c>
    </row>
    <row r="55" spans="1:16">
      <c r="E55" s="1461">
        <v>0.67</v>
      </c>
      <c r="F55" s="666"/>
      <c r="H55" s="1458"/>
      <c r="I55" s="626"/>
      <c r="K55" s="661"/>
      <c r="L55" s="1458"/>
      <c r="M55" s="626"/>
      <c r="N55" s="626"/>
      <c r="O55" s="1462">
        <f>ROUND(E55/0.175,0)+1</f>
        <v>5</v>
      </c>
      <c r="P55" s="1456"/>
    </row>
    <row r="56" spans="1:16">
      <c r="A56">
        <f>1.5-E54-E58-0.23</f>
        <v>0.67</v>
      </c>
      <c r="E56" s="1461"/>
      <c r="F56" s="666"/>
      <c r="H56" s="1458"/>
      <c r="I56" s="626"/>
      <c r="K56" s="661"/>
      <c r="L56" s="1458"/>
      <c r="M56" s="626"/>
      <c r="N56" s="626"/>
      <c r="O56" s="1462"/>
      <c r="P56" s="1456"/>
    </row>
    <row r="57" spans="1:16">
      <c r="E57" s="1461"/>
      <c r="F57" s="666"/>
      <c r="H57" s="1458"/>
      <c r="I57" s="626"/>
      <c r="K57" s="661"/>
      <c r="L57" s="1458"/>
      <c r="M57" s="626"/>
      <c r="N57" s="626"/>
      <c r="O57" s="1462"/>
      <c r="P57" s="1456"/>
    </row>
    <row r="58" spans="1:16">
      <c r="E58" s="635">
        <v>0.22500000000000001</v>
      </c>
      <c r="F58" s="666"/>
      <c r="G58" s="636"/>
      <c r="H58" s="637"/>
      <c r="I58" s="638"/>
      <c r="J58" s="639"/>
      <c r="K58" s="636"/>
      <c r="L58" s="637"/>
      <c r="M58" s="638"/>
      <c r="N58" s="626"/>
      <c r="O58" s="568">
        <f>ROUND(E58/0.175,0)+1</f>
        <v>2</v>
      </c>
      <c r="P58" s="1456"/>
    </row>
    <row r="59" spans="1:16">
      <c r="E59" s="635"/>
      <c r="F59" s="636"/>
      <c r="G59" s="637"/>
      <c r="H59" s="637"/>
      <c r="I59" s="637"/>
      <c r="J59" s="637"/>
      <c r="K59" s="637"/>
      <c r="L59" s="637"/>
      <c r="M59" s="637"/>
      <c r="N59" s="638"/>
      <c r="P59" s="1456"/>
    </row>
    <row r="61" spans="1:16">
      <c r="C61" s="648">
        <v>0.39</v>
      </c>
      <c r="D61" s="603">
        <v>2.04</v>
      </c>
      <c r="E61" s="649">
        <v>0.73</v>
      </c>
      <c r="F61" s="618">
        <v>0.23</v>
      </c>
      <c r="G61" s="619">
        <v>0.39</v>
      </c>
      <c r="H61" s="543">
        <f>1.83-0.39-0.39</f>
        <v>1.0499999999999998</v>
      </c>
      <c r="I61" s="619">
        <v>0.39</v>
      </c>
      <c r="J61" s="659">
        <v>0.23</v>
      </c>
      <c r="K61">
        <v>0.68</v>
      </c>
      <c r="L61" s="603">
        <v>1.89</v>
      </c>
      <c r="M61" s="667">
        <v>0.36</v>
      </c>
      <c r="N61" s="618">
        <v>0.23</v>
      </c>
    </row>
    <row r="62" spans="1:16">
      <c r="C62" s="1455">
        <v>3.39</v>
      </c>
      <c r="D62" s="1455"/>
      <c r="E62" s="1455"/>
      <c r="G62" s="1366">
        <v>2.06</v>
      </c>
      <c r="H62" s="1366"/>
      <c r="I62" s="1366"/>
      <c r="K62" s="1366">
        <v>3.16</v>
      </c>
      <c r="L62" s="1366"/>
      <c r="M62" s="1366"/>
    </row>
    <row r="63" spans="1:16">
      <c r="C63" s="543">
        <f>ROUND(C61/0.175,0)+1</f>
        <v>3</v>
      </c>
      <c r="D63" s="543">
        <f>ROUND(D61/0.175,0)+1</f>
        <v>13</v>
      </c>
      <c r="E63" s="543">
        <f>ROUND(E61/0.175,0)+1</f>
        <v>5</v>
      </c>
      <c r="G63" s="543">
        <f>ROUND(G61/0.175,0)+1</f>
        <v>3</v>
      </c>
      <c r="H63" s="543">
        <f>ROUND(H61/0.175,0)+1</f>
        <v>7</v>
      </c>
      <c r="I63" s="543">
        <f>ROUND(I61/0.175,0)+1</f>
        <v>3</v>
      </c>
      <c r="J63" s="543"/>
      <c r="K63" s="543">
        <f>ROUND(K61/0.175,0)+1</f>
        <v>5</v>
      </c>
      <c r="L63" s="543">
        <f>ROUND(L61/0.175,0)+1</f>
        <v>12</v>
      </c>
      <c r="M63" s="543">
        <f>ROUND(M61/0.175,0)+1</f>
        <v>3</v>
      </c>
      <c r="O63" t="s">
        <v>1425</v>
      </c>
    </row>
  </sheetData>
  <mergeCells count="37">
    <mergeCell ref="A23:A31"/>
    <mergeCell ref="D23:D31"/>
    <mergeCell ref="H23:H31"/>
    <mergeCell ref="L23:L31"/>
    <mergeCell ref="B2:N2"/>
    <mergeCell ref="C7:E7"/>
    <mergeCell ref="G7:I7"/>
    <mergeCell ref="K7:M7"/>
    <mergeCell ref="A11:A19"/>
    <mergeCell ref="D11:D19"/>
    <mergeCell ref="H11:H19"/>
    <mergeCell ref="L11:L19"/>
    <mergeCell ref="A35:A41"/>
    <mergeCell ref="D35:D41"/>
    <mergeCell ref="H35:H41"/>
    <mergeCell ref="L35:L41"/>
    <mergeCell ref="O35:O41"/>
    <mergeCell ref="C62:E62"/>
    <mergeCell ref="G62:I62"/>
    <mergeCell ref="K62:M62"/>
    <mergeCell ref="P44:P52"/>
    <mergeCell ref="A45:A51"/>
    <mergeCell ref="D45:D51"/>
    <mergeCell ref="H45:H51"/>
    <mergeCell ref="L45:L51"/>
    <mergeCell ref="O45:O51"/>
    <mergeCell ref="P4:P8"/>
    <mergeCell ref="P54:P59"/>
    <mergeCell ref="E55:E57"/>
    <mergeCell ref="H55:H57"/>
    <mergeCell ref="L55:L57"/>
    <mergeCell ref="O55:O57"/>
    <mergeCell ref="P34:P42"/>
    <mergeCell ref="O23:O31"/>
    <mergeCell ref="P22:P32"/>
    <mergeCell ref="P10:P20"/>
    <mergeCell ref="O11:O19"/>
  </mergeCells>
  <pageMargins left="0.7" right="0.7" top="0.75" bottom="0.75" header="0.3" footer="0.3"/>
  <pageSetup orientation="portrait" verticalDpi="0" r:id="rId1"/>
  <drawing r:id="rId2"/>
</worksheet>
</file>

<file path=xl/worksheets/sheet33.xml><?xml version="1.0" encoding="utf-8"?>
<worksheet xmlns="http://schemas.openxmlformats.org/spreadsheetml/2006/main" xmlns:r="http://schemas.openxmlformats.org/officeDocument/2006/relationships">
  <dimension ref="A1"/>
  <sheetViews>
    <sheetView workbookViewId="0">
      <selection activeCell="G35" sqref="G35:I35"/>
    </sheetView>
  </sheetViews>
  <sheetFormatPr defaultRowHeight="12.75"/>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33</vt:i4>
      </vt:variant>
      <vt:variant>
        <vt:lpstr>Named Ranges</vt:lpstr>
      </vt:variant>
      <vt:variant>
        <vt:i4>21</vt:i4>
      </vt:variant>
    </vt:vector>
  </HeadingPairs>
  <TitlesOfParts>
    <vt:vector size="54" baseType="lpstr">
      <vt:lpstr>COVER</vt:lpstr>
      <vt:lpstr>Title page</vt:lpstr>
      <vt:lpstr>Sheet3</vt:lpstr>
      <vt:lpstr>TOP PAGE</vt:lpstr>
      <vt:lpstr>specification</vt:lpstr>
      <vt:lpstr>INPUT</vt:lpstr>
      <vt:lpstr>input sheet</vt:lpstr>
      <vt:lpstr>abstract</vt:lpstr>
      <vt:lpstr>ground floor</vt:lpstr>
      <vt:lpstr>first floor</vt:lpstr>
      <vt:lpstr>Store</vt:lpstr>
      <vt:lpstr>Ele Estimate</vt:lpstr>
      <vt:lpstr>SEIG</vt:lpstr>
      <vt:lpstr>GST Sheet</vt:lpstr>
      <vt:lpstr>seignorage</vt:lpstr>
      <vt:lpstr>data(new)</vt:lpstr>
      <vt:lpstr>lead 1</vt:lpstr>
      <vt:lpstr>lead(new)</vt:lpstr>
      <vt:lpstr>SSR</vt:lpstr>
      <vt:lpstr>QUARRY</vt:lpstr>
      <vt:lpstr>data1</vt:lpstr>
      <vt:lpstr>Ele Data</vt:lpstr>
      <vt:lpstr>GST</vt:lpstr>
      <vt:lpstr>Sheet2</vt:lpstr>
      <vt:lpstr>column reinf</vt:lpstr>
      <vt:lpstr>Plinth beam, staircase,lintels</vt:lpstr>
      <vt:lpstr>GF roof beams</vt:lpstr>
      <vt:lpstr>GF Slab</vt:lpstr>
      <vt:lpstr>FF roof beams</vt:lpstr>
      <vt:lpstr>FF Slab</vt:lpstr>
      <vt:lpstr>Stor reinforcement</vt:lpstr>
      <vt:lpstr>Sheet1</vt:lpstr>
      <vt:lpstr>Sheet4</vt:lpstr>
      <vt:lpstr>abstract!Print_Area</vt:lpstr>
      <vt:lpstr>data1!Print_Area</vt:lpstr>
      <vt:lpstr>'Ele Data'!Print_Area</vt:lpstr>
      <vt:lpstr>'Ele Estimate'!Print_Area</vt:lpstr>
      <vt:lpstr>'first floor'!Print_Area</vt:lpstr>
      <vt:lpstr>'ground floor'!Print_Area</vt:lpstr>
      <vt:lpstr>'GST Sheet'!Print_Area</vt:lpstr>
      <vt:lpstr>INPUT!Print_Area</vt:lpstr>
      <vt:lpstr>'lead 1'!Print_Area</vt:lpstr>
      <vt:lpstr>'Plinth beam, staircase,lintels'!Print_Area</vt:lpstr>
      <vt:lpstr>SEIG!Print_Area</vt:lpstr>
      <vt:lpstr>'data(new)'!Print_Titles</vt:lpstr>
      <vt:lpstr>data1!Print_Titles</vt:lpstr>
      <vt:lpstr>'Ele Data'!Print_Titles</vt:lpstr>
      <vt:lpstr>'Ele Estimate'!Print_Titles</vt:lpstr>
      <vt:lpstr>'first floor'!Print_Titles</vt:lpstr>
      <vt:lpstr>'GF roof beams'!Print_Titles</vt:lpstr>
      <vt:lpstr>'ground floor'!Print_Titles</vt:lpstr>
      <vt:lpstr>INPUT!Print_Titles</vt:lpstr>
      <vt:lpstr>'lead 1'!Print_Titles</vt:lpstr>
      <vt:lpstr>SSR!Print_Titles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welcome</dc:creator>
  <cp:lastModifiedBy>welcome</cp:lastModifiedBy>
  <cp:lastPrinted>2020-03-06T04:24:58Z</cp:lastPrinted>
  <dcterms:created xsi:type="dcterms:W3CDTF">1996-10-14T23:33:28Z</dcterms:created>
  <dcterms:modified xsi:type="dcterms:W3CDTF">2020-03-06T04:31:13Z</dcterms:modified>
</cp:coreProperties>
</file>